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esktop\"/>
    </mc:Choice>
  </mc:AlternateContent>
  <bookViews>
    <workbookView xWindow="0" yWindow="1065" windowWidth="15300" windowHeight="6405" tabRatio="555" firstSheet="3" activeTab="4"/>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2021-2023'!$L$1:$AF$1179</definedName>
    <definedName name="_xlnm.Print_Area" localSheetId="0">'Ведомственная 2008'!$B$1:$H$2623</definedName>
    <definedName name="_xlnm.Print_Area" localSheetId="5">'Р., Пр.2021-2023'!$A$1:$F$66</definedName>
    <definedName name="_xlnm.Print_Area" localSheetId="3">'Функц. 2021-2023'!$A$1:$K$987</definedName>
    <definedName name="_xlnm.Print_Area" localSheetId="4">'Целевые 2021-2023'!$A$1:$F$775</definedName>
  </definedNames>
  <calcPr calcId="162913"/>
</workbook>
</file>

<file path=xl/calcChain.xml><?xml version="1.0" encoding="utf-8"?>
<calcChain xmlns="http://schemas.openxmlformats.org/spreadsheetml/2006/main">
  <c r="H473" i="7" l="1"/>
  <c r="E356" i="9" s="1"/>
  <c r="F473" i="7"/>
  <c r="F472" i="7" s="1"/>
  <c r="F471" i="7" s="1"/>
  <c r="AF935" i="2"/>
  <c r="AF934" i="2" s="1"/>
  <c r="AE935" i="2"/>
  <c r="AE934" i="2" s="1"/>
  <c r="AD935" i="2"/>
  <c r="AD934" i="2" s="1"/>
  <c r="J473" i="7" l="1"/>
  <c r="D356" i="9"/>
  <c r="D355" i="9" s="1"/>
  <c r="D354" i="9" s="1"/>
  <c r="E355" i="9"/>
  <c r="E354" i="9" s="1"/>
  <c r="H472" i="7"/>
  <c r="H471" i="7" s="1"/>
  <c r="AF255" i="2"/>
  <c r="AE255" i="2"/>
  <c r="AF75" i="2"/>
  <c r="AE75" i="2"/>
  <c r="AD75" i="2"/>
  <c r="AD902" i="2"/>
  <c r="AD908" i="2"/>
  <c r="AD914" i="2"/>
  <c r="F355" i="9" l="1"/>
  <c r="F354" i="9" s="1"/>
  <c r="F356" i="9"/>
  <c r="J472" i="7"/>
  <c r="J471" i="7" s="1"/>
  <c r="G406" i="7"/>
  <c r="AD940" i="2"/>
  <c r="AD265" i="2" l="1"/>
  <c r="J573" i="7"/>
  <c r="F679" i="9" s="1"/>
  <c r="F678" i="9" s="1"/>
  <c r="H573" i="7"/>
  <c r="H572" i="7" s="1"/>
  <c r="F573" i="7"/>
  <c r="D679" i="9" s="1"/>
  <c r="D678" i="9" s="1"/>
  <c r="AE1015" i="2"/>
  <c r="AF1015" i="2"/>
  <c r="AD1015" i="2"/>
  <c r="AD1014" i="2"/>
  <c r="AD248" i="2"/>
  <c r="F572" i="7" l="1"/>
  <c r="J572" i="7"/>
  <c r="E679" i="9"/>
  <c r="E678" i="9" s="1"/>
  <c r="AD330" i="2"/>
  <c r="J978" i="7"/>
  <c r="H978" i="7"/>
  <c r="F978" i="7"/>
  <c r="AD202" i="2" l="1"/>
  <c r="AD1006" i="2" l="1"/>
  <c r="AF537" i="2"/>
  <c r="AE537" i="2"/>
  <c r="AF536" i="2"/>
  <c r="AF535" i="2" s="1"/>
  <c r="AE536" i="2"/>
  <c r="AE535" i="2" s="1"/>
  <c r="AF533" i="2"/>
  <c r="AF532" i="2" s="1"/>
  <c r="AE533" i="2"/>
  <c r="AE532" i="2" s="1"/>
  <c r="AD533" i="2"/>
  <c r="AD532" i="2" s="1"/>
  <c r="G561" i="7" l="1"/>
  <c r="F657" i="9"/>
  <c r="E657" i="9"/>
  <c r="J813" i="7"/>
  <c r="H813" i="7"/>
  <c r="AE427" i="2"/>
  <c r="AF427" i="2"/>
  <c r="AD427" i="2"/>
  <c r="AD426" i="2"/>
  <c r="AD1136" i="2"/>
  <c r="F137" i="7" s="1"/>
  <c r="AD1134" i="2"/>
  <c r="AD742" i="2" l="1"/>
  <c r="AD452" i="2" l="1"/>
  <c r="AF265" i="2"/>
  <c r="AE265" i="2"/>
  <c r="AD304" i="2"/>
  <c r="AD541" i="2"/>
  <c r="AD536" i="2" l="1"/>
  <c r="AD535" i="2" s="1"/>
  <c r="AD537" i="2"/>
  <c r="AD156" i="2"/>
  <c r="AD489" i="2"/>
  <c r="J448" i="7"/>
  <c r="F373" i="9" s="1"/>
  <c r="F372" i="9" s="1"/>
  <c r="F371" i="9" s="1"/>
  <c r="F370" i="9" s="1"/>
  <c r="F369" i="9" s="1"/>
  <c r="F368" i="9" s="1"/>
  <c r="H448" i="7"/>
  <c r="E373" i="9" s="1"/>
  <c r="E372" i="9" s="1"/>
  <c r="E371" i="9" s="1"/>
  <c r="E370" i="9" s="1"/>
  <c r="E369" i="9" s="1"/>
  <c r="E368" i="9" s="1"/>
  <c r="F448" i="7"/>
  <c r="F447" i="7" s="1"/>
  <c r="F446" i="7" s="1"/>
  <c r="F445" i="7" s="1"/>
  <c r="F444" i="7" s="1"/>
  <c r="F443" i="7" s="1"/>
  <c r="AE295" i="2"/>
  <c r="AE294" i="2" s="1"/>
  <c r="AE293" i="2" s="1"/>
  <c r="AE292" i="2" s="1"/>
  <c r="AE291" i="2" s="1"/>
  <c r="AF295" i="2"/>
  <c r="AF294" i="2" s="1"/>
  <c r="AF293" i="2" s="1"/>
  <c r="AF292" i="2" s="1"/>
  <c r="AF291" i="2" s="1"/>
  <c r="AD295" i="2"/>
  <c r="AD294" i="2" s="1"/>
  <c r="AD293" i="2" s="1"/>
  <c r="AD292" i="2" s="1"/>
  <c r="AD291" i="2" s="1"/>
  <c r="AD70" i="2"/>
  <c r="J447" i="7" l="1"/>
  <c r="J446" i="7" s="1"/>
  <c r="J445" i="7" s="1"/>
  <c r="J444" i="7" s="1"/>
  <c r="J443" i="7" s="1"/>
  <c r="D373" i="9"/>
  <c r="D372" i="9" s="1"/>
  <c r="D371" i="9" s="1"/>
  <c r="D370" i="9" s="1"/>
  <c r="D369" i="9" s="1"/>
  <c r="D368" i="9" s="1"/>
  <c r="H447" i="7"/>
  <c r="H446" i="7" s="1"/>
  <c r="H445" i="7" s="1"/>
  <c r="H444" i="7" s="1"/>
  <c r="H443" i="7" s="1"/>
  <c r="AD110" i="2"/>
  <c r="AD515" i="2"/>
  <c r="AF248" i="2"/>
  <c r="AE248" i="2"/>
  <c r="AD56" i="2"/>
  <c r="AD524" i="2"/>
  <c r="AD522" i="2"/>
  <c r="D751" i="9"/>
  <c r="D750" i="9" s="1"/>
  <c r="J137" i="7"/>
  <c r="J136" i="7" s="1"/>
  <c r="H137" i="7"/>
  <c r="H136" i="7" s="1"/>
  <c r="F136" i="7"/>
  <c r="AE1135" i="2"/>
  <c r="AF1135" i="2"/>
  <c r="AD1135" i="2"/>
  <c r="AD116" i="2"/>
  <c r="F751" i="9" l="1"/>
  <c r="F750" i="9" s="1"/>
  <c r="E751" i="9"/>
  <c r="E750" i="9" s="1"/>
  <c r="E293" i="9"/>
  <c r="AD239" i="2"/>
  <c r="AD1130" i="2"/>
  <c r="AD1142" i="2"/>
  <c r="AD191" i="2"/>
  <c r="J308" i="7"/>
  <c r="F294" i="9" s="1"/>
  <c r="F293" i="9" s="1"/>
  <c r="H308" i="7"/>
  <c r="H307" i="7" s="1"/>
  <c r="F308" i="7"/>
  <c r="F307" i="7" s="1"/>
  <c r="AE707" i="2"/>
  <c r="AE706" i="2" s="1"/>
  <c r="AE705" i="2" s="1"/>
  <c r="AE704" i="2" s="1"/>
  <c r="AE703" i="2" s="1"/>
  <c r="AE702" i="2" s="1"/>
  <c r="AE701" i="2" s="1"/>
  <c r="AF707" i="2"/>
  <c r="AF706" i="2" s="1"/>
  <c r="AF705" i="2" s="1"/>
  <c r="AF704" i="2" s="1"/>
  <c r="AF703" i="2" s="1"/>
  <c r="AF702" i="2" s="1"/>
  <c r="AF701" i="2" s="1"/>
  <c r="AD707" i="2"/>
  <c r="AD706" i="2" s="1"/>
  <c r="AD705" i="2" s="1"/>
  <c r="AD704" i="2" s="1"/>
  <c r="AD703" i="2" s="1"/>
  <c r="AD702" i="2" s="1"/>
  <c r="AD701" i="2" s="1"/>
  <c r="AD105" i="2"/>
  <c r="AD905" i="2"/>
  <c r="AD929" i="2"/>
  <c r="AD996" i="2"/>
  <c r="AD999" i="2"/>
  <c r="AD207" i="2"/>
  <c r="G395" i="7"/>
  <c r="D294" i="9" l="1"/>
  <c r="D293" i="9" s="1"/>
  <c r="J307" i="7"/>
  <c r="AD339" i="2" l="1"/>
  <c r="M542" i="7" l="1"/>
  <c r="G511" i="7"/>
  <c r="G510" i="7" s="1"/>
  <c r="AD725" i="2" l="1"/>
  <c r="AD691" i="2"/>
  <c r="AD987" i="2"/>
  <c r="AD984" i="2"/>
  <c r="AD981" i="2"/>
  <c r="AD978" i="2"/>
  <c r="AD975" i="2"/>
  <c r="AD972" i="2"/>
  <c r="AD948" i="2"/>
  <c r="AD969" i="2"/>
  <c r="AD966" i="2"/>
  <c r="AD960" i="2"/>
  <c r="AD957" i="2"/>
  <c r="AD954" i="2"/>
  <c r="G541" i="7" l="1"/>
  <c r="G540" i="7" s="1"/>
  <c r="G538" i="7"/>
  <c r="G537" i="7" s="1"/>
  <c r="G535" i="7"/>
  <c r="G534" i="7" s="1"/>
  <c r="G532" i="7"/>
  <c r="G531" i="7" s="1"/>
  <c r="G529" i="7"/>
  <c r="G528" i="7" s="1"/>
  <c r="G526" i="7"/>
  <c r="G525" i="7" s="1"/>
  <c r="G523" i="7"/>
  <c r="G522" i="7" s="1"/>
  <c r="G520" i="7"/>
  <c r="G519" i="7" s="1"/>
  <c r="G517" i="7"/>
  <c r="G516" i="7" s="1"/>
  <c r="G514" i="7"/>
  <c r="G513" i="7" s="1"/>
  <c r="G508" i="7"/>
  <c r="G507" i="7" s="1"/>
  <c r="G502" i="7"/>
  <c r="G501" i="7" s="1"/>
  <c r="AD963" i="2"/>
  <c r="G564" i="7" l="1"/>
  <c r="AD1009" i="2"/>
  <c r="AD837" i="2"/>
  <c r="F813" i="7" s="1"/>
  <c r="AD450" i="2" l="1"/>
  <c r="AD451" i="2" l="1"/>
  <c r="AD280" i="2"/>
  <c r="AD112" i="2"/>
  <c r="G813" i="7"/>
  <c r="AD791" i="2" l="1"/>
  <c r="AD775" i="2"/>
  <c r="F677" i="9" l="1"/>
  <c r="F676" i="9" s="1"/>
  <c r="E677" i="9"/>
  <c r="E676" i="9" s="1"/>
  <c r="J570" i="7"/>
  <c r="H570" i="7"/>
  <c r="F571" i="7"/>
  <c r="D677" i="9" s="1"/>
  <c r="D676" i="9" s="1"/>
  <c r="AE335" i="2"/>
  <c r="AE334" i="2" s="1"/>
  <c r="AF335" i="2"/>
  <c r="AF334" i="2" s="1"/>
  <c r="AD335" i="2"/>
  <c r="AD334" i="2" s="1"/>
  <c r="AD455" i="2"/>
  <c r="AD676" i="2"/>
  <c r="AD656" i="2"/>
  <c r="AD645" i="2"/>
  <c r="F570" i="7" l="1"/>
  <c r="G809" i="7"/>
  <c r="AD424" i="2"/>
  <c r="AD416" i="2"/>
  <c r="AD414" i="2"/>
  <c r="AD121" i="2"/>
  <c r="AD123" i="2"/>
  <c r="AD1062" i="2" l="1"/>
  <c r="AD887" i="2"/>
  <c r="F535" i="9" l="1"/>
  <c r="F534" i="9" s="1"/>
  <c r="E535" i="9"/>
  <c r="E534" i="9" s="1"/>
  <c r="F532" i="9"/>
  <c r="F531" i="9" s="1"/>
  <c r="E532" i="9"/>
  <c r="E531" i="9" s="1"/>
  <c r="F529" i="9"/>
  <c r="F528" i="9" s="1"/>
  <c r="E529" i="9"/>
  <c r="E528" i="9" s="1"/>
  <c r="F526" i="9"/>
  <c r="F525" i="9" s="1"/>
  <c r="E526" i="9"/>
  <c r="E525" i="9" s="1"/>
  <c r="F523" i="9"/>
  <c r="F522" i="9" s="1"/>
  <c r="E523" i="9"/>
  <c r="E522" i="9" s="1"/>
  <c r="F520" i="9"/>
  <c r="F519" i="9" s="1"/>
  <c r="E520" i="9"/>
  <c r="E519" i="9" s="1"/>
  <c r="F517" i="9"/>
  <c r="F516" i="9" s="1"/>
  <c r="E517" i="9"/>
  <c r="E516" i="9" s="1"/>
  <c r="F514" i="9"/>
  <c r="F513" i="9" s="1"/>
  <c r="E514" i="9"/>
  <c r="E513" i="9" s="1"/>
  <c r="F511" i="9"/>
  <c r="F510" i="9" s="1"/>
  <c r="E511" i="9"/>
  <c r="E510" i="9" s="1"/>
  <c r="F508" i="9"/>
  <c r="E508" i="9"/>
  <c r="E507" i="9" s="1"/>
  <c r="F507" i="9"/>
  <c r="F505" i="9"/>
  <c r="F504" i="9" s="1"/>
  <c r="E505" i="9"/>
  <c r="E504" i="9" s="1"/>
  <c r="F502" i="9"/>
  <c r="F501" i="9" s="1"/>
  <c r="E502" i="9"/>
  <c r="E501" i="9" s="1"/>
  <c r="F499" i="9"/>
  <c r="F498" i="9" s="1"/>
  <c r="E499" i="9"/>
  <c r="E498" i="9" s="1"/>
  <c r="F493" i="9"/>
  <c r="F492" i="9" s="1"/>
  <c r="E493" i="9"/>
  <c r="E492" i="9" s="1"/>
  <c r="F509" i="7"/>
  <c r="F521" i="7"/>
  <c r="F524" i="7"/>
  <c r="F533" i="7"/>
  <c r="F503" i="7"/>
  <c r="F512" i="7"/>
  <c r="F515" i="7"/>
  <c r="F518" i="7"/>
  <c r="F517" i="7" s="1"/>
  <c r="F516" i="7" s="1"/>
  <c r="F527" i="7"/>
  <c r="F530" i="7"/>
  <c r="F536" i="7"/>
  <c r="F539" i="7"/>
  <c r="F542" i="7"/>
  <c r="J541" i="7"/>
  <c r="J540" i="7" s="1"/>
  <c r="H541" i="7"/>
  <c r="H540" i="7" s="1"/>
  <c r="J537" i="7"/>
  <c r="H537" i="7"/>
  <c r="J535" i="7"/>
  <c r="J534" i="7" s="1"/>
  <c r="H535" i="7"/>
  <c r="H534" i="7" s="1"/>
  <c r="J531" i="7"/>
  <c r="H531" i="7"/>
  <c r="J528" i="7"/>
  <c r="H528" i="7"/>
  <c r="J526" i="7"/>
  <c r="J525" i="7" s="1"/>
  <c r="H526" i="7"/>
  <c r="H525" i="7" s="1"/>
  <c r="J523" i="7"/>
  <c r="J522" i="7" s="1"/>
  <c r="H523" i="7"/>
  <c r="H522" i="7" s="1"/>
  <c r="J519" i="7"/>
  <c r="H519" i="7"/>
  <c r="J517" i="7"/>
  <c r="J516" i="7" s="1"/>
  <c r="H517" i="7"/>
  <c r="H516" i="7" s="1"/>
  <c r="J514" i="7"/>
  <c r="J513" i="7" s="1"/>
  <c r="H514" i="7"/>
  <c r="H513" i="7" s="1"/>
  <c r="J511" i="7"/>
  <c r="J510" i="7" s="1"/>
  <c r="H511" i="7"/>
  <c r="H510" i="7" s="1"/>
  <c r="J508" i="7"/>
  <c r="J507" i="7" s="1"/>
  <c r="H508" i="7"/>
  <c r="H507" i="7" s="1"/>
  <c r="J502" i="7"/>
  <c r="J501" i="7" s="1"/>
  <c r="H502" i="7"/>
  <c r="H501" i="7" s="1"/>
  <c r="AF986" i="2"/>
  <c r="AF985" i="2" s="1"/>
  <c r="AE986" i="2"/>
  <c r="AE985" i="2" s="1"/>
  <c r="AD986" i="2"/>
  <c r="AD985" i="2" s="1"/>
  <c r="AD983" i="2"/>
  <c r="AD982" i="2" s="1"/>
  <c r="AF982" i="2"/>
  <c r="AE982" i="2"/>
  <c r="AF980" i="2"/>
  <c r="AF979" i="2" s="1"/>
  <c r="AE980" i="2"/>
  <c r="AE979" i="2" s="1"/>
  <c r="AD980" i="2"/>
  <c r="AD979" i="2" s="1"/>
  <c r="AD977" i="2"/>
  <c r="AD976" i="2" s="1"/>
  <c r="AF976" i="2"/>
  <c r="AE976" i="2"/>
  <c r="AD974" i="2"/>
  <c r="AD973" i="2" s="1"/>
  <c r="AF973" i="2"/>
  <c r="AE973" i="2"/>
  <c r="AF971" i="2"/>
  <c r="AF970" i="2" s="1"/>
  <c r="AE971" i="2"/>
  <c r="AE970" i="2" s="1"/>
  <c r="AD971" i="2"/>
  <c r="AD970" i="2" s="1"/>
  <c r="AF968" i="2"/>
  <c r="AF967" i="2" s="1"/>
  <c r="AE968" i="2"/>
  <c r="AE967" i="2" s="1"/>
  <c r="AD968" i="2"/>
  <c r="AD967" i="2" s="1"/>
  <c r="AD965" i="2"/>
  <c r="AD964" i="2" s="1"/>
  <c r="AF964" i="2"/>
  <c r="AE964" i="2"/>
  <c r="AF962" i="2"/>
  <c r="AF961" i="2" s="1"/>
  <c r="AE962" i="2"/>
  <c r="AE961" i="2" s="1"/>
  <c r="AD962" i="2"/>
  <c r="AD961" i="2" s="1"/>
  <c r="AF959" i="2"/>
  <c r="AF958" i="2" s="1"/>
  <c r="AE959" i="2"/>
  <c r="AE958" i="2" s="1"/>
  <c r="AD959" i="2"/>
  <c r="AD958" i="2" s="1"/>
  <c r="AF956" i="2"/>
  <c r="AF955" i="2" s="1"/>
  <c r="AE956" i="2"/>
  <c r="AE955" i="2" s="1"/>
  <c r="AD956" i="2"/>
  <c r="AD955" i="2" s="1"/>
  <c r="AF953" i="2"/>
  <c r="AF952" i="2" s="1"/>
  <c r="AE953" i="2"/>
  <c r="AE952" i="2" s="1"/>
  <c r="AD953" i="2"/>
  <c r="AD952" i="2" s="1"/>
  <c r="AF947" i="2"/>
  <c r="AF946" i="2" s="1"/>
  <c r="AE947" i="2"/>
  <c r="AE946" i="2" s="1"/>
  <c r="AD947" i="2"/>
  <c r="AD946" i="2" s="1"/>
  <c r="F541" i="7" l="1"/>
  <c r="F538" i="7"/>
  <c r="D527" i="9"/>
  <c r="D526" i="9" s="1"/>
  <c r="D525" i="9" s="1"/>
  <c r="F532" i="7"/>
  <c r="F529" i="7"/>
  <c r="F526" i="7"/>
  <c r="F523" i="7"/>
  <c r="F520" i="7"/>
  <c r="D512" i="9"/>
  <c r="D511" i="9" s="1"/>
  <c r="D510" i="9" s="1"/>
  <c r="F514" i="7"/>
  <c r="F511" i="7"/>
  <c r="F508" i="7"/>
  <c r="F502" i="7"/>
  <c r="D521" i="9"/>
  <c r="D520" i="9" s="1"/>
  <c r="D519" i="9" s="1"/>
  <c r="D533" i="9"/>
  <c r="D532" i="9" s="1"/>
  <c r="D531" i="9" s="1"/>
  <c r="D506" i="9"/>
  <c r="D505" i="9" s="1"/>
  <c r="D504" i="9" s="1"/>
  <c r="D524" i="9"/>
  <c r="D523" i="9" s="1"/>
  <c r="D522" i="9" s="1"/>
  <c r="D494" i="9"/>
  <c r="D493" i="9" s="1"/>
  <c r="D492" i="9" s="1"/>
  <c r="F535" i="7"/>
  <c r="D530" i="9"/>
  <c r="D529" i="9" s="1"/>
  <c r="D528" i="9" s="1"/>
  <c r="D518" i="9"/>
  <c r="D517" i="9" s="1"/>
  <c r="D516" i="9" s="1"/>
  <c r="D503" i="9"/>
  <c r="D502" i="9" s="1"/>
  <c r="D501" i="9" s="1"/>
  <c r="D509" i="9"/>
  <c r="D508" i="9" s="1"/>
  <c r="D507" i="9" s="1"/>
  <c r="D515" i="9"/>
  <c r="D514" i="9" s="1"/>
  <c r="D513" i="9" s="1"/>
  <c r="D500" i="9"/>
  <c r="D499" i="9" s="1"/>
  <c r="D498" i="9" s="1"/>
  <c r="F540" i="7" l="1"/>
  <c r="F537" i="7"/>
  <c r="F534" i="7"/>
  <c r="F531" i="7"/>
  <c r="F528" i="7"/>
  <c r="F525" i="7"/>
  <c r="F522" i="7"/>
  <c r="F519" i="7"/>
  <c r="F513" i="7"/>
  <c r="F510" i="7"/>
  <c r="F507" i="7"/>
  <c r="F501" i="7"/>
  <c r="AF1014" i="2"/>
  <c r="AE1014" i="2"/>
  <c r="I476" i="7" l="1"/>
  <c r="I475" i="7" s="1"/>
  <c r="I474" i="7" s="1"/>
  <c r="I470" i="7" s="1"/>
  <c r="I469" i="7" l="1"/>
  <c r="I468" i="7" s="1"/>
  <c r="I467" i="7" s="1"/>
  <c r="J713" i="7"/>
  <c r="J712" i="7" s="1"/>
  <c r="J711" i="7" s="1"/>
  <c r="J710" i="7" s="1"/>
  <c r="J709" i="7" s="1"/>
  <c r="J708" i="7" s="1"/>
  <c r="J707" i="7" s="1"/>
  <c r="H713" i="7"/>
  <c r="H712" i="7" s="1"/>
  <c r="H711" i="7" s="1"/>
  <c r="H710" i="7" s="1"/>
  <c r="H709" i="7" s="1"/>
  <c r="H708" i="7" s="1"/>
  <c r="H707" i="7" s="1"/>
  <c r="F713" i="7"/>
  <c r="AE774" i="2"/>
  <c r="AE773" i="2" s="1"/>
  <c r="AE772" i="2" s="1"/>
  <c r="AE771" i="2" s="1"/>
  <c r="AE770" i="2" s="1"/>
  <c r="AE769" i="2" s="1"/>
  <c r="AF774" i="2"/>
  <c r="AF773" i="2" s="1"/>
  <c r="AF772" i="2" s="1"/>
  <c r="AF771" i="2" s="1"/>
  <c r="AF770" i="2" s="1"/>
  <c r="AF769" i="2" s="1"/>
  <c r="AD774" i="2"/>
  <c r="AD773" i="2" s="1"/>
  <c r="AD772" i="2" s="1"/>
  <c r="AD771" i="2" s="1"/>
  <c r="AD770" i="2" s="1"/>
  <c r="AD769" i="2" s="1"/>
  <c r="F712" i="7" l="1"/>
  <c r="F711" i="7" s="1"/>
  <c r="F710" i="7" s="1"/>
  <c r="F709" i="7" s="1"/>
  <c r="F708" i="7" s="1"/>
  <c r="F707" i="7" s="1"/>
  <c r="AD225" i="2"/>
  <c r="J83" i="7" l="1"/>
  <c r="J82" i="7" s="1"/>
  <c r="H83" i="7"/>
  <c r="E422" i="9" s="1"/>
  <c r="E421" i="9" s="1"/>
  <c r="F83" i="7"/>
  <c r="AE53" i="2"/>
  <c r="AF53" i="2"/>
  <c r="AD53" i="2"/>
  <c r="F82" i="7" l="1"/>
  <c r="D422" i="9"/>
  <c r="D421" i="9" s="1"/>
  <c r="H82" i="7"/>
  <c r="F422" i="9"/>
  <c r="F421" i="9" s="1"/>
  <c r="AD1100" i="2"/>
  <c r="AD762" i="2"/>
  <c r="AD861" i="2" l="1"/>
  <c r="AE940" i="2"/>
  <c r="F622" i="9" l="1"/>
  <c r="F621" i="9" s="1"/>
  <c r="F620" i="9" s="1"/>
  <c r="E622" i="9"/>
  <c r="E621" i="9" s="1"/>
  <c r="E620" i="9" s="1"/>
  <c r="G836" i="7"/>
  <c r="G835" i="7" s="1"/>
  <c r="H836" i="7"/>
  <c r="H835" i="7" s="1"/>
  <c r="J836" i="7"/>
  <c r="J835" i="7" s="1"/>
  <c r="F837" i="7"/>
  <c r="D622" i="9" s="1"/>
  <c r="D621" i="9" s="1"/>
  <c r="D620" i="9" s="1"/>
  <c r="AE860" i="2"/>
  <c r="AE859" i="2" s="1"/>
  <c r="AF860" i="2"/>
  <c r="AF859" i="2" s="1"/>
  <c r="AD860" i="2"/>
  <c r="AD859" i="2" s="1"/>
  <c r="AD731" i="2"/>
  <c r="AD748" i="2"/>
  <c r="AD179" i="2"/>
  <c r="AD195" i="2"/>
  <c r="AD895" i="2"/>
  <c r="AF908" i="2"/>
  <c r="K395" i="7"/>
  <c r="AF940" i="2"/>
  <c r="G556" i="7"/>
  <c r="G555" i="7" s="1"/>
  <c r="G548" i="7" s="1"/>
  <c r="J557" i="7"/>
  <c r="F654" i="9" s="1"/>
  <c r="F653" i="9" s="1"/>
  <c r="F652" i="9" s="1"/>
  <c r="H557" i="7"/>
  <c r="H556" i="7" s="1"/>
  <c r="H555" i="7" s="1"/>
  <c r="AE1001" i="2"/>
  <c r="AE1000" i="2" s="1"/>
  <c r="AF1001" i="2"/>
  <c r="AF1000" i="2" s="1"/>
  <c r="AD1002" i="2"/>
  <c r="F557" i="7" s="1"/>
  <c r="G933" i="7"/>
  <c r="AD1103" i="2"/>
  <c r="F836" i="7" l="1"/>
  <c r="F835" i="7" s="1"/>
  <c r="J556" i="7"/>
  <c r="J555" i="7" s="1"/>
  <c r="D654" i="9"/>
  <c r="D653" i="9" s="1"/>
  <c r="D652" i="9" s="1"/>
  <c r="F556" i="7"/>
  <c r="F555" i="7" s="1"/>
  <c r="AD1001" i="2"/>
  <c r="AD1000" i="2" s="1"/>
  <c r="E654" i="9"/>
  <c r="E653" i="9" s="1"/>
  <c r="E652" i="9" s="1"/>
  <c r="AE886" i="2"/>
  <c r="AE885" i="2" s="1"/>
  <c r="AE884" i="2" s="1"/>
  <c r="AE883" i="2" s="1"/>
  <c r="AE882" i="2" s="1"/>
  <c r="AE881" i="2" s="1"/>
  <c r="AE880" i="2" s="1"/>
  <c r="AF886" i="2"/>
  <c r="AF885" i="2" s="1"/>
  <c r="AF884" i="2" s="1"/>
  <c r="AF883" i="2" s="1"/>
  <c r="AF882" i="2" s="1"/>
  <c r="AF881" i="2" s="1"/>
  <c r="AF880" i="2" s="1"/>
  <c r="AD886" i="2"/>
  <c r="AD885" i="2" s="1"/>
  <c r="AD884" i="2" s="1"/>
  <c r="AD883" i="2" s="1"/>
  <c r="AD882" i="2" s="1"/>
  <c r="AD881" i="2" s="1"/>
  <c r="AD880" i="2" s="1"/>
  <c r="AD951" i="2" l="1"/>
  <c r="F506" i="7" s="1"/>
  <c r="D497" i="9" s="1"/>
  <c r="G544" i="7"/>
  <c r="G543" i="7" s="1"/>
  <c r="AD990" i="2"/>
  <c r="G505" i="7"/>
  <c r="G504" i="7" s="1"/>
  <c r="AD575" i="2"/>
  <c r="AD806" i="2"/>
  <c r="AD481" i="2"/>
  <c r="AD397" i="2"/>
  <c r="AD272" i="2"/>
  <c r="AE583" i="2"/>
  <c r="AE582" i="2" s="1"/>
  <c r="AE581" i="2" s="1"/>
  <c r="AE580" i="2" s="1"/>
  <c r="AE579" i="2" s="1"/>
  <c r="AE578" i="2" s="1"/>
  <c r="AE577" i="2" s="1"/>
  <c r="AE576" i="2" s="1"/>
  <c r="AF583" i="2"/>
  <c r="AF582" i="2" s="1"/>
  <c r="AF581" i="2" s="1"/>
  <c r="AF580" i="2" s="1"/>
  <c r="AF579" i="2" s="1"/>
  <c r="AF578" i="2" s="1"/>
  <c r="AF577" i="2" s="1"/>
  <c r="AF576" i="2" s="1"/>
  <c r="AD583" i="2"/>
  <c r="AD582" i="2" s="1"/>
  <c r="AD581" i="2" s="1"/>
  <c r="AD580" i="2" s="1"/>
  <c r="AD579" i="2" s="1"/>
  <c r="AD578" i="2" s="1"/>
  <c r="AD577" i="2" s="1"/>
  <c r="AD576" i="2" s="1"/>
  <c r="F859" i="7"/>
  <c r="G500" i="7" l="1"/>
  <c r="G499" i="7" s="1"/>
  <c r="G498" i="7" s="1"/>
  <c r="G492" i="7" s="1"/>
  <c r="E659" i="9" l="1"/>
  <c r="E658" i="9" s="1"/>
  <c r="F659" i="9"/>
  <c r="F658" i="9" s="1"/>
  <c r="H408" i="7"/>
  <c r="H407" i="7" s="1"/>
  <c r="I408" i="7"/>
  <c r="I407" i="7" s="1"/>
  <c r="J408" i="7"/>
  <c r="J407" i="7" s="1"/>
  <c r="K408" i="7"/>
  <c r="K407" i="7" s="1"/>
  <c r="G408" i="7"/>
  <c r="G407" i="7" s="1"/>
  <c r="AE916" i="2"/>
  <c r="AE915" i="2" s="1"/>
  <c r="AF916" i="2"/>
  <c r="AF915" i="2" s="1"/>
  <c r="AD917" i="2"/>
  <c r="F409" i="7" s="1"/>
  <c r="F408" i="7" s="1"/>
  <c r="F407" i="7" s="1"/>
  <c r="AD916" i="2" l="1"/>
  <c r="AD915" i="2" s="1"/>
  <c r="D660" i="9"/>
  <c r="D659" i="9" s="1"/>
  <c r="D658" i="9" s="1"/>
  <c r="AD1084" i="2" l="1"/>
  <c r="AD1048" i="2"/>
  <c r="AD795" i="2" l="1"/>
  <c r="J405" i="7" l="1"/>
  <c r="J404" i="7" s="1"/>
  <c r="J403" i="7" s="1"/>
  <c r="H405" i="7"/>
  <c r="H404" i="7" s="1"/>
  <c r="H403" i="7" s="1"/>
  <c r="H412" i="7"/>
  <c r="H411" i="7" s="1"/>
  <c r="H410" i="7" s="1"/>
  <c r="G405" i="7"/>
  <c r="G404" i="7" s="1"/>
  <c r="G403" i="7" s="1"/>
  <c r="F406" i="7"/>
  <c r="AE913" i="2"/>
  <c r="AE912" i="2" s="1"/>
  <c r="AE911" i="2" s="1"/>
  <c r="AF913" i="2"/>
  <c r="AF912" i="2" s="1"/>
  <c r="AF911" i="2" s="1"/>
  <c r="F405" i="7" l="1"/>
  <c r="F404" i="7" s="1"/>
  <c r="F403" i="7" s="1"/>
  <c r="D657" i="9"/>
  <c r="AD913" i="2"/>
  <c r="AD912" i="2" s="1"/>
  <c r="AD911" i="2" s="1"/>
  <c r="H402" i="7"/>
  <c r="AD58" i="2"/>
  <c r="E312" i="9" l="1"/>
  <c r="E252" i="9"/>
  <c r="J885" i="7"/>
  <c r="J884" i="7" s="1"/>
  <c r="J883" i="7" s="1"/>
  <c r="J882" i="7" s="1"/>
  <c r="J881" i="7" s="1"/>
  <c r="J880" i="7" s="1"/>
  <c r="H885" i="7"/>
  <c r="F252" i="9" s="1"/>
  <c r="F885" i="7"/>
  <c r="D252" i="9" s="1"/>
  <c r="AE475" i="2"/>
  <c r="AE474" i="2" s="1"/>
  <c r="AE473" i="2" s="1"/>
  <c r="AE472" i="2" s="1"/>
  <c r="AE471" i="2" s="1"/>
  <c r="AF475" i="2"/>
  <c r="AF474" i="2" s="1"/>
  <c r="AF473" i="2" s="1"/>
  <c r="AF472" i="2" s="1"/>
  <c r="AF471" i="2" s="1"/>
  <c r="AD475" i="2"/>
  <c r="AD474" i="2" s="1"/>
  <c r="AD473" i="2" s="1"/>
  <c r="AD472" i="2" s="1"/>
  <c r="AD471" i="2" s="1"/>
  <c r="I725" i="7"/>
  <c r="J759" i="7"/>
  <c r="J758" i="7" s="1"/>
  <c r="J757" i="7" s="1"/>
  <c r="J756" i="7" s="1"/>
  <c r="J755" i="7" s="1"/>
  <c r="J754" i="7" s="1"/>
  <c r="H759" i="7"/>
  <c r="H758" i="7" s="1"/>
  <c r="H757" i="7" s="1"/>
  <c r="H756" i="7" s="1"/>
  <c r="H755" i="7" s="1"/>
  <c r="H754" i="7" s="1"/>
  <c r="F759" i="7"/>
  <c r="F758" i="7" s="1"/>
  <c r="F757" i="7" s="1"/>
  <c r="F756" i="7" s="1"/>
  <c r="F755" i="7" s="1"/>
  <c r="F754" i="7" s="1"/>
  <c r="AE396" i="2"/>
  <c r="AE395" i="2" s="1"/>
  <c r="AE394" i="2" s="1"/>
  <c r="AE393" i="2" s="1"/>
  <c r="AE392" i="2" s="1"/>
  <c r="AF396" i="2"/>
  <c r="AF395" i="2" s="1"/>
  <c r="AF394" i="2" s="1"/>
  <c r="AF393" i="2" s="1"/>
  <c r="AF392" i="2" s="1"/>
  <c r="AD396" i="2"/>
  <c r="AD395" i="2" s="1"/>
  <c r="AD788" i="2"/>
  <c r="H884" i="7" l="1"/>
  <c r="H883" i="7" s="1"/>
  <c r="H882" i="7" s="1"/>
  <c r="H881" i="7" s="1"/>
  <c r="H880" i="7" s="1"/>
  <c r="F884" i="7"/>
  <c r="F883" i="7" s="1"/>
  <c r="F882" i="7" s="1"/>
  <c r="F881" i="7" s="1"/>
  <c r="F880" i="7" s="1"/>
  <c r="AD394" i="2"/>
  <c r="AD393" i="2" s="1"/>
  <c r="AD392" i="2" s="1"/>
  <c r="F656" i="9"/>
  <c r="F655" i="9" s="1"/>
  <c r="J812" i="7"/>
  <c r="E202" i="9"/>
  <c r="E201" i="9" s="1"/>
  <c r="G812" i="7"/>
  <c r="D656" i="9" l="1"/>
  <c r="D655" i="9" s="1"/>
  <c r="F202" i="9"/>
  <c r="F201" i="9" s="1"/>
  <c r="E656" i="9"/>
  <c r="E655" i="9" s="1"/>
  <c r="H812" i="7"/>
  <c r="J229" i="7" l="1"/>
  <c r="J228" i="7" s="1"/>
  <c r="H229" i="7"/>
  <c r="E466" i="9" s="1"/>
  <c r="E465" i="9" s="1"/>
  <c r="F229" i="7"/>
  <c r="F228" i="7" s="1"/>
  <c r="AE113" i="2"/>
  <c r="AF113" i="2"/>
  <c r="AD113" i="2"/>
  <c r="AD1046" i="2"/>
  <c r="D466" i="9" l="1"/>
  <c r="D465" i="9" s="1"/>
  <c r="H228" i="7"/>
  <c r="F466" i="9"/>
  <c r="F465" i="9" s="1"/>
  <c r="AD1139" i="2" l="1"/>
  <c r="J238" i="7"/>
  <c r="F475" i="9" s="1"/>
  <c r="F474" i="9" s="1"/>
  <c r="H238" i="7"/>
  <c r="H237" i="7" s="1"/>
  <c r="F238" i="7"/>
  <c r="D475" i="9" s="1"/>
  <c r="D474" i="9" s="1"/>
  <c r="AE122" i="2"/>
  <c r="AF122" i="2"/>
  <c r="AD122" i="2"/>
  <c r="AD209" i="2"/>
  <c r="J237" i="7" l="1"/>
  <c r="E475" i="9"/>
  <c r="E474" i="9" s="1"/>
  <c r="F237" i="7"/>
  <c r="J648" i="7"/>
  <c r="J647" i="7" s="1"/>
  <c r="J646" i="7" s="1"/>
  <c r="J645" i="7" s="1"/>
  <c r="H648" i="7"/>
  <c r="E346" i="9" s="1"/>
  <c r="E345" i="9" s="1"/>
  <c r="E344" i="9" s="1"/>
  <c r="E343" i="9" s="1"/>
  <c r="F648" i="7"/>
  <c r="D346" i="9" s="1"/>
  <c r="D345" i="9" s="1"/>
  <c r="D344" i="9" s="1"/>
  <c r="D343" i="9" s="1"/>
  <c r="AE1061" i="2"/>
  <c r="AE1060" i="2" s="1"/>
  <c r="AE1059" i="2" s="1"/>
  <c r="AF1061" i="2"/>
  <c r="AF1060" i="2" s="1"/>
  <c r="AF1059" i="2" s="1"/>
  <c r="AD1061" i="2"/>
  <c r="AD1060" i="2" s="1"/>
  <c r="AD1059" i="2" s="1"/>
  <c r="F647" i="7" l="1"/>
  <c r="F646" i="7" s="1"/>
  <c r="F645" i="7" s="1"/>
  <c r="H647" i="7"/>
  <c r="H646" i="7" s="1"/>
  <c r="H645" i="7" s="1"/>
  <c r="F346" i="9"/>
  <c r="F345" i="9" s="1"/>
  <c r="F344" i="9" s="1"/>
  <c r="F343" i="9" s="1"/>
  <c r="J346" i="7"/>
  <c r="F256" i="9" s="1"/>
  <c r="F255" i="9" s="1"/>
  <c r="F346" i="7"/>
  <c r="D256" i="9" s="1"/>
  <c r="D255" i="9" s="1"/>
  <c r="AE228" i="2"/>
  <c r="AF228" i="2"/>
  <c r="AD228" i="2"/>
  <c r="AD840" i="2"/>
  <c r="G808" i="7"/>
  <c r="F811" i="7"/>
  <c r="D202" i="9" l="1"/>
  <c r="D201" i="9" s="1"/>
  <c r="F812" i="7"/>
  <c r="F345" i="7"/>
  <c r="J345" i="7"/>
  <c r="G816" i="7"/>
  <c r="AD836" i="2"/>
  <c r="AD835" i="2" s="1"/>
  <c r="AD567" i="2"/>
  <c r="AE836" i="2"/>
  <c r="AE835" i="2" s="1"/>
  <c r="AF836" i="2"/>
  <c r="AF835" i="2" s="1"/>
  <c r="AE852" i="2"/>
  <c r="AD1111" i="2" l="1"/>
  <c r="J554" i="7"/>
  <c r="J553" i="7" s="1"/>
  <c r="J552" i="7" s="1"/>
  <c r="H554" i="7"/>
  <c r="H553" i="7" s="1"/>
  <c r="H552" i="7" s="1"/>
  <c r="F554" i="7"/>
  <c r="AF998" i="2"/>
  <c r="AF997" i="2" s="1"/>
  <c r="AE998" i="2"/>
  <c r="AE997" i="2" s="1"/>
  <c r="AD998" i="2" l="1"/>
  <c r="AD997" i="2" s="1"/>
  <c r="D651" i="9"/>
  <c r="D650" i="9" s="1"/>
  <c r="D649" i="9" s="1"/>
  <c r="F553" i="7"/>
  <c r="F552" i="7" s="1"/>
  <c r="F651" i="9"/>
  <c r="F650" i="9" s="1"/>
  <c r="F649" i="9" s="1"/>
  <c r="E651" i="9"/>
  <c r="E650" i="9" s="1"/>
  <c r="E649" i="9" s="1"/>
  <c r="I828" i="7" l="1"/>
  <c r="G262" i="7" l="1"/>
  <c r="G261" i="7" s="1"/>
  <c r="G260" i="7" s="1"/>
  <c r="G255" i="7" s="1"/>
  <c r="G254" i="7" s="1"/>
  <c r="AD138" i="2"/>
  <c r="AD134" i="2"/>
  <c r="I827" i="7" l="1"/>
  <c r="AF755" i="2" l="1"/>
  <c r="E591" i="9" l="1"/>
  <c r="E590" i="9" s="1"/>
  <c r="E589" i="9" s="1"/>
  <c r="F591" i="9"/>
  <c r="F590" i="9" s="1"/>
  <c r="F589" i="9" s="1"/>
  <c r="J263" i="7"/>
  <c r="J262" i="7" s="1"/>
  <c r="J261" i="7" s="1"/>
  <c r="J260" i="7" s="1"/>
  <c r="H263" i="7"/>
  <c r="H262" i="7" s="1"/>
  <c r="H261" i="7" s="1"/>
  <c r="H260" i="7" s="1"/>
  <c r="F263" i="7"/>
  <c r="D592" i="9" s="1"/>
  <c r="D591" i="9" s="1"/>
  <c r="D590" i="9" s="1"/>
  <c r="D589" i="9" s="1"/>
  <c r="AE147" i="2"/>
  <c r="AE146" i="2" s="1"/>
  <c r="AE145" i="2" s="1"/>
  <c r="AF147" i="2"/>
  <c r="AF146" i="2" s="1"/>
  <c r="AF145" i="2" s="1"/>
  <c r="AD147" i="2"/>
  <c r="AD146" i="2" s="1"/>
  <c r="AD145" i="2" s="1"/>
  <c r="G462" i="7"/>
  <c r="AD310" i="2"/>
  <c r="AD739" i="2"/>
  <c r="F262" i="7" l="1"/>
  <c r="F261" i="7" s="1"/>
  <c r="F260" i="7" s="1"/>
  <c r="E399" i="9"/>
  <c r="F399" i="9"/>
  <c r="H199" i="7"/>
  <c r="J199" i="7"/>
  <c r="F200" i="7"/>
  <c r="F199" i="7" s="1"/>
  <c r="AE662" i="2"/>
  <c r="AF662" i="2"/>
  <c r="AE657" i="2"/>
  <c r="AF657" i="2"/>
  <c r="AD657" i="2"/>
  <c r="AD663" i="2"/>
  <c r="AD662" i="2" s="1"/>
  <c r="D400" i="9" l="1"/>
  <c r="D399" i="9" s="1"/>
  <c r="F267" i="7"/>
  <c r="AE675" i="2"/>
  <c r="AE674" i="2" s="1"/>
  <c r="AE673" i="2" s="1"/>
  <c r="AF675" i="2"/>
  <c r="AF674" i="2" s="1"/>
  <c r="AF673" i="2" s="1"/>
  <c r="AD675" i="2"/>
  <c r="AD674" i="2" s="1"/>
  <c r="AD673" i="2" s="1"/>
  <c r="J314" i="7"/>
  <c r="F300" i="9" s="1"/>
  <c r="F299" i="9" s="1"/>
  <c r="H314" i="7"/>
  <c r="H313" i="7" s="1"/>
  <c r="F314" i="7"/>
  <c r="F313" i="7" s="1"/>
  <c r="AE196" i="2"/>
  <c r="AF196" i="2"/>
  <c r="AD196" i="2"/>
  <c r="E251" i="9"/>
  <c r="AE795" i="2"/>
  <c r="AF795" i="2"/>
  <c r="AD728" i="2"/>
  <c r="J30" i="7"/>
  <c r="J29" i="7" s="1"/>
  <c r="J28" i="7" s="1"/>
  <c r="J27" i="7" s="1"/>
  <c r="J26" i="7" s="1"/>
  <c r="J25" i="7" s="1"/>
  <c r="J24" i="7" s="1"/>
  <c r="H30" i="7"/>
  <c r="H29" i="7" s="1"/>
  <c r="H28" i="7" s="1"/>
  <c r="H27" i="7" s="1"/>
  <c r="H26" i="7" s="1"/>
  <c r="H25" i="7" s="1"/>
  <c r="H24" i="7" s="1"/>
  <c r="F30" i="7"/>
  <c r="F29" i="7" s="1"/>
  <c r="F28" i="7" s="1"/>
  <c r="F27" i="7" s="1"/>
  <c r="F26" i="7" s="1"/>
  <c r="F25" i="7" s="1"/>
  <c r="F24" i="7" s="1"/>
  <c r="AE549" i="2"/>
  <c r="AE548" i="2" s="1"/>
  <c r="AE547" i="2" s="1"/>
  <c r="AE546" i="2" s="1"/>
  <c r="AE545" i="2" s="1"/>
  <c r="AF549" i="2"/>
  <c r="AF548" i="2" s="1"/>
  <c r="AF547" i="2" s="1"/>
  <c r="AF546" i="2" s="1"/>
  <c r="AF545" i="2" s="1"/>
  <c r="AD549" i="2"/>
  <c r="AD548" i="2" s="1"/>
  <c r="AD547" i="2" s="1"/>
  <c r="AD546" i="2" s="1"/>
  <c r="AD545" i="2" s="1"/>
  <c r="AD601" i="2"/>
  <c r="AD33" i="2"/>
  <c r="AD1051" i="2"/>
  <c r="G412" i="7"/>
  <c r="G411" i="7" s="1"/>
  <c r="G410" i="7" s="1"/>
  <c r="J413" i="7"/>
  <c r="F670" i="9" s="1"/>
  <c r="F669" i="9" s="1"/>
  <c r="F668" i="9" s="1"/>
  <c r="H401" i="7"/>
  <c r="AE920" i="2"/>
  <c r="AE919" i="2" s="1"/>
  <c r="AE918" i="2" s="1"/>
  <c r="AF920" i="2"/>
  <c r="AF919" i="2" s="1"/>
  <c r="AF918" i="2" s="1"/>
  <c r="AD921" i="2"/>
  <c r="F413" i="7" s="1"/>
  <c r="F412" i="7" s="1"/>
  <c r="F411" i="7" s="1"/>
  <c r="F410" i="7" s="1"/>
  <c r="G402" i="7" l="1"/>
  <c r="G401" i="7" s="1"/>
  <c r="F402" i="7"/>
  <c r="F401" i="7" s="1"/>
  <c r="AE910" i="2"/>
  <c r="AE909" i="2" s="1"/>
  <c r="AF910" i="2"/>
  <c r="AF909" i="2" s="1"/>
  <c r="D251" i="9"/>
  <c r="E300" i="9"/>
  <c r="E299" i="9" s="1"/>
  <c r="AD920" i="2"/>
  <c r="AD919" i="2" s="1"/>
  <c r="AD918" i="2" s="1"/>
  <c r="AD910" i="2" s="1"/>
  <c r="F251" i="9"/>
  <c r="J313" i="7"/>
  <c r="D300" i="9"/>
  <c r="D299" i="9" s="1"/>
  <c r="D670" i="9"/>
  <c r="D669" i="9" s="1"/>
  <c r="D668" i="9" s="1"/>
  <c r="E670" i="9"/>
  <c r="E669" i="9" s="1"/>
  <c r="E668" i="9" s="1"/>
  <c r="J412" i="7"/>
  <c r="J411" i="7" s="1"/>
  <c r="J410" i="7" s="1"/>
  <c r="AE755" i="2"/>
  <c r="AD755" i="2"/>
  <c r="J49" i="7"/>
  <c r="F726" i="9" s="1"/>
  <c r="F725" i="9" s="1"/>
  <c r="H49" i="7"/>
  <c r="E726" i="9" s="1"/>
  <c r="E725" i="9" s="1"/>
  <c r="F49" i="7"/>
  <c r="F48" i="7" s="1"/>
  <c r="AE568" i="2"/>
  <c r="AF568" i="2"/>
  <c r="AD568" i="2"/>
  <c r="J402" i="7" l="1"/>
  <c r="J401" i="7" s="1"/>
  <c r="AD909" i="2"/>
  <c r="J48" i="7"/>
  <c r="H48" i="7"/>
  <c r="D726" i="9"/>
  <c r="D725" i="9" s="1"/>
  <c r="H477" i="7"/>
  <c r="AF939" i="2"/>
  <c r="AF938" i="2" s="1"/>
  <c r="AF937" i="2" s="1"/>
  <c r="AD939" i="2"/>
  <c r="AD938" i="2" s="1"/>
  <c r="AD937" i="2" s="1"/>
  <c r="AD933" i="2" s="1"/>
  <c r="AE939" i="2"/>
  <c r="AE938" i="2" s="1"/>
  <c r="AE937" i="2" s="1"/>
  <c r="AE933" i="2" l="1"/>
  <c r="AE932" i="2" s="1"/>
  <c r="AE931" i="2" s="1"/>
  <c r="AE930" i="2" s="1"/>
  <c r="AF933" i="2"/>
  <c r="AF932" i="2" s="1"/>
  <c r="AF931" i="2" s="1"/>
  <c r="AF930" i="2" s="1"/>
  <c r="AD932" i="2"/>
  <c r="AD931" i="2" s="1"/>
  <c r="AD930" i="2" s="1"/>
  <c r="J477" i="7"/>
  <c r="F477" i="7"/>
  <c r="AD366" i="2"/>
  <c r="K721" i="7" l="1"/>
  <c r="J724" i="7"/>
  <c r="J723" i="7" s="1"/>
  <c r="J722" i="7" s="1"/>
  <c r="J721" i="7" s="1"/>
  <c r="H724" i="7"/>
  <c r="E774" i="9" s="1"/>
  <c r="E773" i="9" s="1"/>
  <c r="F724" i="7"/>
  <c r="F723" i="7" s="1"/>
  <c r="F722" i="7" s="1"/>
  <c r="F721" i="7" s="1"/>
  <c r="AE779" i="2"/>
  <c r="AE778" i="2" s="1"/>
  <c r="AE777" i="2" s="1"/>
  <c r="AE776" i="2" s="1"/>
  <c r="AF779" i="2"/>
  <c r="AF778" i="2" s="1"/>
  <c r="AF777" i="2" s="1"/>
  <c r="AF776" i="2" s="1"/>
  <c r="AD779" i="2"/>
  <c r="AD778" i="2" s="1"/>
  <c r="AD777" i="2" s="1"/>
  <c r="AD776" i="2" s="1"/>
  <c r="D774" i="9" l="1"/>
  <c r="D773" i="9" s="1"/>
  <c r="D772" i="9" s="1"/>
  <c r="H723" i="7"/>
  <c r="H722" i="7" s="1"/>
  <c r="H721" i="7" s="1"/>
  <c r="F774" i="9"/>
  <c r="F773" i="9" s="1"/>
  <c r="AD317" i="2"/>
  <c r="F438" i="9"/>
  <c r="F437" i="9" s="1"/>
  <c r="E438" i="9"/>
  <c r="E437" i="9" s="1"/>
  <c r="H114" i="7"/>
  <c r="J114" i="7"/>
  <c r="F115" i="7"/>
  <c r="F114" i="7" s="1"/>
  <c r="AE609" i="2"/>
  <c r="AF609" i="2"/>
  <c r="AD609" i="2"/>
  <c r="AD608" i="2"/>
  <c r="J551" i="7"/>
  <c r="F648" i="9" s="1"/>
  <c r="F647" i="9" s="1"/>
  <c r="F646" i="9" s="1"/>
  <c r="F645" i="9" s="1"/>
  <c r="H551" i="7"/>
  <c r="H550" i="7" s="1"/>
  <c r="H549" i="7" s="1"/>
  <c r="H548" i="7" s="1"/>
  <c r="F551" i="7"/>
  <c r="D648" i="9" s="1"/>
  <c r="D647" i="9" s="1"/>
  <c r="D646" i="9" s="1"/>
  <c r="D645" i="9" s="1"/>
  <c r="AE995" i="2"/>
  <c r="AE994" i="2" s="1"/>
  <c r="AE993" i="2" s="1"/>
  <c r="AF995" i="2"/>
  <c r="AF994" i="2" s="1"/>
  <c r="AF993" i="2" s="1"/>
  <c r="AD995" i="2"/>
  <c r="AD994" i="2" s="1"/>
  <c r="AD993" i="2" s="1"/>
  <c r="D438" i="9" l="1"/>
  <c r="D437" i="9" s="1"/>
  <c r="F550" i="7"/>
  <c r="F549" i="7" s="1"/>
  <c r="F548" i="7" s="1"/>
  <c r="E648" i="9"/>
  <c r="E647" i="9" s="1"/>
  <c r="E646" i="9" s="1"/>
  <c r="E645" i="9" s="1"/>
  <c r="J550" i="7"/>
  <c r="J549" i="7" s="1"/>
  <c r="J548" i="7" s="1"/>
  <c r="J424" i="7"/>
  <c r="F601" i="9" s="1"/>
  <c r="F600" i="9" s="1"/>
  <c r="F599" i="9" s="1"/>
  <c r="F598" i="9" s="1"/>
  <c r="H424" i="7"/>
  <c r="H423" i="7" s="1"/>
  <c r="H422" i="7" s="1"/>
  <c r="H421" i="7" s="1"/>
  <c r="F424" i="7"/>
  <c r="F423" i="7" s="1"/>
  <c r="F422" i="7" s="1"/>
  <c r="F421" i="7" s="1"/>
  <c r="AF275" i="2"/>
  <c r="AF274" i="2" s="1"/>
  <c r="AF273" i="2" s="1"/>
  <c r="AE275" i="2"/>
  <c r="AE274" i="2" s="1"/>
  <c r="AE273" i="2" s="1"/>
  <c r="AD275" i="2"/>
  <c r="AD274" i="2" s="1"/>
  <c r="AD273" i="2" s="1"/>
  <c r="F861" i="7"/>
  <c r="G476" i="7"/>
  <c r="G475" i="7" s="1"/>
  <c r="G474" i="7" s="1"/>
  <c r="G470" i="7" s="1"/>
  <c r="E360" i="9"/>
  <c r="E359" i="9" s="1"/>
  <c r="E358" i="9" s="1"/>
  <c r="E357" i="9" s="1"/>
  <c r="E353" i="9" s="1"/>
  <c r="J890" i="7"/>
  <c r="J889" i="7" s="1"/>
  <c r="J888" i="7" s="1"/>
  <c r="J887" i="7" s="1"/>
  <c r="J886" i="7" s="1"/>
  <c r="J879" i="7" s="1"/>
  <c r="H890" i="7"/>
  <c r="F890" i="7"/>
  <c r="D312" i="9" s="1"/>
  <c r="AE480" i="2"/>
  <c r="AE479" i="2" s="1"/>
  <c r="AE478" i="2" s="1"/>
  <c r="AE477" i="2" s="1"/>
  <c r="AE470" i="2" s="1"/>
  <c r="AF480" i="2"/>
  <c r="AF479" i="2" s="1"/>
  <c r="AF478" i="2" s="1"/>
  <c r="AF477" i="2" s="1"/>
  <c r="AF470" i="2" s="1"/>
  <c r="AD480" i="2"/>
  <c r="AD479" i="2" s="1"/>
  <c r="AD478" i="2" s="1"/>
  <c r="AD477" i="2" s="1"/>
  <c r="AD470" i="2" s="1"/>
  <c r="G469" i="7" l="1"/>
  <c r="G468" i="7" s="1"/>
  <c r="G467" i="7" s="1"/>
  <c r="E352" i="9"/>
  <c r="H889" i="7"/>
  <c r="H888" i="7" s="1"/>
  <c r="H887" i="7" s="1"/>
  <c r="H886" i="7" s="1"/>
  <c r="H879" i="7" s="1"/>
  <c r="F312" i="9"/>
  <c r="F889" i="7"/>
  <c r="F888" i="7" s="1"/>
  <c r="F887" i="7" s="1"/>
  <c r="F886" i="7" s="1"/>
  <c r="F879" i="7" s="1"/>
  <c r="D601" i="9"/>
  <c r="D600" i="9" s="1"/>
  <c r="D599" i="9" s="1"/>
  <c r="D598" i="9" s="1"/>
  <c r="E601" i="9"/>
  <c r="E600" i="9" s="1"/>
  <c r="E599" i="9" s="1"/>
  <c r="E598" i="9" s="1"/>
  <c r="J423" i="7"/>
  <c r="J422" i="7" s="1"/>
  <c r="J421" i="7" s="1"/>
  <c r="H476" i="7"/>
  <c r="H475" i="7" s="1"/>
  <c r="H474" i="7" s="1"/>
  <c r="H470" i="7" s="1"/>
  <c r="J271" i="7"/>
  <c r="J270" i="7" s="1"/>
  <c r="J269" i="7" s="1"/>
  <c r="J268" i="7" s="1"/>
  <c r="H271" i="7"/>
  <c r="E771" i="9" s="1"/>
  <c r="E770" i="9" s="1"/>
  <c r="F271" i="7"/>
  <c r="F270" i="7" s="1"/>
  <c r="F269" i="7" s="1"/>
  <c r="F268" i="7" s="1"/>
  <c r="AD155" i="2"/>
  <c r="AD154" i="2" s="1"/>
  <c r="AD153" i="2" s="1"/>
  <c r="AF155" i="2"/>
  <c r="AF154" i="2" s="1"/>
  <c r="AF153" i="2" s="1"/>
  <c r="AE155" i="2"/>
  <c r="AE154" i="2" s="1"/>
  <c r="AE153" i="2" s="1"/>
  <c r="AD364" i="2"/>
  <c r="AD93" i="2"/>
  <c r="F634" i="7"/>
  <c r="J634" i="7"/>
  <c r="J633" i="7" s="1"/>
  <c r="H634" i="7"/>
  <c r="H633" i="7" s="1"/>
  <c r="AE1047" i="2"/>
  <c r="AF1047" i="2"/>
  <c r="H469" i="7" l="1"/>
  <c r="H468" i="7" s="1"/>
  <c r="H467" i="7" s="1"/>
  <c r="F771" i="9"/>
  <c r="F770" i="9" s="1"/>
  <c r="D771" i="9"/>
  <c r="D769" i="9" s="1"/>
  <c r="D768" i="9" s="1"/>
  <c r="H270" i="7"/>
  <c r="H269" i="7" s="1"/>
  <c r="H268" i="7" s="1"/>
  <c r="E769" i="9"/>
  <c r="E768" i="9" s="1"/>
  <c r="AD1047" i="2"/>
  <c r="F699" i="9"/>
  <c r="F698" i="9" s="1"/>
  <c r="E699" i="9"/>
  <c r="E698" i="9" s="1"/>
  <c r="F633" i="7"/>
  <c r="D699" i="9"/>
  <c r="D698" i="9" s="1"/>
  <c r="F476" i="7" l="1"/>
  <c r="F475" i="7" s="1"/>
  <c r="F474" i="7" s="1"/>
  <c r="F470" i="7" s="1"/>
  <c r="D360" i="9"/>
  <c r="D359" i="9" s="1"/>
  <c r="D358" i="9" s="1"/>
  <c r="D357" i="9" s="1"/>
  <c r="D353" i="9" s="1"/>
  <c r="J476" i="7"/>
  <c r="J475" i="7" s="1"/>
  <c r="J474" i="7" s="1"/>
  <c r="J470" i="7" s="1"/>
  <c r="F360" i="9"/>
  <c r="F359" i="9" s="1"/>
  <c r="F358" i="9" s="1"/>
  <c r="F357" i="9" s="1"/>
  <c r="F353" i="9" s="1"/>
  <c r="F769" i="9"/>
  <c r="F768" i="9" s="1"/>
  <c r="D770" i="9"/>
  <c r="F352" i="9" l="1"/>
  <c r="J469" i="7"/>
  <c r="J468" i="7" s="1"/>
  <c r="J467" i="7" s="1"/>
  <c r="D352" i="9"/>
  <c r="F469" i="7"/>
  <c r="F468" i="7" s="1"/>
  <c r="F467" i="7" s="1"/>
  <c r="AD523" i="2"/>
  <c r="J969" i="7"/>
  <c r="F225" i="9" s="1"/>
  <c r="H969" i="7"/>
  <c r="E225" i="9" s="1"/>
  <c r="F969" i="7"/>
  <c r="D225" i="9" s="1"/>
  <c r="H778" i="7"/>
  <c r="J778" i="7"/>
  <c r="F778" i="7"/>
  <c r="AE415" i="2"/>
  <c r="AF415" i="2"/>
  <c r="AD415" i="2"/>
  <c r="AD184" i="2"/>
  <c r="AD819" i="2"/>
  <c r="AD852" i="2"/>
  <c r="AE92" i="2"/>
  <c r="AF92" i="2"/>
  <c r="AF91" i="2"/>
  <c r="AE91" i="2"/>
  <c r="G828" i="7"/>
  <c r="F311" i="9" l="1"/>
  <c r="D311" i="9"/>
  <c r="E311" i="9"/>
  <c r="J793" i="7"/>
  <c r="F158" i="9" s="1"/>
  <c r="F157" i="9" s="1"/>
  <c r="H793" i="7"/>
  <c r="E158" i="9" s="1"/>
  <c r="E157" i="9" s="1"/>
  <c r="F793" i="7"/>
  <c r="F792" i="7" s="1"/>
  <c r="AE820" i="2"/>
  <c r="AF820" i="2"/>
  <c r="AD820" i="2"/>
  <c r="J202" i="7"/>
  <c r="J201" i="7" s="1"/>
  <c r="H202" i="7"/>
  <c r="H201" i="7" s="1"/>
  <c r="F202" i="7"/>
  <c r="D402" i="9" s="1"/>
  <c r="D401" i="9" s="1"/>
  <c r="AE659" i="2"/>
  <c r="AF659" i="2"/>
  <c r="AD659" i="2"/>
  <c r="J491" i="7"/>
  <c r="F284" i="9" s="1"/>
  <c r="F283" i="9" s="1"/>
  <c r="H491" i="7"/>
  <c r="H490" i="7" s="1"/>
  <c r="F491" i="7"/>
  <c r="D284" i="9" s="1"/>
  <c r="D283" i="9" s="1"/>
  <c r="AD322" i="2"/>
  <c r="AE323" i="2"/>
  <c r="AF323" i="2"/>
  <c r="AD323" i="2"/>
  <c r="J328" i="7"/>
  <c r="J327" i="7" s="1"/>
  <c r="H328" i="7"/>
  <c r="H327" i="7" s="1"/>
  <c r="F328" i="7"/>
  <c r="D326" i="9" s="1"/>
  <c r="D325" i="9" s="1"/>
  <c r="AE210" i="2"/>
  <c r="AF210" i="2"/>
  <c r="AD210" i="2"/>
  <c r="J231" i="7"/>
  <c r="J230" i="7" s="1"/>
  <c r="H231" i="7"/>
  <c r="E468" i="9" s="1"/>
  <c r="E467" i="9" s="1"/>
  <c r="F231" i="7"/>
  <c r="F230" i="7" s="1"/>
  <c r="J792" i="7" l="1"/>
  <c r="D158" i="9"/>
  <c r="D157" i="9" s="1"/>
  <c r="H792" i="7"/>
  <c r="F402" i="9"/>
  <c r="F401" i="9" s="1"/>
  <c r="J490" i="7"/>
  <c r="F201" i="7"/>
  <c r="E402" i="9"/>
  <c r="E401" i="9" s="1"/>
  <c r="F490" i="7"/>
  <c r="E284" i="9"/>
  <c r="E283" i="9" s="1"/>
  <c r="D468" i="9"/>
  <c r="D467" i="9" s="1"/>
  <c r="E326" i="9"/>
  <c r="E325" i="9" s="1"/>
  <c r="F327" i="7"/>
  <c r="F326" i="9"/>
  <c r="F325" i="9" s="1"/>
  <c r="H230" i="7"/>
  <c r="F468" i="9"/>
  <c r="F467" i="9" s="1"/>
  <c r="AE115" i="2"/>
  <c r="AF115" i="2"/>
  <c r="AD115" i="2"/>
  <c r="J87" i="7"/>
  <c r="F426" i="9" s="1"/>
  <c r="F425" i="9" s="1"/>
  <c r="H87" i="7"/>
  <c r="E426" i="9" s="1"/>
  <c r="E425" i="9" s="1"/>
  <c r="F87" i="7"/>
  <c r="D426" i="9" s="1"/>
  <c r="D425" i="9" s="1"/>
  <c r="AE57" i="2"/>
  <c r="AF57" i="2"/>
  <c r="AD57" i="2"/>
  <c r="F86" i="7" l="1"/>
  <c r="J86" i="7"/>
  <c r="H86" i="7"/>
  <c r="J185" i="7"/>
  <c r="F382" i="9" s="1"/>
  <c r="H185" i="7"/>
  <c r="E382" i="9" s="1"/>
  <c r="F185" i="7"/>
  <c r="D382" i="9" s="1"/>
  <c r="AD92" i="2"/>
  <c r="AD171" i="2" l="1"/>
  <c r="J968" i="7"/>
  <c r="F224" i="9" s="1"/>
  <c r="F223" i="9" s="1"/>
  <c r="H968" i="7"/>
  <c r="E224" i="9" s="1"/>
  <c r="E223" i="9" s="1"/>
  <c r="F968" i="7"/>
  <c r="AE523" i="2"/>
  <c r="AF523" i="2"/>
  <c r="AD91" i="2"/>
  <c r="F182" i="7" s="1"/>
  <c r="J234" i="7"/>
  <c r="J233" i="7" s="1"/>
  <c r="H234" i="7"/>
  <c r="H233" i="7" s="1"/>
  <c r="F234" i="7"/>
  <c r="F233" i="7" s="1"/>
  <c r="J236" i="7"/>
  <c r="J235" i="7" s="1"/>
  <c r="H236" i="7"/>
  <c r="H235" i="7" s="1"/>
  <c r="F236" i="7"/>
  <c r="F235" i="7" s="1"/>
  <c r="AF120" i="2"/>
  <c r="AE120" i="2"/>
  <c r="AD120" i="2"/>
  <c r="AF118" i="2"/>
  <c r="AE118" i="2"/>
  <c r="AD118" i="2"/>
  <c r="AD117" i="2" l="1"/>
  <c r="J232" i="7"/>
  <c r="F232" i="7"/>
  <c r="H232" i="7"/>
  <c r="D224" i="9"/>
  <c r="D223" i="9" s="1"/>
  <c r="F967" i="7"/>
  <c r="AE117" i="2"/>
  <c r="J967" i="7"/>
  <c r="H967" i="7"/>
  <c r="E473" i="9"/>
  <c r="E472" i="9" s="1"/>
  <c r="F473" i="9"/>
  <c r="F472" i="9" s="1"/>
  <c r="F471" i="9"/>
  <c r="F470" i="9" s="1"/>
  <c r="D473" i="9"/>
  <c r="D472" i="9" s="1"/>
  <c r="E471" i="9"/>
  <c r="E470" i="9" s="1"/>
  <c r="AF117" i="2"/>
  <c r="D471" i="9"/>
  <c r="D470" i="9" s="1"/>
  <c r="E469" i="9" l="1"/>
  <c r="D469" i="9"/>
  <c r="F469" i="9"/>
  <c r="J619" i="7"/>
  <c r="F636" i="9" s="1"/>
  <c r="F635" i="9" s="1"/>
  <c r="H619" i="7"/>
  <c r="E636" i="9" s="1"/>
  <c r="E635" i="9" s="1"/>
  <c r="F619" i="7"/>
  <c r="F618" i="7" s="1"/>
  <c r="AE365" i="2"/>
  <c r="AF365" i="2"/>
  <c r="AD365" i="2"/>
  <c r="J618" i="7" l="1"/>
  <c r="H618" i="7"/>
  <c r="D636" i="9"/>
  <c r="D635" i="9" s="1"/>
  <c r="F545" i="7"/>
  <c r="E496" i="9"/>
  <c r="E495" i="9" s="1"/>
  <c r="E491" i="9" s="1"/>
  <c r="F496" i="9"/>
  <c r="F495" i="9" s="1"/>
  <c r="J544" i="7"/>
  <c r="J543" i="7" s="1"/>
  <c r="J505" i="7"/>
  <c r="J504" i="7" s="1"/>
  <c r="H544" i="7"/>
  <c r="H543" i="7" s="1"/>
  <c r="H505" i="7"/>
  <c r="H504" i="7" s="1"/>
  <c r="AE989" i="2"/>
  <c r="AE988" i="2" s="1"/>
  <c r="AF989" i="2"/>
  <c r="AF988" i="2" s="1"/>
  <c r="AE950" i="2"/>
  <c r="AE949" i="2" s="1"/>
  <c r="AF950" i="2"/>
  <c r="AF949" i="2" s="1"/>
  <c r="AD989" i="2"/>
  <c r="AD988" i="2" s="1"/>
  <c r="AD950" i="2"/>
  <c r="AD949" i="2" s="1"/>
  <c r="J500" i="7" l="1"/>
  <c r="J499" i="7" s="1"/>
  <c r="J498" i="7" s="1"/>
  <c r="AD945" i="2"/>
  <c r="AE945" i="2"/>
  <c r="AE944" i="2" s="1"/>
  <c r="AE943" i="2" s="1"/>
  <c r="AE942" i="2" s="1"/>
  <c r="F544" i="7"/>
  <c r="F543" i="7" s="1"/>
  <c r="D536" i="9"/>
  <c r="D535" i="9" s="1"/>
  <c r="D534" i="9" s="1"/>
  <c r="AF945" i="2"/>
  <c r="AF944" i="2" s="1"/>
  <c r="AF943" i="2" s="1"/>
  <c r="AF942" i="2" s="1"/>
  <c r="F491" i="9"/>
  <c r="F490" i="9" s="1"/>
  <c r="F489" i="9" s="1"/>
  <c r="H500" i="7"/>
  <c r="H499" i="7" s="1"/>
  <c r="H498" i="7" s="1"/>
  <c r="F505" i="7"/>
  <c r="F504" i="7" s="1"/>
  <c r="D496" i="9"/>
  <c r="D495" i="9" s="1"/>
  <c r="E490" i="9"/>
  <c r="E489" i="9" s="1"/>
  <c r="D491" i="9" l="1"/>
  <c r="D490" i="9" s="1"/>
  <c r="D489" i="9" s="1"/>
  <c r="F500" i="7"/>
  <c r="AD944" i="2"/>
  <c r="AD943" i="2" s="1"/>
  <c r="AD942" i="2" s="1"/>
  <c r="AF728" i="2"/>
  <c r="AE728" i="2"/>
  <c r="J182" i="7"/>
  <c r="H182" i="7"/>
  <c r="J184" i="7"/>
  <c r="J183" i="7" s="1"/>
  <c r="H184" i="7"/>
  <c r="H183" i="7" s="1"/>
  <c r="F184" i="7"/>
  <c r="F183" i="7" s="1"/>
  <c r="AF90" i="2"/>
  <c r="AE90" i="2"/>
  <c r="AD90" i="2"/>
  <c r="J742" i="7"/>
  <c r="H742" i="7"/>
  <c r="H740" i="7" s="1"/>
  <c r="F742" i="7"/>
  <c r="F741" i="7" s="1"/>
  <c r="E139" i="9"/>
  <c r="E137" i="9" s="1"/>
  <c r="D139" i="9"/>
  <c r="D137" i="9" s="1"/>
  <c r="F499" i="7" l="1"/>
  <c r="F498" i="7" s="1"/>
  <c r="J740" i="7"/>
  <c r="F139" i="9"/>
  <c r="D381" i="9"/>
  <c r="D380" i="9" s="1"/>
  <c r="F381" i="9"/>
  <c r="F380" i="9" s="1"/>
  <c r="E381" i="9"/>
  <c r="E380" i="9" s="1"/>
  <c r="J741" i="7"/>
  <c r="F740" i="7"/>
  <c r="H741" i="7"/>
  <c r="D138" i="9"/>
  <c r="E138" i="9"/>
  <c r="J735" i="7" l="1"/>
  <c r="F68" i="9" s="1"/>
  <c r="F67" i="9" s="1"/>
  <c r="F66" i="9" s="1"/>
  <c r="F65" i="9" s="1"/>
  <c r="F64" i="9" s="1"/>
  <c r="H735" i="7"/>
  <c r="H734" i="7" s="1"/>
  <c r="H733" i="7" s="1"/>
  <c r="H732" i="7" s="1"/>
  <c r="H731" i="7" s="1"/>
  <c r="F735" i="7"/>
  <c r="D68" i="9" s="1"/>
  <c r="D67" i="9" s="1"/>
  <c r="D66" i="9" s="1"/>
  <c r="D65" i="9" s="1"/>
  <c r="D64" i="9" s="1"/>
  <c r="AE383" i="2"/>
  <c r="AE382" i="2" s="1"/>
  <c r="AE381" i="2" s="1"/>
  <c r="AE380" i="2" s="1"/>
  <c r="AF383" i="2"/>
  <c r="AF382" i="2" s="1"/>
  <c r="AF381" i="2" s="1"/>
  <c r="AF380" i="2" s="1"/>
  <c r="AD383" i="2"/>
  <c r="AD382" i="2" s="1"/>
  <c r="AD381" i="2" s="1"/>
  <c r="AD380" i="2" s="1"/>
  <c r="J828" i="7"/>
  <c r="J827" i="7" s="1"/>
  <c r="J826" i="7" s="1"/>
  <c r="J831" i="7"/>
  <c r="J830" i="7" s="1"/>
  <c r="J829" i="7" s="1"/>
  <c r="F831" i="7"/>
  <c r="F830" i="7" s="1"/>
  <c r="F829" i="7" s="1"/>
  <c r="J834" i="7"/>
  <c r="J833" i="7" s="1"/>
  <c r="J832" i="7" s="1"/>
  <c r="F834" i="7"/>
  <c r="F833" i="7" s="1"/>
  <c r="F832" i="7" s="1"/>
  <c r="I833" i="7"/>
  <c r="I832" i="7" s="1"/>
  <c r="I830" i="7"/>
  <c r="I829" i="7" s="1"/>
  <c r="I826" i="7"/>
  <c r="G827" i="7"/>
  <c r="G826" i="7" s="1"/>
  <c r="AE858" i="2"/>
  <c r="AE857" i="2" s="1"/>
  <c r="AE856" i="2" s="1"/>
  <c r="AF857" i="2"/>
  <c r="AF856" i="2" s="1"/>
  <c r="AD857" i="2"/>
  <c r="AD856" i="2" s="1"/>
  <c r="AE855" i="2"/>
  <c r="AE854" i="2" s="1"/>
  <c r="AE853" i="2" s="1"/>
  <c r="AF854" i="2"/>
  <c r="AF853" i="2" s="1"/>
  <c r="AD854" i="2"/>
  <c r="AD853" i="2" s="1"/>
  <c r="AE851" i="2"/>
  <c r="AE850" i="2" s="1"/>
  <c r="AD851" i="2"/>
  <c r="AD850" i="2" s="1"/>
  <c r="AF851" i="2"/>
  <c r="AF850" i="2" s="1"/>
  <c r="AF849" i="2" l="1"/>
  <c r="AD849" i="2"/>
  <c r="AE849" i="2"/>
  <c r="I825" i="7"/>
  <c r="I824" i="7" s="1"/>
  <c r="I823" i="7" s="1"/>
  <c r="G825" i="7"/>
  <c r="G824" i="7" s="1"/>
  <c r="G823" i="7" s="1"/>
  <c r="J825" i="7"/>
  <c r="J824" i="7" s="1"/>
  <c r="J823" i="7" s="1"/>
  <c r="F734" i="7"/>
  <c r="F733" i="7" s="1"/>
  <c r="F732" i="7" s="1"/>
  <c r="F731" i="7" s="1"/>
  <c r="E68" i="9"/>
  <c r="E67" i="9" s="1"/>
  <c r="E66" i="9" s="1"/>
  <c r="E65" i="9" s="1"/>
  <c r="E64" i="9" s="1"/>
  <c r="J734" i="7"/>
  <c r="J733" i="7" s="1"/>
  <c r="J732" i="7" s="1"/>
  <c r="J731" i="7" s="1"/>
  <c r="H834" i="7"/>
  <c r="H833" i="7" s="1"/>
  <c r="H832" i="7" s="1"/>
  <c r="H831" i="7"/>
  <c r="H830" i="7" s="1"/>
  <c r="H829" i="7" s="1"/>
  <c r="F828" i="7"/>
  <c r="F827" i="7" s="1"/>
  <c r="F826" i="7" s="1"/>
  <c r="H828" i="7"/>
  <c r="H827" i="7" s="1"/>
  <c r="H826" i="7" s="1"/>
  <c r="D619" i="9"/>
  <c r="F613" i="9"/>
  <c r="F616" i="9"/>
  <c r="F619" i="9"/>
  <c r="D616" i="9"/>
  <c r="F825" i="7" l="1"/>
  <c r="F824" i="7" s="1"/>
  <c r="F823" i="7" s="1"/>
  <c r="H825" i="7"/>
  <c r="H824" i="7" s="1"/>
  <c r="H823" i="7" s="1"/>
  <c r="E619" i="9"/>
  <c r="D613" i="9"/>
  <c r="E616" i="9"/>
  <c r="E613" i="9"/>
  <c r="AF848" i="2"/>
  <c r="AF847" i="2" s="1"/>
  <c r="AE848" i="2"/>
  <c r="AE847" i="2" s="1"/>
  <c r="AD848" i="2"/>
  <c r="AD847" i="2" s="1"/>
  <c r="J428" i="7"/>
  <c r="J427" i="7" s="1"/>
  <c r="J426" i="7" s="1"/>
  <c r="J425" i="7" s="1"/>
  <c r="H428" i="7"/>
  <c r="E605" i="9" s="1"/>
  <c r="E604" i="9" s="1"/>
  <c r="E603" i="9" s="1"/>
  <c r="E602" i="9" s="1"/>
  <c r="F428" i="7"/>
  <c r="D605" i="9" s="1"/>
  <c r="D604" i="9" s="1"/>
  <c r="D603" i="9" s="1"/>
  <c r="D602" i="9" s="1"/>
  <c r="AD279" i="2"/>
  <c r="AD278" i="2" s="1"/>
  <c r="AD277" i="2" s="1"/>
  <c r="AF279" i="2"/>
  <c r="AF278" i="2" s="1"/>
  <c r="AF277" i="2" s="1"/>
  <c r="AE279" i="2"/>
  <c r="AE278" i="2" s="1"/>
  <c r="AE277" i="2" s="1"/>
  <c r="F605" i="9" l="1"/>
  <c r="F604" i="9" s="1"/>
  <c r="F603" i="9" s="1"/>
  <c r="F602" i="9" s="1"/>
  <c r="H427" i="7"/>
  <c r="H426" i="7" s="1"/>
  <c r="H425" i="7" s="1"/>
  <c r="F427" i="7"/>
  <c r="F426" i="7" s="1"/>
  <c r="F425" i="7" s="1"/>
  <c r="J930" i="7"/>
  <c r="F332" i="9" s="1"/>
  <c r="F331" i="9" s="1"/>
  <c r="F330" i="9" s="1"/>
  <c r="H930" i="7"/>
  <c r="H929" i="7" s="1"/>
  <c r="H928" i="7" s="1"/>
  <c r="F930" i="7"/>
  <c r="D332" i="9" s="1"/>
  <c r="D331" i="9" s="1"/>
  <c r="D330" i="9" s="1"/>
  <c r="AE1099" i="2"/>
  <c r="AE1098" i="2" s="1"/>
  <c r="AF1099" i="2"/>
  <c r="AF1098" i="2" s="1"/>
  <c r="AD1099" i="2"/>
  <c r="AD1098" i="2" s="1"/>
  <c r="F929" i="7" l="1"/>
  <c r="F928" i="7" s="1"/>
  <c r="J929" i="7"/>
  <c r="J928" i="7" s="1"/>
  <c r="E332" i="9"/>
  <c r="E331" i="9" s="1"/>
  <c r="E330" i="9" s="1"/>
  <c r="J420" i="7"/>
  <c r="F597" i="9" s="1"/>
  <c r="F596" i="9" s="1"/>
  <c r="F595" i="9" s="1"/>
  <c r="F594" i="9" s="1"/>
  <c r="H420" i="7"/>
  <c r="E597" i="9" s="1"/>
  <c r="E596" i="9" s="1"/>
  <c r="E595" i="9" s="1"/>
  <c r="E594" i="9" s="1"/>
  <c r="F420" i="7"/>
  <c r="F419" i="7" s="1"/>
  <c r="F418" i="7" s="1"/>
  <c r="F417" i="7" s="1"/>
  <c r="AE271" i="2"/>
  <c r="AE270" i="2" s="1"/>
  <c r="AE269" i="2" s="1"/>
  <c r="AE268" i="2" s="1"/>
  <c r="AD271" i="2"/>
  <c r="AD270" i="2" s="1"/>
  <c r="AD269" i="2" s="1"/>
  <c r="AD268" i="2" s="1"/>
  <c r="AF271" i="2"/>
  <c r="AF270" i="2" s="1"/>
  <c r="AF269" i="2" s="1"/>
  <c r="AF268" i="2" s="1"/>
  <c r="J419" i="7" l="1"/>
  <c r="J418" i="7" s="1"/>
  <c r="J417" i="7" s="1"/>
  <c r="D597" i="9"/>
  <c r="D596" i="9" s="1"/>
  <c r="D595" i="9" s="1"/>
  <c r="D594" i="9" s="1"/>
  <c r="H419" i="7"/>
  <c r="H418" i="7" s="1"/>
  <c r="H417" i="7" s="1"/>
  <c r="J963" i="7"/>
  <c r="J962" i="7" s="1"/>
  <c r="J961" i="7" s="1"/>
  <c r="H963" i="7"/>
  <c r="E219" i="9" s="1"/>
  <c r="E218" i="9" s="1"/>
  <c r="E217" i="9" s="1"/>
  <c r="F963" i="7"/>
  <c r="D219" i="9" s="1"/>
  <c r="D218" i="9" s="1"/>
  <c r="D217" i="9" s="1"/>
  <c r="H962" i="7" l="1"/>
  <c r="H961" i="7" s="1"/>
  <c r="F962" i="7"/>
  <c r="F961" i="7" s="1"/>
  <c r="F219" i="9"/>
  <c r="F218" i="9" s="1"/>
  <c r="F217" i="9" s="1"/>
  <c r="AF1009" i="2"/>
  <c r="AE1110" i="2"/>
  <c r="AE1109" i="2" s="1"/>
  <c r="AE1108" i="2" s="1"/>
  <c r="AE1107" i="2" s="1"/>
  <c r="AE1106" i="2" s="1"/>
  <c r="AE1105" i="2" s="1"/>
  <c r="AE1104" i="2" s="1"/>
  <c r="AF1110" i="2"/>
  <c r="AF1109" i="2" s="1"/>
  <c r="AF1108" i="2" s="1"/>
  <c r="AF1107" i="2" s="1"/>
  <c r="AF1106" i="2" s="1"/>
  <c r="AF1105" i="2" s="1"/>
  <c r="AF1104" i="2" s="1"/>
  <c r="AD1110" i="2"/>
  <c r="AD1109" i="2" s="1"/>
  <c r="AD1108" i="2" s="1"/>
  <c r="AD1107" i="2" s="1"/>
  <c r="AD1106" i="2" s="1"/>
  <c r="AD1105" i="2" s="1"/>
  <c r="AD1104" i="2" s="1"/>
  <c r="AF716" i="2" l="1"/>
  <c r="AD716" i="2"/>
  <c r="I432" i="7" l="1"/>
  <c r="K432" i="7"/>
  <c r="G563" i="7" l="1"/>
  <c r="K563" i="7"/>
  <c r="G560" i="7" l="1"/>
  <c r="G559" i="7" s="1"/>
  <c r="J561" i="7"/>
  <c r="H561" i="7"/>
  <c r="E664" i="9" s="1"/>
  <c r="E663" i="9" s="1"/>
  <c r="E662" i="9" s="1"/>
  <c r="F561" i="7"/>
  <c r="K562" i="7"/>
  <c r="K558" i="7" s="1"/>
  <c r="G562" i="7"/>
  <c r="J564" i="7"/>
  <c r="H564" i="7"/>
  <c r="F564" i="7"/>
  <c r="AE1008" i="2"/>
  <c r="AE1007" i="2" s="1"/>
  <c r="AF1008" i="2"/>
  <c r="AF1007" i="2" s="1"/>
  <c r="AD1008" i="2"/>
  <c r="AD1007" i="2" s="1"/>
  <c r="AE1005" i="2"/>
  <c r="AE1004" i="2" s="1"/>
  <c r="AF1005" i="2"/>
  <c r="AF1004" i="2" s="1"/>
  <c r="AD1005" i="2"/>
  <c r="AD1004" i="2" s="1"/>
  <c r="K547" i="7" l="1"/>
  <c r="K546" i="7" s="1"/>
  <c r="K478" i="7" s="1"/>
  <c r="G558" i="7"/>
  <c r="AE1003" i="2"/>
  <c r="AE992" i="2" s="1"/>
  <c r="AD1003" i="2"/>
  <c r="AD992" i="2" s="1"/>
  <c r="AF1003" i="2"/>
  <c r="AF992" i="2" s="1"/>
  <c r="F667" i="9"/>
  <c r="F666" i="9" s="1"/>
  <c r="F665" i="9" s="1"/>
  <c r="J563" i="7"/>
  <c r="J562" i="7" s="1"/>
  <c r="J560" i="7"/>
  <c r="J559" i="7" s="1"/>
  <c r="F664" i="9"/>
  <c r="F663" i="9" s="1"/>
  <c r="F662" i="9" s="1"/>
  <c r="F563" i="7"/>
  <c r="F562" i="7" s="1"/>
  <c r="D667" i="9"/>
  <c r="D666" i="9" s="1"/>
  <c r="D665" i="9" s="1"/>
  <c r="H560" i="7"/>
  <c r="H559" i="7" s="1"/>
  <c r="E667" i="9"/>
  <c r="E666" i="9" s="1"/>
  <c r="E665" i="9" s="1"/>
  <c r="H563" i="7"/>
  <c r="H562" i="7" s="1"/>
  <c r="F560" i="7"/>
  <c r="F559" i="7" s="1"/>
  <c r="D664" i="9"/>
  <c r="D663" i="9" s="1"/>
  <c r="D662" i="9" s="1"/>
  <c r="D661" i="9" l="1"/>
  <c r="D644" i="9" s="1"/>
  <c r="F661" i="9"/>
  <c r="F644" i="9" s="1"/>
  <c r="E661" i="9"/>
  <c r="E644" i="9" s="1"/>
  <c r="G547" i="7"/>
  <c r="G546" i="7" s="1"/>
  <c r="G478" i="7" s="1"/>
  <c r="F558" i="7"/>
  <c r="F547" i="7" s="1"/>
  <c r="J558" i="7"/>
  <c r="J547" i="7" s="1"/>
  <c r="H558" i="7"/>
  <c r="H547" i="7" s="1"/>
  <c r="AE716" i="2"/>
  <c r="AF731" i="2"/>
  <c r="AE731" i="2"/>
  <c r="AF748" i="2"/>
  <c r="AE748" i="2"/>
  <c r="AD794" i="2" l="1"/>
  <c r="I808" i="7" l="1"/>
  <c r="J809" i="7"/>
  <c r="J808" i="7" s="1"/>
  <c r="H809" i="7"/>
  <c r="E198" i="9" s="1"/>
  <c r="E197" i="9" s="1"/>
  <c r="F809" i="7"/>
  <c r="F808" i="7" s="1"/>
  <c r="AF426" i="2"/>
  <c r="AE426" i="2"/>
  <c r="AF840" i="2"/>
  <c r="AE840" i="2"/>
  <c r="J484" i="7"/>
  <c r="H484" i="7"/>
  <c r="F484" i="7"/>
  <c r="J861" i="7"/>
  <c r="J860" i="7" s="1"/>
  <c r="H861" i="7"/>
  <c r="H860" i="7" s="1"/>
  <c r="F860" i="7"/>
  <c r="H267" i="7"/>
  <c r="E767" i="9" s="1"/>
  <c r="E766" i="9" s="1"/>
  <c r="E765" i="9" s="1"/>
  <c r="J267" i="7"/>
  <c r="J266" i="7" s="1"/>
  <c r="J265" i="7" s="1"/>
  <c r="J264" i="7" s="1"/>
  <c r="F266" i="7"/>
  <c r="F265" i="7" s="1"/>
  <c r="F264" i="7" s="1"/>
  <c r="D198" i="9" l="1"/>
  <c r="D197" i="9" s="1"/>
  <c r="H808" i="7"/>
  <c r="F198" i="9"/>
  <c r="F197" i="9" s="1"/>
  <c r="H266" i="7"/>
  <c r="H265" i="7" s="1"/>
  <c r="H264" i="7" s="1"/>
  <c r="D767" i="9"/>
  <c r="D766" i="9" s="1"/>
  <c r="D765" i="9" s="1"/>
  <c r="F767" i="9"/>
  <c r="F766" i="9" s="1"/>
  <c r="F765" i="9" s="1"/>
  <c r="H176" i="7" l="1"/>
  <c r="J356" i="7" l="1"/>
  <c r="H356" i="7"/>
  <c r="E266" i="9" s="1"/>
  <c r="F356" i="7"/>
  <c r="J352" i="7"/>
  <c r="J351" i="7" s="1"/>
  <c r="J350" i="7" s="1"/>
  <c r="J349" i="7" s="1"/>
  <c r="H352" i="7"/>
  <c r="F352" i="7"/>
  <c r="J348" i="7"/>
  <c r="F258" i="9" s="1"/>
  <c r="F257" i="9" s="1"/>
  <c r="F254" i="9" s="1"/>
  <c r="H348" i="7"/>
  <c r="E258" i="9" s="1"/>
  <c r="E257" i="9" s="1"/>
  <c r="F348" i="7"/>
  <c r="D258" i="9" s="1"/>
  <c r="D257" i="9" s="1"/>
  <c r="D254" i="9" s="1"/>
  <c r="J342" i="7"/>
  <c r="F250" i="9" s="1"/>
  <c r="H342" i="7"/>
  <c r="J334" i="7"/>
  <c r="J333" i="7" s="1"/>
  <c r="J332" i="7" s="1"/>
  <c r="J331" i="7" s="1"/>
  <c r="J330" i="7" s="1"/>
  <c r="J329" i="7" s="1"/>
  <c r="H334" i="7"/>
  <c r="H333" i="7" s="1"/>
  <c r="H332" i="7" s="1"/>
  <c r="H331" i="7" s="1"/>
  <c r="H330" i="7" s="1"/>
  <c r="H329" i="7" s="1"/>
  <c r="F334" i="7"/>
  <c r="F333" i="7" s="1"/>
  <c r="F332" i="7" s="1"/>
  <c r="F331" i="7" s="1"/>
  <c r="F330" i="7" s="1"/>
  <c r="F329" i="7" s="1"/>
  <c r="J326" i="7"/>
  <c r="H326" i="7"/>
  <c r="E324" i="9" s="1"/>
  <c r="F326" i="7"/>
  <c r="J324" i="7"/>
  <c r="F322" i="9" s="1"/>
  <c r="H324" i="7"/>
  <c r="F324" i="7"/>
  <c r="D322" i="9" s="1"/>
  <c r="J319" i="7"/>
  <c r="H319" i="7"/>
  <c r="H318" i="7" s="1"/>
  <c r="H317" i="7" s="1"/>
  <c r="F319" i="7"/>
  <c r="J312" i="7"/>
  <c r="F298" i="9" s="1"/>
  <c r="H312" i="7"/>
  <c r="F312" i="7"/>
  <c r="D298" i="9" s="1"/>
  <c r="J306" i="7"/>
  <c r="H306" i="7"/>
  <c r="E292" i="9" s="1"/>
  <c r="F306" i="7"/>
  <c r="J299" i="7"/>
  <c r="F317" i="9" s="1"/>
  <c r="H299" i="7"/>
  <c r="F299" i="7"/>
  <c r="F298" i="7" s="1"/>
  <c r="F297" i="7" s="1"/>
  <c r="F296" i="7" s="1"/>
  <c r="F295" i="7" s="1"/>
  <c r="J294" i="7"/>
  <c r="H294" i="7"/>
  <c r="E305" i="9" s="1"/>
  <c r="F294" i="7"/>
  <c r="F342" i="7"/>
  <c r="H316" i="7" l="1"/>
  <c r="H315" i="7" s="1"/>
  <c r="H325" i="7"/>
  <c r="J298" i="7"/>
  <c r="J297" i="7" s="1"/>
  <c r="J296" i="7" s="1"/>
  <c r="J295" i="7" s="1"/>
  <c r="J323" i="7"/>
  <c r="E310" i="9"/>
  <c r="J311" i="7"/>
  <c r="D317" i="9"/>
  <c r="J341" i="7"/>
  <c r="J340" i="7" s="1"/>
  <c r="H305" i="7"/>
  <c r="F341" i="7"/>
  <c r="F340" i="7" s="1"/>
  <c r="D250" i="9"/>
  <c r="F347" i="7"/>
  <c r="H351" i="7"/>
  <c r="H350" i="7" s="1"/>
  <c r="H349" i="7" s="1"/>
  <c r="F266" i="9"/>
  <c r="J355" i="7"/>
  <c r="J354" i="7" s="1"/>
  <c r="F293" i="7"/>
  <c r="F292" i="7" s="1"/>
  <c r="D305" i="9"/>
  <c r="E317" i="9"/>
  <c r="H298" i="7"/>
  <c r="H297" i="7" s="1"/>
  <c r="H296" i="7" s="1"/>
  <c r="H295" i="7" s="1"/>
  <c r="J305" i="7"/>
  <c r="F292" i="9"/>
  <c r="D310" i="9"/>
  <c r="F318" i="7"/>
  <c r="F317" i="7" s="1"/>
  <c r="H323" i="7"/>
  <c r="E322" i="9"/>
  <c r="J325" i="7"/>
  <c r="F324" i="9"/>
  <c r="E250" i="9"/>
  <c r="H341" i="7"/>
  <c r="H340" i="7" s="1"/>
  <c r="J347" i="7"/>
  <c r="F355" i="7"/>
  <c r="F354" i="7" s="1"/>
  <c r="D266" i="9"/>
  <c r="F305" i="9"/>
  <c r="J293" i="7"/>
  <c r="J292" i="7" s="1"/>
  <c r="F305" i="7"/>
  <c r="D292" i="9"/>
  <c r="H311" i="7"/>
  <c r="E298" i="9"/>
  <c r="F310" i="9"/>
  <c r="J318" i="7"/>
  <c r="J317" i="7" s="1"/>
  <c r="D324" i="9"/>
  <c r="F325" i="7"/>
  <c r="H355" i="7"/>
  <c r="H354" i="7" s="1"/>
  <c r="F351" i="7"/>
  <c r="F350" i="7" s="1"/>
  <c r="F349" i="7" s="1"/>
  <c r="H347" i="7"/>
  <c r="F323" i="7"/>
  <c r="F322" i="7" s="1"/>
  <c r="F311" i="7"/>
  <c r="H293" i="7"/>
  <c r="H292" i="7" s="1"/>
  <c r="H304" i="7" l="1"/>
  <c r="H303" i="7" s="1"/>
  <c r="J304" i="7"/>
  <c r="J303" i="7" s="1"/>
  <c r="F304" i="7"/>
  <c r="F303" i="7" s="1"/>
  <c r="J344" i="7"/>
  <c r="J343" i="7" s="1"/>
  <c r="F344" i="7"/>
  <c r="F343" i="7" s="1"/>
  <c r="H310" i="7"/>
  <c r="H309" i="7" s="1"/>
  <c r="J310" i="7"/>
  <c r="J309" i="7" s="1"/>
  <c r="F310" i="7"/>
  <c r="F309" i="7" s="1"/>
  <c r="J339" i="7"/>
  <c r="J338" i="7" s="1"/>
  <c r="H339" i="7"/>
  <c r="H338" i="7" s="1"/>
  <c r="F339" i="7"/>
  <c r="F338" i="7" s="1"/>
  <c r="J316" i="7"/>
  <c r="J315" i="7" s="1"/>
  <c r="F316" i="7"/>
  <c r="F315" i="7" s="1"/>
  <c r="J322" i="7"/>
  <c r="J321" i="7" s="1"/>
  <c r="J320" i="7" s="1"/>
  <c r="H322" i="7"/>
  <c r="H321" i="7" s="1"/>
  <c r="H320" i="7" s="1"/>
  <c r="F321" i="7"/>
  <c r="F320" i="7" s="1"/>
  <c r="AD194" i="2"/>
  <c r="AF70" i="2"/>
  <c r="AE70" i="2"/>
  <c r="AE794" i="2"/>
  <c r="AF794" i="2"/>
  <c r="AE798" i="2"/>
  <c r="AF798" i="2"/>
  <c r="AD798" i="2"/>
  <c r="J302" i="7" l="1"/>
  <c r="H302" i="7"/>
  <c r="H301" i="7" s="1"/>
  <c r="H300" i="7" s="1"/>
  <c r="E30" i="10" s="1"/>
  <c r="F302" i="7"/>
  <c r="F301" i="7" s="1"/>
  <c r="F300" i="7" s="1"/>
  <c r="D30" i="10" s="1"/>
  <c r="AD193" i="2"/>
  <c r="AD192" i="2" s="1"/>
  <c r="J301" i="7"/>
  <c r="J300" i="7" s="1"/>
  <c r="F30" i="10" s="1"/>
  <c r="AE793" i="2"/>
  <c r="AF793" i="2"/>
  <c r="AD793" i="2"/>
  <c r="F372" i="7" l="1"/>
  <c r="H372" i="7"/>
  <c r="J372" i="7"/>
  <c r="AF497" i="2" l="1"/>
  <c r="J906" i="7" s="1"/>
  <c r="AE497" i="2"/>
  <c r="H906" i="7" s="1"/>
  <c r="AD497" i="2"/>
  <c r="F906" i="7" s="1"/>
  <c r="AF1177" i="2"/>
  <c r="AF1176" i="2" s="1"/>
  <c r="AF1175" i="2" s="1"/>
  <c r="AF1174" i="2" s="1"/>
  <c r="AF1173" i="2" s="1"/>
  <c r="AF1172" i="2" s="1"/>
  <c r="AF1171" i="2" s="1"/>
  <c r="AE1177" i="2"/>
  <c r="AE1176" i="2" s="1"/>
  <c r="AE1175" i="2" s="1"/>
  <c r="AE1174" i="2" s="1"/>
  <c r="AE1173" i="2" s="1"/>
  <c r="AE1172" i="2" s="1"/>
  <c r="AE1171" i="2" s="1"/>
  <c r="AD1177" i="2"/>
  <c r="AD1176" i="2" s="1"/>
  <c r="AD1175" i="2" s="1"/>
  <c r="AD1174" i="2" s="1"/>
  <c r="AD1173" i="2" s="1"/>
  <c r="AD1172" i="2" s="1"/>
  <c r="AD1171" i="2" s="1"/>
  <c r="G729" i="7" l="1"/>
  <c r="G728" i="7" s="1"/>
  <c r="G727" i="7" s="1"/>
  <c r="G726" i="7" s="1"/>
  <c r="G725" i="7" s="1"/>
  <c r="J730" i="7"/>
  <c r="H730" i="7"/>
  <c r="AE376" i="2"/>
  <c r="AE375" i="2" s="1"/>
  <c r="AF376" i="2"/>
  <c r="AF375" i="2" s="1"/>
  <c r="J729" i="7" l="1"/>
  <c r="J728" i="7" s="1"/>
  <c r="J727" i="7" s="1"/>
  <c r="J726" i="7" s="1"/>
  <c r="F63" i="9"/>
  <c r="H729" i="7"/>
  <c r="H728" i="7" s="1"/>
  <c r="H727" i="7" s="1"/>
  <c r="H726" i="7" s="1"/>
  <c r="E63" i="9"/>
  <c r="AD379" i="2"/>
  <c r="AD378" i="2" l="1"/>
  <c r="AD377" i="2" s="1"/>
  <c r="AD376" i="2" s="1"/>
  <c r="AD375" i="2" s="1"/>
  <c r="F730" i="7"/>
  <c r="F729" i="7" l="1"/>
  <c r="F728" i="7" s="1"/>
  <c r="F727" i="7" s="1"/>
  <c r="F726" i="7" s="1"/>
  <c r="D63" i="9"/>
  <c r="D62" i="9" s="1"/>
  <c r="D61" i="9" s="1"/>
  <c r="D60" i="9" s="1"/>
  <c r="D59" i="9" s="1"/>
  <c r="AF1103" i="2" l="1"/>
  <c r="AE1103" i="2"/>
  <c r="G394" i="7" l="1"/>
  <c r="G393" i="7" s="1"/>
  <c r="AF425" i="2" l="1"/>
  <c r="AF839" i="2"/>
  <c r="AF838" i="2" s="1"/>
  <c r="AF834" i="2" s="1"/>
  <c r="AE839" i="2"/>
  <c r="AE838" i="2" s="1"/>
  <c r="AE834" i="2" s="1"/>
  <c r="AE425" i="2"/>
  <c r="AF758" i="2"/>
  <c r="AE758" i="2"/>
  <c r="AF1076" i="2" l="1"/>
  <c r="AE1067" i="2"/>
  <c r="AE908" i="2" l="1"/>
  <c r="AF877" i="2"/>
  <c r="AF875" i="2"/>
  <c r="AF650" i="2"/>
  <c r="AF648" i="2"/>
  <c r="AE650" i="2"/>
  <c r="AE648" i="2"/>
  <c r="AF1024" i="2" l="1"/>
  <c r="AF1022" i="2"/>
  <c r="AE1024" i="2"/>
  <c r="AE1022" i="2"/>
  <c r="AD469" i="2" l="1"/>
  <c r="J395" i="7" l="1"/>
  <c r="AD1067" i="2"/>
  <c r="AD758" i="2"/>
  <c r="J986" i="7" l="1"/>
  <c r="J985" i="7" s="1"/>
  <c r="F237" i="9"/>
  <c r="J975" i="7"/>
  <c r="J974" i="7" s="1"/>
  <c r="J973" i="7" s="1"/>
  <c r="J966" i="7"/>
  <c r="F222" i="9" s="1"/>
  <c r="J956" i="7"/>
  <c r="F228" i="9" s="1"/>
  <c r="J948" i="7"/>
  <c r="F213" i="9" s="1"/>
  <c r="J945" i="7"/>
  <c r="F210" i="9" s="1"/>
  <c r="J938" i="7"/>
  <c r="F340" i="9" s="1"/>
  <c r="J924" i="7"/>
  <c r="J922" i="7"/>
  <c r="F95" i="9" s="1"/>
  <c r="J915" i="7"/>
  <c r="F175" i="9" s="1"/>
  <c r="J913" i="7"/>
  <c r="F173" i="9" s="1"/>
  <c r="F184" i="9"/>
  <c r="J898" i="7"/>
  <c r="J897" i="7" s="1"/>
  <c r="J896" i="7" s="1"/>
  <c r="J895" i="7" s="1"/>
  <c r="J894" i="7" s="1"/>
  <c r="J893" i="7" s="1"/>
  <c r="J892" i="7" s="1"/>
  <c r="J878" i="7"/>
  <c r="F192" i="9" s="1"/>
  <c r="J872" i="7"/>
  <c r="J871" i="7" s="1"/>
  <c r="J870" i="7" s="1"/>
  <c r="J869" i="7"/>
  <c r="J868" i="7" s="1"/>
  <c r="J867" i="7" s="1"/>
  <c r="J864" i="7"/>
  <c r="F50" i="9" s="1"/>
  <c r="J859" i="7"/>
  <c r="J858" i="7" s="1"/>
  <c r="J857" i="7" s="1"/>
  <c r="J853" i="7"/>
  <c r="F39" i="9" s="1"/>
  <c r="J850" i="7"/>
  <c r="F36" i="9" s="1"/>
  <c r="J845" i="7"/>
  <c r="F31" i="9" s="1"/>
  <c r="J822" i="7"/>
  <c r="J821" i="7" s="1"/>
  <c r="J820" i="7" s="1"/>
  <c r="J819" i="7" s="1"/>
  <c r="J818" i="7" s="1"/>
  <c r="J817" i="7" s="1"/>
  <c r="J816" i="7"/>
  <c r="F205" i="9" s="1"/>
  <c r="J811" i="7"/>
  <c r="F200" i="9" s="1"/>
  <c r="J802" i="7"/>
  <c r="F167" i="9" s="1"/>
  <c r="J799" i="7"/>
  <c r="F164" i="9" s="1"/>
  <c r="J796" i="7"/>
  <c r="J791" i="7"/>
  <c r="F156" i="9" s="1"/>
  <c r="J785" i="7"/>
  <c r="F99" i="9" s="1"/>
  <c r="F543" i="9"/>
  <c r="J776" i="7"/>
  <c r="F541" i="9" s="1"/>
  <c r="J770" i="7"/>
  <c r="J766" i="7"/>
  <c r="J765" i="7" s="1"/>
  <c r="J764" i="7" s="1"/>
  <c r="J763" i="7" s="1"/>
  <c r="J753" i="7"/>
  <c r="J751" i="7"/>
  <c r="F148" i="9" s="1"/>
  <c r="J750" i="7"/>
  <c r="F147" i="9" s="1"/>
  <c r="J749" i="7"/>
  <c r="J745" i="7"/>
  <c r="F142" i="9" s="1"/>
  <c r="J720" i="7"/>
  <c r="F712" i="9" s="1"/>
  <c r="J706" i="7"/>
  <c r="J705" i="7" s="1"/>
  <c r="J704" i="7" s="1"/>
  <c r="J703" i="7" s="1"/>
  <c r="J702" i="7" s="1"/>
  <c r="J701" i="7" s="1"/>
  <c r="J700" i="7" s="1"/>
  <c r="J699" i="7"/>
  <c r="J689" i="7"/>
  <c r="J685" i="7"/>
  <c r="F114" i="9" s="1"/>
  <c r="J679" i="7"/>
  <c r="F108" i="9" s="1"/>
  <c r="J676" i="7"/>
  <c r="F105" i="9" s="1"/>
  <c r="J668" i="7"/>
  <c r="F92" i="9" s="1"/>
  <c r="J665" i="7"/>
  <c r="F89" i="9" s="1"/>
  <c r="J662" i="7"/>
  <c r="J640" i="7"/>
  <c r="F705" i="9" s="1"/>
  <c r="J637" i="7"/>
  <c r="J632" i="7"/>
  <c r="F697" i="9" s="1"/>
  <c r="J625" i="7"/>
  <c r="F642" i="9" s="1"/>
  <c r="J622" i="7"/>
  <c r="F639" i="9" s="1"/>
  <c r="J617" i="7"/>
  <c r="F634" i="9" s="1"/>
  <c r="J611" i="7"/>
  <c r="F628" i="9" s="1"/>
  <c r="J605" i="7"/>
  <c r="J604" i="7" s="1"/>
  <c r="J603" i="7" s="1"/>
  <c r="J602" i="7" s="1"/>
  <c r="J601" i="7" s="1"/>
  <c r="J600" i="7" s="1"/>
  <c r="J599" i="7"/>
  <c r="F367" i="9" s="1"/>
  <c r="J597" i="7"/>
  <c r="F365" i="9" s="1"/>
  <c r="J591" i="7"/>
  <c r="F180" i="9" s="1"/>
  <c r="J589" i="7"/>
  <c r="F178" i="9" s="1"/>
  <c r="J583" i="7"/>
  <c r="J582" i="7" s="1"/>
  <c r="J581" i="7" s="1"/>
  <c r="J580" i="7" s="1"/>
  <c r="J579" i="7" s="1"/>
  <c r="J578" i="7" s="1"/>
  <c r="J576" i="7"/>
  <c r="F682" i="9" s="1"/>
  <c r="J569" i="7"/>
  <c r="F675" i="9" s="1"/>
  <c r="J497" i="7"/>
  <c r="F488" i="9" s="1"/>
  <c r="J489" i="7"/>
  <c r="F282" i="9" s="1"/>
  <c r="J487" i="7"/>
  <c r="F280" i="9" s="1"/>
  <c r="F277" i="9"/>
  <c r="J466" i="7"/>
  <c r="F691" i="9" s="1"/>
  <c r="J456" i="7"/>
  <c r="F387" i="9" s="1"/>
  <c r="J442" i="7"/>
  <c r="F287" i="9" s="1"/>
  <c r="J439" i="7"/>
  <c r="F274" i="9" s="1"/>
  <c r="J400" i="7"/>
  <c r="F582" i="9" s="1"/>
  <c r="J392" i="7"/>
  <c r="F574" i="9" s="1"/>
  <c r="J389" i="7"/>
  <c r="F571" i="9" s="1"/>
  <c r="J382" i="7"/>
  <c r="F566" i="9" s="1"/>
  <c r="J379" i="7"/>
  <c r="F478" i="9"/>
  <c r="J364" i="7"/>
  <c r="F243" i="9" s="1"/>
  <c r="J286" i="7"/>
  <c r="F447" i="9" s="1"/>
  <c r="J279" i="7"/>
  <c r="F548" i="9" s="1"/>
  <c r="J259" i="7"/>
  <c r="F588" i="9" s="1"/>
  <c r="J253" i="7"/>
  <c r="J249" i="7"/>
  <c r="F552" i="9" s="1"/>
  <c r="J244" i="7"/>
  <c r="J227" i="7"/>
  <c r="F464" i="9" s="1"/>
  <c r="J225" i="7"/>
  <c r="F462" i="9" s="1"/>
  <c r="J222" i="7"/>
  <c r="F459" i="9" s="1"/>
  <c r="J220" i="7"/>
  <c r="F457" i="9" s="1"/>
  <c r="J216" i="7"/>
  <c r="F453" i="9" s="1"/>
  <c r="J213" i="7"/>
  <c r="F450" i="9" s="1"/>
  <c r="J208" i="7"/>
  <c r="F408" i="9" s="1"/>
  <c r="J205" i="7"/>
  <c r="F405" i="9" s="1"/>
  <c r="J198" i="7"/>
  <c r="F398" i="9" s="1"/>
  <c r="J193" i="7"/>
  <c r="J191" i="7"/>
  <c r="J187" i="7"/>
  <c r="F384" i="9" s="1"/>
  <c r="F379" i="9"/>
  <c r="J176" i="7"/>
  <c r="J169" i="7"/>
  <c r="F764" i="9" s="1"/>
  <c r="J166" i="7"/>
  <c r="F761" i="9" s="1"/>
  <c r="J161" i="7"/>
  <c r="F742" i="9" s="1"/>
  <c r="J158" i="7"/>
  <c r="F739" i="9" s="1"/>
  <c r="J155" i="7"/>
  <c r="F736" i="9" s="1"/>
  <c r="J150" i="7"/>
  <c r="J143" i="7"/>
  <c r="F757" i="9" s="1"/>
  <c r="J140" i="7"/>
  <c r="F754" i="9" s="1"/>
  <c r="J135" i="7"/>
  <c r="F749" i="9" s="1"/>
  <c r="J131" i="7"/>
  <c r="F745" i="9" s="1"/>
  <c r="F744" i="9" s="1"/>
  <c r="F743" i="9" s="1"/>
  <c r="J127" i="7"/>
  <c r="J121" i="7"/>
  <c r="F444" i="9" s="1"/>
  <c r="J118" i="7"/>
  <c r="F441" i="9" s="1"/>
  <c r="J113" i="7"/>
  <c r="F436" i="9" s="1"/>
  <c r="J106" i="7"/>
  <c r="J99" i="7"/>
  <c r="J93" i="7"/>
  <c r="F432" i="9" s="1"/>
  <c r="J90" i="7"/>
  <c r="F429" i="9" s="1"/>
  <c r="J85" i="7"/>
  <c r="F424" i="9" s="1"/>
  <c r="J76" i="7"/>
  <c r="F120" i="9" s="1"/>
  <c r="J74" i="7"/>
  <c r="F118" i="9" s="1"/>
  <c r="J68" i="7"/>
  <c r="F79" i="9" s="1"/>
  <c r="J66" i="7"/>
  <c r="F77" i="9" s="1"/>
  <c r="J55" i="7"/>
  <c r="F732" i="9" s="1"/>
  <c r="J52" i="7"/>
  <c r="F729" i="9" s="1"/>
  <c r="J47" i="7"/>
  <c r="F724" i="9" s="1"/>
  <c r="J43" i="7"/>
  <c r="F720" i="9" s="1"/>
  <c r="J40" i="7"/>
  <c r="F717" i="9" s="1"/>
  <c r="J36" i="7"/>
  <c r="J22" i="7"/>
  <c r="F418" i="9" s="1"/>
  <c r="H986" i="7"/>
  <c r="H985" i="7" s="1"/>
  <c r="H977" i="7"/>
  <c r="H976" i="7" s="1"/>
  <c r="H975" i="7"/>
  <c r="H974" i="7" s="1"/>
  <c r="H973" i="7" s="1"/>
  <c r="H966" i="7"/>
  <c r="H965" i="7" s="1"/>
  <c r="H956" i="7"/>
  <c r="H955" i="7" s="1"/>
  <c r="H954" i="7" s="1"/>
  <c r="H953" i="7" s="1"/>
  <c r="H952" i="7" s="1"/>
  <c r="H951" i="7" s="1"/>
  <c r="H950" i="7" s="1"/>
  <c r="H948" i="7"/>
  <c r="H947" i="7" s="1"/>
  <c r="H946" i="7" s="1"/>
  <c r="H945" i="7"/>
  <c r="H944" i="7" s="1"/>
  <c r="H943" i="7" s="1"/>
  <c r="H938" i="7"/>
  <c r="I938" i="7" s="1"/>
  <c r="I937" i="7" s="1"/>
  <c r="I936" i="7" s="1"/>
  <c r="H933" i="7"/>
  <c r="H932" i="7" s="1"/>
  <c r="H931" i="7" s="1"/>
  <c r="H924" i="7"/>
  <c r="H922" i="7"/>
  <c r="I922" i="7" s="1"/>
  <c r="I921" i="7" s="1"/>
  <c r="H915" i="7"/>
  <c r="I915" i="7" s="1"/>
  <c r="I914" i="7" s="1"/>
  <c r="H913" i="7"/>
  <c r="I913" i="7" s="1"/>
  <c r="I912" i="7" s="1"/>
  <c r="H903" i="7"/>
  <c r="H898" i="7"/>
  <c r="H897" i="7" s="1"/>
  <c r="H896" i="7" s="1"/>
  <c r="H895" i="7" s="1"/>
  <c r="H894" i="7" s="1"/>
  <c r="H893" i="7" s="1"/>
  <c r="H892" i="7" s="1"/>
  <c r="H891" i="7" s="1"/>
  <c r="H878" i="7"/>
  <c r="H872" i="7"/>
  <c r="H871" i="7" s="1"/>
  <c r="H870" i="7" s="1"/>
  <c r="H869" i="7"/>
  <c r="H868" i="7" s="1"/>
  <c r="H867" i="7" s="1"/>
  <c r="H864" i="7"/>
  <c r="H863" i="7" s="1"/>
  <c r="H862" i="7" s="1"/>
  <c r="H859" i="7"/>
  <c r="H858" i="7" s="1"/>
  <c r="H857" i="7" s="1"/>
  <c r="H853" i="7"/>
  <c r="H852" i="7" s="1"/>
  <c r="H851" i="7" s="1"/>
  <c r="H850" i="7"/>
  <c r="H849" i="7" s="1"/>
  <c r="H848" i="7" s="1"/>
  <c r="H845" i="7"/>
  <c r="H844" i="7" s="1"/>
  <c r="H843" i="7" s="1"/>
  <c r="H842" i="7" s="1"/>
  <c r="H841" i="7" s="1"/>
  <c r="H822" i="7"/>
  <c r="H821" i="7" s="1"/>
  <c r="H820" i="7" s="1"/>
  <c r="H819" i="7" s="1"/>
  <c r="H818" i="7" s="1"/>
  <c r="H817" i="7" s="1"/>
  <c r="H816" i="7"/>
  <c r="H815" i="7" s="1"/>
  <c r="H814" i="7" s="1"/>
  <c r="H811" i="7"/>
  <c r="H810" i="7" s="1"/>
  <c r="H807" i="7" s="1"/>
  <c r="H802" i="7"/>
  <c r="H801" i="7" s="1"/>
  <c r="H800" i="7" s="1"/>
  <c r="H799" i="7"/>
  <c r="H798" i="7" s="1"/>
  <c r="H797" i="7" s="1"/>
  <c r="H796" i="7"/>
  <c r="H795" i="7" s="1"/>
  <c r="H794" i="7" s="1"/>
  <c r="H791" i="7"/>
  <c r="H790" i="7" s="1"/>
  <c r="H789" i="7" s="1"/>
  <c r="H785" i="7"/>
  <c r="H784" i="7" s="1"/>
  <c r="H783" i="7" s="1"/>
  <c r="H782" i="7" s="1"/>
  <c r="H781" i="7" s="1"/>
  <c r="H777" i="7"/>
  <c r="H776" i="7"/>
  <c r="H775" i="7" s="1"/>
  <c r="H770" i="7"/>
  <c r="H769" i="7" s="1"/>
  <c r="H768" i="7" s="1"/>
  <c r="H767" i="7" s="1"/>
  <c r="H766" i="7"/>
  <c r="H753" i="7"/>
  <c r="H752" i="7" s="1"/>
  <c r="H751" i="7"/>
  <c r="H750" i="7"/>
  <c r="H749" i="7"/>
  <c r="H745" i="7"/>
  <c r="H744" i="7" s="1"/>
  <c r="H743" i="7" s="1"/>
  <c r="H739" i="7" s="1"/>
  <c r="H720" i="7"/>
  <c r="H719" i="7" s="1"/>
  <c r="H718" i="7" s="1"/>
  <c r="H717" i="7" s="1"/>
  <c r="H716" i="7" s="1"/>
  <c r="H706" i="7"/>
  <c r="H705" i="7" s="1"/>
  <c r="H704" i="7" s="1"/>
  <c r="H703" i="7" s="1"/>
  <c r="H702" i="7" s="1"/>
  <c r="H701" i="7" s="1"/>
  <c r="H700" i="7" s="1"/>
  <c r="H699" i="7"/>
  <c r="H698" i="7" s="1"/>
  <c r="H697" i="7" s="1"/>
  <c r="H696" i="7" s="1"/>
  <c r="H692" i="7"/>
  <c r="H691" i="7" s="1"/>
  <c r="H690" i="7" s="1"/>
  <c r="H689" i="7"/>
  <c r="H688" i="7" s="1"/>
  <c r="H687" i="7" s="1"/>
  <c r="H695" i="7"/>
  <c r="H685" i="7"/>
  <c r="H684" i="7" s="1"/>
  <c r="H683" i="7" s="1"/>
  <c r="H679" i="7"/>
  <c r="H678" i="7" s="1"/>
  <c r="H677" i="7" s="1"/>
  <c r="H676" i="7"/>
  <c r="H675" i="7" s="1"/>
  <c r="H674" i="7" s="1"/>
  <c r="H668" i="7"/>
  <c r="I668" i="7" s="1"/>
  <c r="I667" i="7" s="1"/>
  <c r="I666" i="7" s="1"/>
  <c r="I658" i="7" s="1"/>
  <c r="H665" i="7"/>
  <c r="H664" i="7" s="1"/>
  <c r="H662" i="7"/>
  <c r="H661" i="7" s="1"/>
  <c r="H660" i="7" s="1"/>
  <c r="H653" i="7"/>
  <c r="H640" i="7"/>
  <c r="H639" i="7" s="1"/>
  <c r="H638" i="7" s="1"/>
  <c r="H637" i="7"/>
  <c r="H636" i="7" s="1"/>
  <c r="H635" i="7" s="1"/>
  <c r="H632" i="7"/>
  <c r="H631" i="7" s="1"/>
  <c r="H630" i="7" s="1"/>
  <c r="H625" i="7"/>
  <c r="H624" i="7" s="1"/>
  <c r="H623" i="7" s="1"/>
  <c r="H622" i="7"/>
  <c r="H621" i="7" s="1"/>
  <c r="H620" i="7" s="1"/>
  <c r="H617" i="7"/>
  <c r="H616" i="7" s="1"/>
  <c r="H615" i="7" s="1"/>
  <c r="H611" i="7"/>
  <c r="H610" i="7" s="1"/>
  <c r="H609" i="7" s="1"/>
  <c r="H608" i="7" s="1"/>
  <c r="H607" i="7" s="1"/>
  <c r="H605" i="7"/>
  <c r="H604" i="7" s="1"/>
  <c r="H603" i="7" s="1"/>
  <c r="H602" i="7" s="1"/>
  <c r="H601" i="7" s="1"/>
  <c r="H600" i="7" s="1"/>
  <c r="H599" i="7"/>
  <c r="H598" i="7" s="1"/>
  <c r="H597" i="7"/>
  <c r="H596" i="7" s="1"/>
  <c r="H591" i="7"/>
  <c r="H590" i="7" s="1"/>
  <c r="H589" i="7"/>
  <c r="I589" i="7" s="1"/>
  <c r="H588" i="7"/>
  <c r="H583" i="7"/>
  <c r="H582" i="7" s="1"/>
  <c r="H581" i="7" s="1"/>
  <c r="H580" i="7" s="1"/>
  <c r="H579" i="7" s="1"/>
  <c r="H578" i="7" s="1"/>
  <c r="H576" i="7"/>
  <c r="H575" i="7" s="1"/>
  <c r="H574" i="7" s="1"/>
  <c r="H569" i="7"/>
  <c r="H568" i="7" s="1"/>
  <c r="H567" i="7" s="1"/>
  <c r="H497" i="7"/>
  <c r="H496" i="7" s="1"/>
  <c r="H495" i="7" s="1"/>
  <c r="H494" i="7" s="1"/>
  <c r="H493" i="7" s="1"/>
  <c r="H492" i="7" s="1"/>
  <c r="H489" i="7"/>
  <c r="H488" i="7" s="1"/>
  <c r="H487" i="7"/>
  <c r="H486" i="7" s="1"/>
  <c r="H483" i="7"/>
  <c r="H482" i="7" s="1"/>
  <c r="H481" i="7" s="1"/>
  <c r="H466" i="7"/>
  <c r="H465" i="7" s="1"/>
  <c r="H464" i="7" s="1"/>
  <c r="H463" i="7" s="1"/>
  <c r="H456" i="7"/>
  <c r="H455" i="7" s="1"/>
  <c r="H454" i="7" s="1"/>
  <c r="H453" i="7" s="1"/>
  <c r="H452" i="7" s="1"/>
  <c r="H451" i="7" s="1"/>
  <c r="I652" i="7"/>
  <c r="I651" i="7" s="1"/>
  <c r="I650" i="7" s="1"/>
  <c r="I649" i="7" s="1"/>
  <c r="I682" i="7"/>
  <c r="I681" i="7" s="1"/>
  <c r="I680" i="7" s="1"/>
  <c r="I694" i="7"/>
  <c r="I693" i="7" s="1"/>
  <c r="I691" i="7"/>
  <c r="I690" i="7" s="1"/>
  <c r="I810" i="7"/>
  <c r="I807" i="7" s="1"/>
  <c r="I815" i="7"/>
  <c r="I814" i="7" s="1"/>
  <c r="I932" i="7"/>
  <c r="I931" i="7" s="1"/>
  <c r="J653" i="7"/>
  <c r="J695" i="7"/>
  <c r="F129" i="9" s="1"/>
  <c r="F128" i="9" s="1"/>
  <c r="F127" i="9" s="1"/>
  <c r="J692" i="7"/>
  <c r="J691" i="7" s="1"/>
  <c r="J690" i="7" s="1"/>
  <c r="J933" i="7"/>
  <c r="F335" i="9" s="1"/>
  <c r="H442" i="7"/>
  <c r="H441" i="7" s="1"/>
  <c r="H440" i="7" s="1"/>
  <c r="H439" i="7"/>
  <c r="H438" i="7" s="1"/>
  <c r="H437" i="7" s="1"/>
  <c r="H432" i="7"/>
  <c r="H431" i="7" s="1"/>
  <c r="H430" i="7" s="1"/>
  <c r="H429" i="7" s="1"/>
  <c r="H416" i="7" s="1"/>
  <c r="H400" i="7"/>
  <c r="H399" i="7" s="1"/>
  <c r="H398" i="7" s="1"/>
  <c r="H397" i="7" s="1"/>
  <c r="H396" i="7" s="1"/>
  <c r="H395" i="7"/>
  <c r="H394" i="7" s="1"/>
  <c r="H393" i="7" s="1"/>
  <c r="H392" i="7"/>
  <c r="H391" i="7" s="1"/>
  <c r="H390" i="7" s="1"/>
  <c r="H389" i="7"/>
  <c r="H388" i="7" s="1"/>
  <c r="H387" i="7" s="1"/>
  <c r="H382" i="7"/>
  <c r="H381" i="7" s="1"/>
  <c r="H380" i="7" s="1"/>
  <c r="H379" i="7"/>
  <c r="H378" i="7"/>
  <c r="H377" i="7" s="1"/>
  <c r="H371" i="7"/>
  <c r="H370" i="7" s="1"/>
  <c r="H369" i="7" s="1"/>
  <c r="H368" i="7" s="1"/>
  <c r="H367" i="7" s="1"/>
  <c r="H366" i="7" s="1"/>
  <c r="H364" i="7"/>
  <c r="H363" i="7" s="1"/>
  <c r="H362" i="7" s="1"/>
  <c r="H361" i="7" s="1"/>
  <c r="H360" i="7" s="1"/>
  <c r="H359" i="7" s="1"/>
  <c r="H358" i="7" s="1"/>
  <c r="H353" i="7"/>
  <c r="H291" i="7"/>
  <c r="H290" i="7" s="1"/>
  <c r="H289" i="7" s="1"/>
  <c r="H288" i="7" s="1"/>
  <c r="H286" i="7"/>
  <c r="H285" i="7" s="1"/>
  <c r="H284" i="7" s="1"/>
  <c r="H283" i="7" s="1"/>
  <c r="H282" i="7" s="1"/>
  <c r="H281" i="7" s="1"/>
  <c r="H280" i="7" s="1"/>
  <c r="H279" i="7"/>
  <c r="H278" i="7" s="1"/>
  <c r="H277" i="7" s="1"/>
  <c r="H276" i="7" s="1"/>
  <c r="H275" i="7" s="1"/>
  <c r="H274" i="7" s="1"/>
  <c r="H273" i="7" s="1"/>
  <c r="H259" i="7"/>
  <c r="H258" i="7" s="1"/>
  <c r="H257" i="7" s="1"/>
  <c r="H256" i="7" s="1"/>
  <c r="H255" i="7" s="1"/>
  <c r="H254" i="7" s="1"/>
  <c r="H253" i="7"/>
  <c r="H252" i="7" s="1"/>
  <c r="H251" i="7" s="1"/>
  <c r="H250" i="7" s="1"/>
  <c r="H249" i="7"/>
  <c r="I249" i="7" s="1"/>
  <c r="I248" i="7" s="1"/>
  <c r="I247" i="7" s="1"/>
  <c r="I246" i="7" s="1"/>
  <c r="I245" i="7" s="1"/>
  <c r="I239" i="7" s="1"/>
  <c r="H244" i="7"/>
  <c r="H243" i="7" s="1"/>
  <c r="H242" i="7" s="1"/>
  <c r="H241" i="7" s="1"/>
  <c r="H240" i="7" s="1"/>
  <c r="H227" i="7"/>
  <c r="H226" i="7" s="1"/>
  <c r="H225" i="7"/>
  <c r="H224" i="7" s="1"/>
  <c r="H222" i="7"/>
  <c r="H221" i="7" s="1"/>
  <c r="H220" i="7"/>
  <c r="H219" i="7" s="1"/>
  <c r="H216" i="7"/>
  <c r="H215" i="7" s="1"/>
  <c r="H214" i="7" s="1"/>
  <c r="H213" i="7"/>
  <c r="H212" i="7" s="1"/>
  <c r="H211" i="7" s="1"/>
  <c r="H208" i="7"/>
  <c r="H207" i="7" s="1"/>
  <c r="H206" i="7" s="1"/>
  <c r="H205" i="7"/>
  <c r="H204" i="7" s="1"/>
  <c r="H203" i="7" s="1"/>
  <c r="H198" i="7"/>
  <c r="H197" i="7" s="1"/>
  <c r="H196" i="7" s="1"/>
  <c r="H193" i="7"/>
  <c r="H191" i="7"/>
  <c r="H187" i="7"/>
  <c r="H186" i="7" s="1"/>
  <c r="H181" i="7"/>
  <c r="H175" i="7"/>
  <c r="H174" i="7" s="1"/>
  <c r="H173" i="7" s="1"/>
  <c r="H172" i="7" s="1"/>
  <c r="H171" i="7" s="1"/>
  <c r="H169" i="7"/>
  <c r="H168" i="7" s="1"/>
  <c r="H167" i="7" s="1"/>
  <c r="H166" i="7"/>
  <c r="H165" i="7" s="1"/>
  <c r="H164" i="7" s="1"/>
  <c r="H161" i="7"/>
  <c r="H160" i="7" s="1"/>
  <c r="H159" i="7" s="1"/>
  <c r="H158" i="7"/>
  <c r="H157" i="7" s="1"/>
  <c r="H156" i="7" s="1"/>
  <c r="H155" i="7"/>
  <c r="H154" i="7" s="1"/>
  <c r="H153" i="7" s="1"/>
  <c r="H150" i="7"/>
  <c r="H149" i="7" s="1"/>
  <c r="H148" i="7" s="1"/>
  <c r="H147" i="7" s="1"/>
  <c r="H146" i="7" s="1"/>
  <c r="H145" i="7" s="1"/>
  <c r="H143" i="7"/>
  <c r="H142" i="7" s="1"/>
  <c r="H141" i="7" s="1"/>
  <c r="H140" i="7"/>
  <c r="H139" i="7" s="1"/>
  <c r="H138"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41" i="7"/>
  <c r="I440" i="7" s="1"/>
  <c r="I431" i="7"/>
  <c r="I430" i="7" s="1"/>
  <c r="I429" i="7" s="1"/>
  <c r="I416" i="7" s="1"/>
  <c r="I394" i="7"/>
  <c r="I393" i="7" s="1"/>
  <c r="I386" i="7" s="1"/>
  <c r="I385" i="7" s="1"/>
  <c r="I384" i="7" s="1"/>
  <c r="I383" i="7" s="1"/>
  <c r="F986" i="7"/>
  <c r="F966" i="7"/>
  <c r="F956" i="7"/>
  <c r="F948" i="7"/>
  <c r="F945" i="7"/>
  <c r="F924" i="7"/>
  <c r="F922" i="7"/>
  <c r="F913" i="7"/>
  <c r="F898" i="7"/>
  <c r="D25" i="9" s="1"/>
  <c r="F872" i="7"/>
  <c r="F869" i="7"/>
  <c r="F864" i="7"/>
  <c r="F853" i="7"/>
  <c r="F850" i="7"/>
  <c r="F845" i="7"/>
  <c r="F822" i="7"/>
  <c r="F816" i="7"/>
  <c r="F802" i="7"/>
  <c r="F799" i="7"/>
  <c r="F796" i="7"/>
  <c r="F791" i="7"/>
  <c r="F785" i="7"/>
  <c r="F776" i="7"/>
  <c r="F770" i="7"/>
  <c r="D270" i="9" s="1"/>
  <c r="F766" i="7"/>
  <c r="D262" i="9" s="1"/>
  <c r="F749" i="7"/>
  <c r="F745" i="7"/>
  <c r="F699" i="7"/>
  <c r="F689" i="7"/>
  <c r="F685" i="7"/>
  <c r="F679" i="7"/>
  <c r="F676" i="7"/>
  <c r="F668" i="7"/>
  <c r="F665" i="7"/>
  <c r="F662" i="7"/>
  <c r="F640" i="7"/>
  <c r="F637" i="7"/>
  <c r="F632" i="7"/>
  <c r="F625" i="7"/>
  <c r="F622" i="7"/>
  <c r="F617" i="7"/>
  <c r="F611" i="7"/>
  <c r="F605" i="7"/>
  <c r="F599" i="7"/>
  <c r="F597" i="7"/>
  <c r="F591" i="7"/>
  <c r="F589" i="7"/>
  <c r="F588" i="7"/>
  <c r="F576" i="7"/>
  <c r="F569" i="7"/>
  <c r="F497" i="7"/>
  <c r="F489" i="7"/>
  <c r="F487" i="7"/>
  <c r="D277" i="9"/>
  <c r="F466" i="7"/>
  <c r="F456" i="7"/>
  <c r="F439" i="7"/>
  <c r="F382" i="7"/>
  <c r="F379" i="7"/>
  <c r="F378" i="7"/>
  <c r="F364" i="7"/>
  <c r="F286" i="7"/>
  <c r="F259" i="7"/>
  <c r="F253" i="7"/>
  <c r="G253" i="7" s="1"/>
  <c r="G252" i="7" s="1"/>
  <c r="G251" i="7" s="1"/>
  <c r="G250" i="7" s="1"/>
  <c r="F244" i="7"/>
  <c r="F227" i="7"/>
  <c r="F225" i="7"/>
  <c r="F222" i="7"/>
  <c r="F220" i="7"/>
  <c r="F216" i="7"/>
  <c r="F213" i="7"/>
  <c r="F208" i="7"/>
  <c r="F205" i="7"/>
  <c r="F198" i="7"/>
  <c r="F193" i="7"/>
  <c r="G193" i="7" s="1"/>
  <c r="G192" i="7" s="1"/>
  <c r="F161" i="7"/>
  <c r="F160" i="7" s="1"/>
  <c r="F158" i="7"/>
  <c r="F155" i="7"/>
  <c r="F150" i="7"/>
  <c r="F143" i="7"/>
  <c r="F140" i="7"/>
  <c r="F135" i="7"/>
  <c r="F131" i="7"/>
  <c r="D745" i="9" s="1"/>
  <c r="D744" i="9" s="1"/>
  <c r="D743" i="9" s="1"/>
  <c r="F127" i="7"/>
  <c r="F121" i="7"/>
  <c r="F118" i="7"/>
  <c r="F113" i="7"/>
  <c r="F99" i="7"/>
  <c r="F93" i="7"/>
  <c r="F90" i="7"/>
  <c r="F85" i="7"/>
  <c r="F76" i="7"/>
  <c r="F74" i="7"/>
  <c r="F55" i="7"/>
  <c r="F52" i="7"/>
  <c r="F47" i="7"/>
  <c r="F43" i="7"/>
  <c r="F40" i="7"/>
  <c r="F36" i="7"/>
  <c r="F22" i="7"/>
  <c r="H990" i="7" l="1"/>
  <c r="J990" i="7"/>
  <c r="H673" i="7"/>
  <c r="H223" i="7"/>
  <c r="I644" i="7"/>
  <c r="I643" i="7" s="1"/>
  <c r="I642" i="7" s="1"/>
  <c r="I641" i="7" s="1"/>
  <c r="H485" i="7"/>
  <c r="H480" i="7" s="1"/>
  <c r="H479" i="7" s="1"/>
  <c r="H964" i="7"/>
  <c r="H960" i="7" s="1"/>
  <c r="H959" i="7" s="1"/>
  <c r="H180" i="7"/>
  <c r="H179" i="7" s="1"/>
  <c r="F138" i="9"/>
  <c r="F137" i="9"/>
  <c r="I927" i="7"/>
  <c r="I926" i="7" s="1"/>
  <c r="H927" i="7"/>
  <c r="H926" i="7" s="1"/>
  <c r="I924" i="7"/>
  <c r="H748" i="7"/>
  <c r="H747" i="7" s="1"/>
  <c r="H746" i="7" s="1"/>
  <c r="F150" i="9"/>
  <c r="F149" i="9" s="1"/>
  <c r="J752" i="7"/>
  <c r="F146" i="9"/>
  <c r="F145" i="9" s="1"/>
  <c r="J748" i="7"/>
  <c r="H806" i="7"/>
  <c r="H805" i="7" s="1"/>
  <c r="H804" i="7" s="1"/>
  <c r="H803" i="7" s="1"/>
  <c r="H877" i="7"/>
  <c r="H876" i="7" s="1"/>
  <c r="H875" i="7" s="1"/>
  <c r="H874" i="7" s="1"/>
  <c r="H873" i="7" s="1"/>
  <c r="E192" i="9"/>
  <c r="F97" i="9"/>
  <c r="H436" i="7"/>
  <c r="H435" i="7" s="1"/>
  <c r="H434" i="7" s="1"/>
  <c r="H433" i="7" s="1"/>
  <c r="I436" i="7"/>
  <c r="I435" i="7" s="1"/>
  <c r="I434" i="7" s="1"/>
  <c r="I433" i="7" s="1"/>
  <c r="H218" i="7"/>
  <c r="H80" i="7"/>
  <c r="H79" i="7" s="1"/>
  <c r="H78" i="7" s="1"/>
  <c r="H77" i="7" s="1"/>
  <c r="D484" i="9"/>
  <c r="H98" i="7"/>
  <c r="H97" i="7" s="1"/>
  <c r="H96" i="7" s="1"/>
  <c r="H95" i="7" s="1"/>
  <c r="H94" i="7" s="1"/>
  <c r="E484" i="9"/>
  <c r="H765" i="7"/>
  <c r="H764" i="7" s="1"/>
  <c r="H763" i="7" s="1"/>
  <c r="H762" i="7" s="1"/>
  <c r="H761" i="7" s="1"/>
  <c r="F262" i="9"/>
  <c r="E262" i="9"/>
  <c r="F484" i="9"/>
  <c r="H694" i="7"/>
  <c r="H693" i="7" s="1"/>
  <c r="H686" i="7" s="1"/>
  <c r="E129" i="9"/>
  <c r="E128" i="9" s="1"/>
  <c r="E127" i="9" s="1"/>
  <c r="J790" i="7"/>
  <c r="J789" i="7" s="1"/>
  <c r="H663" i="7"/>
  <c r="H659" i="7" s="1"/>
  <c r="E62" i="9"/>
  <c r="E61" i="9" s="1"/>
  <c r="E60" i="9" s="1"/>
  <c r="E59" i="9" s="1"/>
  <c r="J844" i="7"/>
  <c r="J843" i="7" s="1"/>
  <c r="J842" i="7" s="1"/>
  <c r="J841" i="7" s="1"/>
  <c r="J486" i="7"/>
  <c r="I657" i="7"/>
  <c r="I656" i="7" s="1"/>
  <c r="I655" i="7" s="1"/>
  <c r="J568" i="7"/>
  <c r="J567" i="7" s="1"/>
  <c r="J483" i="7"/>
  <c r="J482" i="7" s="1"/>
  <c r="J481" i="7" s="1"/>
  <c r="J652" i="7"/>
  <c r="J651" i="7" s="1"/>
  <c r="J650" i="7" s="1"/>
  <c r="J649" i="7" s="1"/>
  <c r="H652" i="7"/>
  <c r="H651" i="7" s="1"/>
  <c r="H650" i="7" s="1"/>
  <c r="H649" i="7" s="1"/>
  <c r="E45" i="10"/>
  <c r="E44" i="10" s="1"/>
  <c r="H914" i="7"/>
  <c r="J947" i="7"/>
  <c r="J946" i="7" s="1"/>
  <c r="H44" i="7"/>
  <c r="H788" i="7"/>
  <c r="H787" i="7" s="1"/>
  <c r="H786" i="7" s="1"/>
  <c r="H780" i="7" s="1"/>
  <c r="H195" i="7"/>
  <c r="H194" i="7" s="1"/>
  <c r="J863" i="7"/>
  <c r="J862" i="7" s="1"/>
  <c r="I74" i="7"/>
  <c r="I73" i="7" s="1"/>
  <c r="I72" i="7" s="1"/>
  <c r="I71" i="7" s="1"/>
  <c r="I70" i="7" s="1"/>
  <c r="I69" i="7" s="1"/>
  <c r="J912" i="7"/>
  <c r="J719" i="7"/>
  <c r="J718" i="7" s="1"/>
  <c r="J717" i="7" s="1"/>
  <c r="J716" i="7" s="1"/>
  <c r="J575" i="7"/>
  <c r="J574" i="7" s="1"/>
  <c r="J465" i="7"/>
  <c r="J464" i="7" s="1"/>
  <c r="J463" i="7" s="1"/>
  <c r="J937" i="7"/>
  <c r="J936" i="7" s="1"/>
  <c r="J935" i="7" s="1"/>
  <c r="J903" i="7"/>
  <c r="J901" i="7" s="1"/>
  <c r="J900" i="7" s="1"/>
  <c r="F57" i="10" s="1"/>
  <c r="J775" i="7"/>
  <c r="J488" i="7"/>
  <c r="H667" i="7"/>
  <c r="H666" i="7" s="1"/>
  <c r="H67" i="7"/>
  <c r="H64" i="7" s="1"/>
  <c r="H63" i="7" s="1"/>
  <c r="J923" i="7"/>
  <c r="H41" i="7"/>
  <c r="H248" i="7"/>
  <c r="H247" i="7" s="1"/>
  <c r="H246" i="7" s="1"/>
  <c r="H245" i="7" s="1"/>
  <c r="H239" i="7" s="1"/>
  <c r="J955" i="7"/>
  <c r="J954" i="7" s="1"/>
  <c r="J953" i="7" s="1"/>
  <c r="J952" i="7" s="1"/>
  <c r="J951" i="7" s="1"/>
  <c r="J950" i="7" s="1"/>
  <c r="F62" i="10" s="1"/>
  <c r="J849" i="7"/>
  <c r="J848" i="7" s="1"/>
  <c r="J621" i="7"/>
  <c r="J620" i="7" s="1"/>
  <c r="J610" i="7"/>
  <c r="J609" i="7" s="1"/>
  <c r="J608" i="7" s="1"/>
  <c r="J607" i="7" s="1"/>
  <c r="J977" i="7"/>
  <c r="J976" i="7" s="1"/>
  <c r="J972" i="7" s="1"/>
  <c r="J971" i="7" s="1"/>
  <c r="J970" i="7" s="1"/>
  <c r="J944" i="7"/>
  <c r="J943" i="7" s="1"/>
  <c r="J801" i="7"/>
  <c r="J800" i="7" s="1"/>
  <c r="J616" i="7"/>
  <c r="J615" i="7" s="1"/>
  <c r="H192" i="7"/>
  <c r="I193" i="7"/>
  <c r="I192" i="7" s="1"/>
  <c r="I364" i="7"/>
  <c r="I363" i="7" s="1"/>
  <c r="I362" i="7" s="1"/>
  <c r="I361" i="7" s="1"/>
  <c r="I360" i="7" s="1"/>
  <c r="I359" i="7" s="1"/>
  <c r="I358" i="7" s="1"/>
  <c r="J684" i="7"/>
  <c r="J683" i="7" s="1"/>
  <c r="J664" i="7"/>
  <c r="J639" i="7"/>
  <c r="J638" i="7" s="1"/>
  <c r="J598" i="7"/>
  <c r="H912" i="7"/>
  <c r="I689" i="7"/>
  <c r="I688" i="7" s="1"/>
  <c r="I687" i="7" s="1"/>
  <c r="I686" i="7" s="1"/>
  <c r="F391" i="9"/>
  <c r="J190" i="7"/>
  <c r="K191" i="7"/>
  <c r="K190" i="7" s="1"/>
  <c r="F25" i="9"/>
  <c r="I191" i="7"/>
  <c r="I190" i="7" s="1"/>
  <c r="H190" i="7"/>
  <c r="J921" i="7"/>
  <c r="J675" i="7"/>
  <c r="J674" i="7" s="1"/>
  <c r="J631" i="7"/>
  <c r="J630" i="7" s="1"/>
  <c r="F393" i="9"/>
  <c r="K193" i="7"/>
  <c r="K192" i="7" s="1"/>
  <c r="J192" i="7"/>
  <c r="J252" i="7"/>
  <c r="J251" i="7" s="1"/>
  <c r="J250" i="7" s="1"/>
  <c r="F556" i="9"/>
  <c r="I66" i="7"/>
  <c r="I65" i="7" s="1"/>
  <c r="I64" i="7" s="1"/>
  <c r="I63" i="7" s="1"/>
  <c r="I58" i="7" s="1"/>
  <c r="I57" i="7" s="1"/>
  <c r="J932" i="7"/>
  <c r="J931" i="7" s="1"/>
  <c r="J810" i="7"/>
  <c r="J807" i="7" s="1"/>
  <c r="F45" i="9"/>
  <c r="J636" i="7"/>
  <c r="J635" i="7" s="1"/>
  <c r="F702" i="9"/>
  <c r="J798" i="7"/>
  <c r="J797" i="7" s="1"/>
  <c r="J795" i="7"/>
  <c r="J794" i="7" s="1"/>
  <c r="F161" i="9"/>
  <c r="J777" i="7"/>
  <c r="J698" i="7"/>
  <c r="J697" i="7" s="1"/>
  <c r="J696" i="7" s="1"/>
  <c r="F133" i="9"/>
  <c r="J678" i="7"/>
  <c r="J677" i="7" s="1"/>
  <c r="J661" i="7"/>
  <c r="J660" i="7" s="1"/>
  <c r="F86" i="9"/>
  <c r="F413" i="9"/>
  <c r="F65" i="10"/>
  <c r="J965" i="7"/>
  <c r="J891" i="7"/>
  <c r="F55" i="10"/>
  <c r="F47" i="9"/>
  <c r="J852" i="7"/>
  <c r="J851" i="7" s="1"/>
  <c r="J769" i="7"/>
  <c r="J768" i="7" s="1"/>
  <c r="J767" i="7" s="1"/>
  <c r="J762" i="7" s="1"/>
  <c r="J761" i="7" s="1"/>
  <c r="F270" i="9"/>
  <c r="J744" i="7"/>
  <c r="J743" i="7" s="1"/>
  <c r="J739" i="7" s="1"/>
  <c r="J624" i="7"/>
  <c r="J623" i="7" s="1"/>
  <c r="J496" i="7"/>
  <c r="J495" i="7" s="1"/>
  <c r="J494" i="7" s="1"/>
  <c r="J493" i="7" s="1"/>
  <c r="J492" i="7" s="1"/>
  <c r="J694" i="7"/>
  <c r="J693" i="7" s="1"/>
  <c r="J667" i="7"/>
  <c r="J666" i="7" s="1"/>
  <c r="I685" i="7"/>
  <c r="I684" i="7" s="1"/>
  <c r="I683" i="7" s="1"/>
  <c r="I672" i="7" s="1"/>
  <c r="J784" i="7"/>
  <c r="J783" i="7" s="1"/>
  <c r="J782" i="7" s="1"/>
  <c r="J781" i="7" s="1"/>
  <c r="H921" i="7"/>
  <c r="H923" i="7"/>
  <c r="J914" i="7"/>
  <c r="J688" i="7"/>
  <c r="J687" i="7" s="1"/>
  <c r="F123" i="9"/>
  <c r="J590" i="7"/>
  <c r="J588" i="7"/>
  <c r="J596" i="7"/>
  <c r="I806" i="7"/>
  <c r="I805" i="7" s="1"/>
  <c r="I804" i="7" s="1"/>
  <c r="I803" i="7" s="1"/>
  <c r="J815" i="7"/>
  <c r="J814" i="7" s="1"/>
  <c r="F189" i="9"/>
  <c r="H866" i="7"/>
  <c r="H865" i="7" s="1"/>
  <c r="H774" i="7"/>
  <c r="H773" i="7" s="1"/>
  <c r="H772" i="7" s="1"/>
  <c r="H771" i="7" s="1"/>
  <c r="H738" i="7"/>
  <c r="H629" i="7"/>
  <c r="H628" i="7" s="1"/>
  <c r="H627" i="7" s="1"/>
  <c r="H626" i="7" s="1"/>
  <c r="H595" i="7"/>
  <c r="H594" i="7" s="1"/>
  <c r="H593" i="7" s="1"/>
  <c r="H592" i="7" s="1"/>
  <c r="H972" i="7"/>
  <c r="H971" i="7" s="1"/>
  <c r="H970" i="7" s="1"/>
  <c r="H942" i="7"/>
  <c r="H941" i="7" s="1"/>
  <c r="H940" i="7" s="1"/>
  <c r="H856" i="7"/>
  <c r="H855" i="7" s="1"/>
  <c r="H847" i="7"/>
  <c r="H846" i="7" s="1"/>
  <c r="H981" i="7"/>
  <c r="H982" i="7"/>
  <c r="H984" i="7"/>
  <c r="H983" i="7" s="1"/>
  <c r="I934" i="7"/>
  <c r="I935" i="7"/>
  <c r="I911" i="7"/>
  <c r="I910" i="7" s="1"/>
  <c r="H901" i="7"/>
  <c r="H900" i="7" s="1"/>
  <c r="H902" i="7"/>
  <c r="H937" i="7"/>
  <c r="H936" i="7" s="1"/>
  <c r="H905" i="7"/>
  <c r="H904" i="7" s="1"/>
  <c r="H715" i="7"/>
  <c r="H714" i="7" s="1"/>
  <c r="I785" i="7"/>
  <c r="I784" i="7" s="1"/>
  <c r="I783" i="7" s="1"/>
  <c r="I782" i="7" s="1"/>
  <c r="I781" i="7" s="1"/>
  <c r="I780" i="7" s="1"/>
  <c r="H614" i="7"/>
  <c r="H613" i="7" s="1"/>
  <c r="H612" i="7" s="1"/>
  <c r="H606" i="7" s="1"/>
  <c r="H587" i="7"/>
  <c r="H586" i="7" s="1"/>
  <c r="H585" i="7" s="1"/>
  <c r="H584" i="7" s="1"/>
  <c r="H566" i="7"/>
  <c r="H565" i="7" s="1"/>
  <c r="H546" i="7" s="1"/>
  <c r="I611" i="7"/>
  <c r="I610" i="7" s="1"/>
  <c r="I609" i="7" s="1"/>
  <c r="I608" i="7" s="1"/>
  <c r="I607" i="7" s="1"/>
  <c r="I606" i="7" s="1"/>
  <c r="I599" i="7"/>
  <c r="I598" i="7" s="1"/>
  <c r="I597" i="7"/>
  <c r="I596" i="7" s="1"/>
  <c r="I591" i="7"/>
  <c r="I590" i="7" s="1"/>
  <c r="I588" i="7"/>
  <c r="J984" i="7"/>
  <c r="J983" i="7" s="1"/>
  <c r="J981" i="7"/>
  <c r="J982" i="7"/>
  <c r="J866" i="7"/>
  <c r="J865" i="7" s="1"/>
  <c r="J905" i="7"/>
  <c r="J904" i="7" s="1"/>
  <c r="H152" i="7"/>
  <c r="H151" i="7" s="1"/>
  <c r="H144" i="7" s="1"/>
  <c r="H132" i="7"/>
  <c r="H128" i="7" s="1"/>
  <c r="H75" i="7"/>
  <c r="H72" i="7" s="1"/>
  <c r="H71" i="7" s="1"/>
  <c r="H70" i="7" s="1"/>
  <c r="H69" i="7" s="1"/>
  <c r="H163" i="7"/>
  <c r="H162" i="7" s="1"/>
  <c r="H272" i="7"/>
  <c r="H376" i="7"/>
  <c r="H375" i="7" s="1"/>
  <c r="H374" i="7" s="1"/>
  <c r="H373" i="7" s="1"/>
  <c r="H365" i="7" s="1"/>
  <c r="H386" i="7"/>
  <c r="H385" i="7" s="1"/>
  <c r="H384" i="7" s="1"/>
  <c r="H383" i="7" s="1"/>
  <c r="H116" i="7"/>
  <c r="H110" i="7" s="1"/>
  <c r="H109" i="7" s="1"/>
  <c r="H108" i="7" s="1"/>
  <c r="H107" i="7" s="1"/>
  <c r="I279" i="7"/>
  <c r="I278" i="7" s="1"/>
  <c r="I277" i="7" s="1"/>
  <c r="I276" i="7" s="1"/>
  <c r="I275" i="7" s="1"/>
  <c r="I274" i="7" s="1"/>
  <c r="I273" i="7" s="1"/>
  <c r="I272" i="7" s="1"/>
  <c r="J432" i="7"/>
  <c r="F609" i="9" s="1"/>
  <c r="F577" i="9"/>
  <c r="F351" i="9"/>
  <c r="F350" i="9" s="1"/>
  <c r="F349" i="9" s="1"/>
  <c r="F348" i="9" s="1"/>
  <c r="F347" i="9" s="1"/>
  <c r="F342" i="9" s="1"/>
  <c r="E351" i="9"/>
  <c r="E350" i="9" s="1"/>
  <c r="E349" i="9" s="1"/>
  <c r="E348" i="9" s="1"/>
  <c r="E347" i="9" s="1"/>
  <c r="E342" i="9" s="1"/>
  <c r="G652" i="7"/>
  <c r="G651" i="7" s="1"/>
  <c r="G650" i="7" s="1"/>
  <c r="G649" i="7" s="1"/>
  <c r="F653" i="7"/>
  <c r="AF1066" i="2"/>
  <c r="AF1065" i="2" s="1"/>
  <c r="AF1064" i="2" s="1"/>
  <c r="AF1063" i="2" s="1"/>
  <c r="AE1066" i="2"/>
  <c r="AE1065" i="2" s="1"/>
  <c r="AE1064" i="2" s="1"/>
  <c r="AE1063" i="2" s="1"/>
  <c r="AD1066" i="2"/>
  <c r="AD1065" i="2" s="1"/>
  <c r="AD1064" i="2" s="1"/>
  <c r="AD1063" i="2" s="1"/>
  <c r="G932" i="7"/>
  <c r="G931" i="7" s="1"/>
  <c r="K932" i="7"/>
  <c r="K931" i="7" s="1"/>
  <c r="F933" i="7"/>
  <c r="F695" i="7"/>
  <c r="D129" i="9" s="1"/>
  <c r="D128" i="9" s="1"/>
  <c r="D127" i="9" s="1"/>
  <c r="G691" i="7"/>
  <c r="G690" i="7" s="1"/>
  <c r="K691" i="7"/>
  <c r="K690" i="7" s="1"/>
  <c r="F126" i="9"/>
  <c r="E126" i="9"/>
  <c r="F692" i="7"/>
  <c r="F691" i="7" s="1"/>
  <c r="F690" i="7" s="1"/>
  <c r="AE754" i="2"/>
  <c r="AE753" i="2" s="1"/>
  <c r="AF754" i="2"/>
  <c r="AF753" i="2" s="1"/>
  <c r="AD754" i="2"/>
  <c r="AD753" i="2" s="1"/>
  <c r="I923" i="7" l="1"/>
  <c r="I920" i="7" s="1"/>
  <c r="I919" i="7" s="1"/>
  <c r="I918" i="7" s="1"/>
  <c r="I917" i="7" s="1"/>
  <c r="I990" i="7"/>
  <c r="J673" i="7"/>
  <c r="AE1058" i="2"/>
  <c r="AE1057" i="2" s="1"/>
  <c r="AE1056" i="2" s="1"/>
  <c r="AE1055" i="2" s="1"/>
  <c r="AF1058" i="2"/>
  <c r="AF1057" i="2" s="1"/>
  <c r="AF1056" i="2" s="1"/>
  <c r="AF1055" i="2" s="1"/>
  <c r="AD1058" i="2"/>
  <c r="AD1057" i="2" s="1"/>
  <c r="AD1056" i="2" s="1"/>
  <c r="AD1055" i="2" s="1"/>
  <c r="G644" i="7"/>
  <c r="G643" i="7" s="1"/>
  <c r="G642" i="7" s="1"/>
  <c r="G641" i="7" s="1"/>
  <c r="J644" i="7"/>
  <c r="J643" i="7" s="1"/>
  <c r="J642" i="7" s="1"/>
  <c r="H644" i="7"/>
  <c r="H643" i="7" s="1"/>
  <c r="H642" i="7" s="1"/>
  <c r="H641" i="7" s="1"/>
  <c r="J485" i="7"/>
  <c r="J480" i="7" s="1"/>
  <c r="J479" i="7" s="1"/>
  <c r="H958" i="7"/>
  <c r="H957" i="7" s="1"/>
  <c r="H949" i="7" s="1"/>
  <c r="J964" i="7"/>
  <c r="J960" i="7" s="1"/>
  <c r="J959" i="7" s="1"/>
  <c r="J958" i="7" s="1"/>
  <c r="J957" i="7" s="1"/>
  <c r="J949" i="7" s="1"/>
  <c r="H217" i="7"/>
  <c r="H210" i="7" s="1"/>
  <c r="H209" i="7" s="1"/>
  <c r="I909" i="7"/>
  <c r="I908" i="7" s="1"/>
  <c r="I907" i="7" s="1"/>
  <c r="I779" i="7"/>
  <c r="I925" i="7"/>
  <c r="H779" i="7"/>
  <c r="K927" i="7"/>
  <c r="K926" i="7" s="1"/>
  <c r="G927" i="7"/>
  <c r="G926" i="7" s="1"/>
  <c r="J927" i="7"/>
  <c r="J926" i="7" s="1"/>
  <c r="H478" i="7"/>
  <c r="F144" i="9"/>
  <c r="J747" i="7"/>
  <c r="J746" i="7" s="1"/>
  <c r="J686" i="7"/>
  <c r="I56" i="7"/>
  <c r="H737" i="7"/>
  <c r="H736" i="7" s="1"/>
  <c r="H725" i="7" s="1"/>
  <c r="J663" i="7"/>
  <c r="J659" i="7" s="1"/>
  <c r="J658" i="7" s="1"/>
  <c r="F62" i="9"/>
  <c r="F61" i="9" s="1"/>
  <c r="F60" i="9" s="1"/>
  <c r="F59" i="9" s="1"/>
  <c r="J566" i="7"/>
  <c r="J565" i="7" s="1"/>
  <c r="J546" i="7" s="1"/>
  <c r="F40" i="10"/>
  <c r="J911" i="7"/>
  <c r="J910" i="7" s="1"/>
  <c r="J909" i="7" s="1"/>
  <c r="H415" i="7"/>
  <c r="H414" i="7" s="1"/>
  <c r="H357" i="7" s="1"/>
  <c r="J774" i="7"/>
  <c r="J773" i="7" s="1"/>
  <c r="J772" i="7" s="1"/>
  <c r="J771" i="7" s="1"/>
  <c r="J760" i="7" s="1"/>
  <c r="F50" i="10" s="1"/>
  <c r="J942" i="7"/>
  <c r="J941" i="7" s="1"/>
  <c r="J940" i="7" s="1"/>
  <c r="J920" i="7"/>
  <c r="J919" i="7" s="1"/>
  <c r="J918" i="7" s="1"/>
  <c r="J917" i="7" s="1"/>
  <c r="F652" i="7"/>
  <c r="F651" i="7" s="1"/>
  <c r="F650" i="7" s="1"/>
  <c r="F649" i="7" s="1"/>
  <c r="J902" i="7"/>
  <c r="H911" i="7"/>
  <c r="H910" i="7" s="1"/>
  <c r="H909" i="7" s="1"/>
  <c r="I415" i="7"/>
  <c r="I414" i="7" s="1"/>
  <c r="I357" i="7" s="1"/>
  <c r="J934" i="7"/>
  <c r="J856" i="7"/>
  <c r="J855" i="7" s="1"/>
  <c r="J854" i="7" s="1"/>
  <c r="J614" i="7"/>
  <c r="J613" i="7" s="1"/>
  <c r="J612" i="7" s="1"/>
  <c r="J606" i="7" s="1"/>
  <c r="J715" i="7"/>
  <c r="J714" i="7" s="1"/>
  <c r="J847" i="7"/>
  <c r="J846" i="7" s="1"/>
  <c r="I189" i="7"/>
  <c r="I188" i="7" s="1"/>
  <c r="I178" i="7" s="1"/>
  <c r="I177" i="7" s="1"/>
  <c r="I170" i="7" s="1"/>
  <c r="K189" i="7"/>
  <c r="K188" i="7" s="1"/>
  <c r="K178" i="7" s="1"/>
  <c r="K177" i="7" s="1"/>
  <c r="J587" i="7"/>
  <c r="J586" i="7" s="1"/>
  <c r="J585" i="7" s="1"/>
  <c r="J584" i="7" s="1"/>
  <c r="J738" i="7"/>
  <c r="J629" i="7"/>
  <c r="J628" i="7" s="1"/>
  <c r="J627" i="7" s="1"/>
  <c r="J626" i="7" s="1"/>
  <c r="H37" i="7"/>
  <c r="J595" i="7"/>
  <c r="J594" i="7" s="1"/>
  <c r="J593" i="7" s="1"/>
  <c r="J592" i="7" s="1"/>
  <c r="H658" i="7"/>
  <c r="H854" i="7"/>
  <c r="H840" i="7" s="1"/>
  <c r="H839" i="7" s="1"/>
  <c r="J806" i="7"/>
  <c r="J805" i="7" s="1"/>
  <c r="J804" i="7" s="1"/>
  <c r="J803" i="7" s="1"/>
  <c r="J189" i="7"/>
  <c r="J188" i="7" s="1"/>
  <c r="D351" i="9"/>
  <c r="D350" i="9" s="1"/>
  <c r="D349" i="9" s="1"/>
  <c r="D348" i="9" s="1"/>
  <c r="D347" i="9" s="1"/>
  <c r="D342" i="9" s="1"/>
  <c r="H939" i="7"/>
  <c r="H189" i="7"/>
  <c r="H188" i="7" s="1"/>
  <c r="H178" i="7" s="1"/>
  <c r="J788" i="7"/>
  <c r="J787" i="7" s="1"/>
  <c r="J786" i="7" s="1"/>
  <c r="J780" i="7" s="1"/>
  <c r="H760" i="7"/>
  <c r="I671" i="7"/>
  <c r="I670" i="7" s="1"/>
  <c r="I669" i="7" s="1"/>
  <c r="H920" i="7"/>
  <c r="H919" i="7" s="1"/>
  <c r="H918" i="7" s="1"/>
  <c r="H917" i="7" s="1"/>
  <c r="I587" i="7"/>
  <c r="I586" i="7" s="1"/>
  <c r="I585" i="7" s="1"/>
  <c r="I584" i="7" s="1"/>
  <c r="I595" i="7"/>
  <c r="I594" i="7" s="1"/>
  <c r="I593" i="7" s="1"/>
  <c r="I592" i="7" s="1"/>
  <c r="H577" i="7"/>
  <c r="H934" i="7"/>
  <c r="H925" i="7" s="1"/>
  <c r="H935" i="7"/>
  <c r="H979" i="7"/>
  <c r="H980" i="7"/>
  <c r="J980" i="7"/>
  <c r="J979" i="7"/>
  <c r="D126" i="9"/>
  <c r="K938" i="7"/>
  <c r="K937" i="7" s="1"/>
  <c r="K936" i="7" s="1"/>
  <c r="K924" i="7"/>
  <c r="K923" i="7" s="1"/>
  <c r="K922" i="7"/>
  <c r="K921" i="7" s="1"/>
  <c r="K915" i="7"/>
  <c r="K914" i="7" s="1"/>
  <c r="K913" i="7"/>
  <c r="K912" i="7" s="1"/>
  <c r="K815" i="7"/>
  <c r="K814" i="7" s="1"/>
  <c r="K810" i="7"/>
  <c r="K807" i="7" s="1"/>
  <c r="K719" i="7"/>
  <c r="K718" i="7" s="1"/>
  <c r="K717" i="7" s="1"/>
  <c r="K689" i="7"/>
  <c r="K688" i="7" s="1"/>
  <c r="K687" i="7" s="1"/>
  <c r="K694" i="7"/>
  <c r="K693" i="7" s="1"/>
  <c r="K682" i="7"/>
  <c r="K681" i="7" s="1"/>
  <c r="K680" i="7" s="1"/>
  <c r="K668" i="7"/>
  <c r="K667" i="7" s="1"/>
  <c r="K666" i="7" s="1"/>
  <c r="K658" i="7" s="1"/>
  <c r="J455" i="7"/>
  <c r="J454" i="7" s="1"/>
  <c r="J453" i="7" s="1"/>
  <c r="J452" i="7" s="1"/>
  <c r="J451" i="7" s="1"/>
  <c r="J441" i="7"/>
  <c r="J440" i="7" s="1"/>
  <c r="K441" i="7"/>
  <c r="K440" i="7" s="1"/>
  <c r="J438" i="7"/>
  <c r="J437" i="7" s="1"/>
  <c r="J431" i="7"/>
  <c r="J430" i="7" s="1"/>
  <c r="J429" i="7" s="1"/>
  <c r="J416" i="7" s="1"/>
  <c r="K431" i="7"/>
  <c r="K430" i="7" s="1"/>
  <c r="K429" i="7" s="1"/>
  <c r="K416" i="7" s="1"/>
  <c r="J399" i="7"/>
  <c r="J398" i="7" s="1"/>
  <c r="J397" i="7" s="1"/>
  <c r="J396" i="7" s="1"/>
  <c r="J394" i="7"/>
  <c r="J393" i="7" s="1"/>
  <c r="K394" i="7"/>
  <c r="K393" i="7" s="1"/>
  <c r="K386" i="7" s="1"/>
  <c r="K385" i="7" s="1"/>
  <c r="K384" i="7" s="1"/>
  <c r="K383" i="7" s="1"/>
  <c r="J391" i="7"/>
  <c r="J390" i="7" s="1"/>
  <c r="J388" i="7"/>
  <c r="J387" i="7" s="1"/>
  <c r="J381" i="7"/>
  <c r="J380" i="7" s="1"/>
  <c r="J378" i="7"/>
  <c r="J371" i="7"/>
  <c r="J370" i="7" s="1"/>
  <c r="J369" i="7" s="1"/>
  <c r="J368" i="7" s="1"/>
  <c r="J367" i="7" s="1"/>
  <c r="J366" i="7" s="1"/>
  <c r="K364" i="7"/>
  <c r="K363" i="7" s="1"/>
  <c r="K362" i="7" s="1"/>
  <c r="K361" i="7" s="1"/>
  <c r="K360" i="7" s="1"/>
  <c r="K359" i="7" s="1"/>
  <c r="K358" i="7" s="1"/>
  <c r="J353" i="7"/>
  <c r="J337" i="7" s="1"/>
  <c r="J336" i="7" s="1"/>
  <c r="J335" i="7" s="1"/>
  <c r="F31" i="10" s="1"/>
  <c r="J291" i="7"/>
  <c r="J290" i="7" s="1"/>
  <c r="J289" i="7" s="1"/>
  <c r="J288" i="7" s="1"/>
  <c r="J285" i="7"/>
  <c r="J284" i="7" s="1"/>
  <c r="J283" i="7" s="1"/>
  <c r="J282" i="7" s="1"/>
  <c r="J281" i="7" s="1"/>
  <c r="J280" i="7" s="1"/>
  <c r="F27" i="10" s="1"/>
  <c r="K249" i="7"/>
  <c r="K248" i="7" s="1"/>
  <c r="K247" i="7" s="1"/>
  <c r="K246" i="7" s="1"/>
  <c r="K245" i="7" s="1"/>
  <c r="K239" i="7" s="1"/>
  <c r="J243" i="7"/>
  <c r="J242" i="7" s="1"/>
  <c r="J241" i="7" s="1"/>
  <c r="J240" i="7" s="1"/>
  <c r="J221" i="7"/>
  <c r="J219" i="7"/>
  <c r="J215" i="7"/>
  <c r="J214" i="7" s="1"/>
  <c r="J212" i="7"/>
  <c r="J211" i="7" s="1"/>
  <c r="J207" i="7"/>
  <c r="J206" i="7" s="1"/>
  <c r="J204" i="7"/>
  <c r="J203" i="7" s="1"/>
  <c r="J197" i="7"/>
  <c r="J196" i="7" s="1"/>
  <c r="J186" i="7"/>
  <c r="J181" i="7"/>
  <c r="J175" i="7"/>
  <c r="J174" i="7" s="1"/>
  <c r="J173" i="7" s="1"/>
  <c r="J172" i="7" s="1"/>
  <c r="J171" i="7" s="1"/>
  <c r="J168" i="7"/>
  <c r="J167" i="7" s="1"/>
  <c r="J165" i="7"/>
  <c r="J164" i="7" s="1"/>
  <c r="J160" i="7"/>
  <c r="J159" i="7" s="1"/>
  <c r="J157" i="7"/>
  <c r="J156" i="7" s="1"/>
  <c r="J154" i="7"/>
  <c r="J153" i="7" s="1"/>
  <c r="J149" i="7"/>
  <c r="J148" i="7" s="1"/>
  <c r="J147" i="7" s="1"/>
  <c r="J146" i="7" s="1"/>
  <c r="J145" i="7" s="1"/>
  <c r="J142" i="7"/>
  <c r="J141" i="7" s="1"/>
  <c r="J139" i="7"/>
  <c r="J138"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63" i="9"/>
  <c r="F762" i="9" s="1"/>
  <c r="F760" i="9"/>
  <c r="F759" i="9" s="1"/>
  <c r="F756" i="9"/>
  <c r="F755" i="9" s="1"/>
  <c r="F753" i="9"/>
  <c r="F752" i="9" s="1"/>
  <c r="F748" i="9"/>
  <c r="F747" i="9" s="1"/>
  <c r="F741" i="9"/>
  <c r="F740" i="9" s="1"/>
  <c r="F738" i="9"/>
  <c r="F737" i="9" s="1"/>
  <c r="F735" i="9"/>
  <c r="F734" i="9" s="1"/>
  <c r="F731" i="9"/>
  <c r="F730" i="9" s="1"/>
  <c r="F728" i="9"/>
  <c r="F727" i="9" s="1"/>
  <c r="F723" i="9"/>
  <c r="F722" i="9" s="1"/>
  <c r="F719" i="9"/>
  <c r="F718" i="9" s="1"/>
  <c r="F716" i="9"/>
  <c r="F715" i="9" s="1"/>
  <c r="F711" i="9"/>
  <c r="F710" i="9" s="1"/>
  <c r="F709" i="9" s="1"/>
  <c r="F708" i="9" s="1"/>
  <c r="F704" i="9"/>
  <c r="F703" i="9" s="1"/>
  <c r="F701" i="9"/>
  <c r="F700" i="9" s="1"/>
  <c r="F696" i="9"/>
  <c r="F695" i="9" s="1"/>
  <c r="F690" i="9"/>
  <c r="F689" i="9" s="1"/>
  <c r="F688" i="9" s="1"/>
  <c r="F681" i="9"/>
  <c r="F680" i="9" s="1"/>
  <c r="F674" i="9"/>
  <c r="F673" i="9" s="1"/>
  <c r="F641" i="9"/>
  <c r="F640" i="9" s="1"/>
  <c r="F638" i="9"/>
  <c r="F637" i="9" s="1"/>
  <c r="F633" i="9"/>
  <c r="F632" i="9" s="1"/>
  <c r="F618" i="9"/>
  <c r="F617" i="9" s="1"/>
  <c r="F615" i="9"/>
  <c r="F614" i="9" s="1"/>
  <c r="F612" i="9"/>
  <c r="F611" i="9" s="1"/>
  <c r="F608" i="9"/>
  <c r="F607" i="9" s="1"/>
  <c r="F606" i="9" s="1"/>
  <c r="F587" i="9"/>
  <c r="F586" i="9" s="1"/>
  <c r="F585" i="9" s="1"/>
  <c r="F584" i="9" s="1"/>
  <c r="F581" i="9"/>
  <c r="F580" i="9" s="1"/>
  <c r="F579" i="9" s="1"/>
  <c r="F578" i="9" s="1"/>
  <c r="F576" i="9"/>
  <c r="F575" i="9" s="1"/>
  <c r="F573" i="9"/>
  <c r="F572" i="9" s="1"/>
  <c r="F570" i="9"/>
  <c r="F569" i="9" s="1"/>
  <c r="F565" i="9"/>
  <c r="F564" i="9" s="1"/>
  <c r="F555" i="9"/>
  <c r="F554" i="9" s="1"/>
  <c r="F553" i="9" s="1"/>
  <c r="F542" i="9"/>
  <c r="F540" i="9"/>
  <c r="F487" i="9"/>
  <c r="F486" i="9" s="1"/>
  <c r="F485" i="9" s="1"/>
  <c r="F483" i="9"/>
  <c r="F482" i="9" s="1"/>
  <c r="F481" i="9" s="1"/>
  <c r="F477" i="9"/>
  <c r="F476" i="9" s="1"/>
  <c r="F463" i="9"/>
  <c r="F461" i="9"/>
  <c r="F458" i="9"/>
  <c r="F456" i="9"/>
  <c r="F452" i="9"/>
  <c r="F451" i="9" s="1"/>
  <c r="F449" i="9"/>
  <c r="F448" i="9" s="1"/>
  <c r="F446" i="9"/>
  <c r="F445" i="9" s="1"/>
  <c r="F443" i="9"/>
  <c r="F442" i="9" s="1"/>
  <c r="F440" i="9"/>
  <c r="F439" i="9" s="1"/>
  <c r="F435" i="9"/>
  <c r="F434" i="9" s="1"/>
  <c r="F431" i="9"/>
  <c r="F430" i="9" s="1"/>
  <c r="F428" i="9"/>
  <c r="F427" i="9" s="1"/>
  <c r="F423" i="9"/>
  <c r="F420" i="9" s="1"/>
  <c r="F417" i="9"/>
  <c r="F416" i="9" s="1"/>
  <c r="F412" i="9"/>
  <c r="F411" i="9" s="1"/>
  <c r="F410" i="9" s="1"/>
  <c r="F409" i="9" s="1"/>
  <c r="F407" i="9"/>
  <c r="F406" i="9" s="1"/>
  <c r="F404" i="9"/>
  <c r="F403" i="9" s="1"/>
  <c r="F397" i="9"/>
  <c r="F396" i="9" s="1"/>
  <c r="F392" i="9"/>
  <c r="F389" i="9" s="1"/>
  <c r="F388" i="9" s="1"/>
  <c r="F390" i="9"/>
  <c r="F386" i="9"/>
  <c r="F385" i="9" s="1"/>
  <c r="F383" i="9"/>
  <c r="F378" i="9"/>
  <c r="F334" i="9"/>
  <c r="F333" i="9" s="1"/>
  <c r="F323" i="9"/>
  <c r="F321" i="9"/>
  <c r="F316" i="9"/>
  <c r="F315" i="9" s="1"/>
  <c r="F314" i="9" s="1"/>
  <c r="F313" i="9" s="1"/>
  <c r="F309" i="9"/>
  <c r="F308" i="9" s="1"/>
  <c r="F304" i="9"/>
  <c r="F303" i="9" s="1"/>
  <c r="F302" i="9" s="1"/>
  <c r="F301" i="9" s="1"/>
  <c r="F297" i="9"/>
  <c r="F296"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09" i="9"/>
  <c r="F208" i="9" s="1"/>
  <c r="F204" i="9"/>
  <c r="F203"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169" i="2"/>
  <c r="AF1168" i="2" s="1"/>
  <c r="AF1166" i="2"/>
  <c r="AF1165" i="2" s="1"/>
  <c r="AF1163" i="2"/>
  <c r="AF1162" i="2" s="1"/>
  <c r="AF1158" i="2"/>
  <c r="AF1157" i="2" s="1"/>
  <c r="AF1156" i="2" s="1"/>
  <c r="AF1155" i="2" s="1"/>
  <c r="AF1154" i="2" s="1"/>
  <c r="AF1149" i="2"/>
  <c r="AF1148" i="2" s="1"/>
  <c r="AF1147" i="2" s="1"/>
  <c r="AF1146" i="2" s="1"/>
  <c r="AF1145" i="2" s="1"/>
  <c r="AF1144" i="2" s="1"/>
  <c r="AF1143" i="2" s="1"/>
  <c r="AF1141" i="2"/>
  <c r="AF1140" i="2" s="1"/>
  <c r="AF1138" i="2"/>
  <c r="AF1137" i="2" s="1"/>
  <c r="AF1133" i="2"/>
  <c r="AF1132" i="2" s="1"/>
  <c r="AF1129" i="2"/>
  <c r="AF1128" i="2" s="1"/>
  <c r="AF1125" i="2"/>
  <c r="AF1124" i="2" s="1"/>
  <c r="AF1123" i="2" s="1"/>
  <c r="AF1122" i="2" s="1"/>
  <c r="AF1121" i="2" s="1"/>
  <c r="AF1119" i="2"/>
  <c r="AF1118" i="2" s="1"/>
  <c r="AF1117" i="2" s="1"/>
  <c r="AF1116" i="2" s="1"/>
  <c r="AF1115" i="2" s="1"/>
  <c r="AF1102" i="2"/>
  <c r="AF1101" i="2" s="1"/>
  <c r="AF1092" i="2"/>
  <c r="AF1090" i="2"/>
  <c r="AF1083" i="2"/>
  <c r="AF1082" i="2" s="1"/>
  <c r="AF1081" i="2" s="1"/>
  <c r="AF1080" i="2" s="1"/>
  <c r="AF1079" i="2" s="1"/>
  <c r="AF1078" i="2" s="1"/>
  <c r="AF1075" i="2"/>
  <c r="AF1074" i="2" s="1"/>
  <c r="AF1073" i="2" s="1"/>
  <c r="AF1072" i="2" s="1"/>
  <c r="AF1053" i="2"/>
  <c r="AF1052" i="2" s="1"/>
  <c r="AF1050" i="2"/>
  <c r="AF1049" i="2" s="1"/>
  <c r="AF1045" i="2"/>
  <c r="AF1044" i="2" s="1"/>
  <c r="AF1038" i="2"/>
  <c r="AF1037" i="2" s="1"/>
  <c r="AF1036" i="2" s="1"/>
  <c r="AF1035" i="2" s="1"/>
  <c r="AF1034" i="2" s="1"/>
  <c r="AF1032" i="2"/>
  <c r="AF1030" i="2"/>
  <c r="AF1013" i="2"/>
  <c r="AF1012" i="2" s="1"/>
  <c r="AF928" i="2"/>
  <c r="AF927" i="2" s="1"/>
  <c r="AF926" i="2" s="1"/>
  <c r="AF925" i="2" s="1"/>
  <c r="AF924" i="2" s="1"/>
  <c r="AF923" i="2" s="1"/>
  <c r="AF907" i="2"/>
  <c r="AF906" i="2" s="1"/>
  <c r="AF904" i="2"/>
  <c r="AF903" i="2" s="1"/>
  <c r="AF901" i="2"/>
  <c r="AF900" i="2" s="1"/>
  <c r="AF894" i="2"/>
  <c r="AF893" i="2" s="1"/>
  <c r="AF892" i="2" s="1"/>
  <c r="AF891" i="2" s="1"/>
  <c r="AF890" i="2" s="1"/>
  <c r="AF889" i="2" s="1"/>
  <c r="AF868" i="2"/>
  <c r="AF867" i="2" s="1"/>
  <c r="AF866" i="2" s="1"/>
  <c r="AF865" i="2" s="1"/>
  <c r="AF864" i="2" s="1"/>
  <c r="AF863" i="2" s="1"/>
  <c r="AF845" i="2"/>
  <c r="AF844" i="2" s="1"/>
  <c r="AF843" i="2" s="1"/>
  <c r="AF842" i="2" s="1"/>
  <c r="AF841" i="2" s="1"/>
  <c r="AF829" i="2"/>
  <c r="AF828" i="2" s="1"/>
  <c r="AF826" i="2"/>
  <c r="AF825" i="2" s="1"/>
  <c r="AF823" i="2"/>
  <c r="AF822" i="2" s="1"/>
  <c r="AF818" i="2"/>
  <c r="AF817" i="2" s="1"/>
  <c r="AF812" i="2"/>
  <c r="AF811" i="2" s="1"/>
  <c r="AF810" i="2" s="1"/>
  <c r="AF809" i="2" s="1"/>
  <c r="AF805" i="2"/>
  <c r="AF804" i="2" s="1"/>
  <c r="AF803" i="2" s="1"/>
  <c r="AF802" i="2" s="1"/>
  <c r="AF801" i="2" s="1"/>
  <c r="AF800" i="2" s="1"/>
  <c r="AF792" i="2"/>
  <c r="AF790" i="2"/>
  <c r="AF789" i="2" s="1"/>
  <c r="AF787" i="2"/>
  <c r="AF786" i="2" s="1"/>
  <c r="AF767" i="2"/>
  <c r="AF766" i="2" s="1"/>
  <c r="AF765" i="2" s="1"/>
  <c r="AF764" i="2" s="1"/>
  <c r="AF763" i="2" s="1"/>
  <c r="AF761" i="2"/>
  <c r="AF760" i="2" s="1"/>
  <c r="AF759" i="2" s="1"/>
  <c r="AF751" i="2"/>
  <c r="AF750" i="2" s="1"/>
  <c r="AF757" i="2"/>
  <c r="AF756" i="2" s="1"/>
  <c r="AF747" i="2"/>
  <c r="AF746" i="2" s="1"/>
  <c r="AF745" i="2"/>
  <c r="J682" i="7" s="1"/>
  <c r="AF741" i="2"/>
  <c r="AF740" i="2" s="1"/>
  <c r="AF738" i="2"/>
  <c r="AF737" i="2" s="1"/>
  <c r="AF730" i="2"/>
  <c r="AF729" i="2" s="1"/>
  <c r="AF727" i="2"/>
  <c r="AF726" i="2" s="1"/>
  <c r="AF724" i="2"/>
  <c r="AF723" i="2" s="1"/>
  <c r="AF715" i="2"/>
  <c r="AF714" i="2" s="1"/>
  <c r="AF713" i="2" s="1"/>
  <c r="AF712" i="2" s="1"/>
  <c r="AF699" i="2"/>
  <c r="AF698" i="2" s="1"/>
  <c r="AF697" i="2" s="1"/>
  <c r="AF696" i="2" s="1"/>
  <c r="AF695" i="2" s="1"/>
  <c r="AF694" i="2" s="1"/>
  <c r="AF693" i="2" s="1"/>
  <c r="AF690" i="2"/>
  <c r="AF689" i="2" s="1"/>
  <c r="AF688" i="2" s="1"/>
  <c r="AF683" i="2"/>
  <c r="AF682" i="2" s="1"/>
  <c r="AF681" i="2" s="1"/>
  <c r="AF680" i="2" s="1"/>
  <c r="AF679" i="2" s="1"/>
  <c r="AF678" i="2" s="1"/>
  <c r="AF671" i="2"/>
  <c r="AF670" i="2" s="1"/>
  <c r="AF669" i="2" s="1"/>
  <c r="AF668" i="2" s="1"/>
  <c r="AF667" i="2" s="1"/>
  <c r="AF665" i="2"/>
  <c r="AF664" i="2"/>
  <c r="AF661" i="2"/>
  <c r="AF655" i="2"/>
  <c r="AF654" i="2" s="1"/>
  <c r="AF647" i="2"/>
  <c r="AF646" i="2" s="1"/>
  <c r="AF644" i="2"/>
  <c r="AF643" i="2" s="1"/>
  <c r="AF638" i="2"/>
  <c r="AF637" i="2" s="1"/>
  <c r="AF636" i="2" s="1"/>
  <c r="AF635" i="2" s="1"/>
  <c r="AF634" i="2" s="1"/>
  <c r="AF629" i="2"/>
  <c r="AF628" i="2" s="1"/>
  <c r="AF627" i="2" s="1"/>
  <c r="AF626" i="2" s="1"/>
  <c r="AF625" i="2" s="1"/>
  <c r="AF624" i="2" s="1"/>
  <c r="AF623" i="2" s="1"/>
  <c r="AF621" i="2"/>
  <c r="AF620" i="2" s="1"/>
  <c r="AF619" i="2" s="1"/>
  <c r="AF618" i="2" s="1"/>
  <c r="AF617" i="2" s="1"/>
  <c r="AF615" i="2"/>
  <c r="AF614" i="2"/>
  <c r="AF612" i="2"/>
  <c r="AF611" i="2"/>
  <c r="AF607" i="2"/>
  <c r="AF606" i="2" s="1"/>
  <c r="AF600" i="2"/>
  <c r="AF599" i="2" s="1"/>
  <c r="AF598" i="2" s="1"/>
  <c r="AF597" i="2" s="1"/>
  <c r="AF596" i="2" s="1"/>
  <c r="AF591" i="2"/>
  <c r="AF590" i="2" s="1"/>
  <c r="AF589" i="2" s="1"/>
  <c r="AF588" i="2" s="1"/>
  <c r="AF587" i="2" s="1"/>
  <c r="AF586" i="2" s="1"/>
  <c r="AF585" i="2" s="1"/>
  <c r="AF574" i="2"/>
  <c r="AF573" i="2" s="1"/>
  <c r="AF571" i="2"/>
  <c r="AF570" i="2" s="1"/>
  <c r="AF566" i="2"/>
  <c r="AF565" i="2" s="1"/>
  <c r="AF562" i="2"/>
  <c r="AF561" i="2"/>
  <c r="AF559" i="2"/>
  <c r="AF558" i="2" s="1"/>
  <c r="AF555" i="2"/>
  <c r="AF554" i="2" s="1"/>
  <c r="AF553" i="2" s="1"/>
  <c r="AF552" i="2" s="1"/>
  <c r="AF551" i="2" s="1"/>
  <c r="AF540" i="2"/>
  <c r="AF530" i="2"/>
  <c r="AF529" i="2" s="1"/>
  <c r="AF528" i="2" s="1"/>
  <c r="AF521" i="2"/>
  <c r="AF514" i="2"/>
  <c r="AF513" i="2" s="1"/>
  <c r="AF512" i="2" s="1"/>
  <c r="AF511" i="2" s="1"/>
  <c r="AF510" i="2" s="1"/>
  <c r="AF509" i="2" s="1"/>
  <c r="AF506" i="2"/>
  <c r="AF505" i="2" s="1"/>
  <c r="AF503" i="2"/>
  <c r="AF502" i="2" s="1"/>
  <c r="AF496" i="2"/>
  <c r="AF495" i="2" s="1"/>
  <c r="AF494" i="2" s="1"/>
  <c r="AF488" i="2"/>
  <c r="AF487" i="2" s="1"/>
  <c r="AF486" i="2" s="1"/>
  <c r="AF485" i="2" s="1"/>
  <c r="AF484" i="2" s="1"/>
  <c r="AF483" i="2" s="1"/>
  <c r="AF482" i="2" s="1"/>
  <c r="AF462" i="2"/>
  <c r="AF461" i="2" s="1"/>
  <c r="AF459" i="2"/>
  <c r="AF458" i="2" s="1"/>
  <c r="AF454" i="2"/>
  <c r="AF453" i="2" s="1"/>
  <c r="AF451" i="2"/>
  <c r="AF449" i="2"/>
  <c r="AF443" i="2"/>
  <c r="AF442" i="2" s="1"/>
  <c r="AF440" i="2"/>
  <c r="AF439" i="2" s="1"/>
  <c r="AF435" i="2"/>
  <c r="AF434" i="2" s="1"/>
  <c r="AF433" i="2" s="1"/>
  <c r="AF432" i="2" s="1"/>
  <c r="AF423" i="2"/>
  <c r="AF422" i="2" s="1"/>
  <c r="AF413" i="2"/>
  <c r="AF412" i="2" s="1"/>
  <c r="AF411" i="2" s="1"/>
  <c r="AF410" i="2" s="1"/>
  <c r="AF409" i="2" s="1"/>
  <c r="AF407" i="2"/>
  <c r="AF406" i="2" s="1"/>
  <c r="AF405" i="2" s="1"/>
  <c r="AF403" i="2"/>
  <c r="AF402" i="2" s="1"/>
  <c r="AF401" i="2" s="1"/>
  <c r="AF390" i="2"/>
  <c r="AF389" i="2" s="1"/>
  <c r="AF388" i="2" s="1"/>
  <c r="AF371" i="2"/>
  <c r="AF370" i="2" s="1"/>
  <c r="AF368" i="2"/>
  <c r="AF367" i="2" s="1"/>
  <c r="AF363" i="2"/>
  <c r="AF362" i="2" s="1"/>
  <c r="AF357" i="2"/>
  <c r="AF356" i="2" s="1"/>
  <c r="AF355" i="2" s="1"/>
  <c r="AF354" i="2" s="1"/>
  <c r="AF351" i="2"/>
  <c r="AF350" i="2" s="1"/>
  <c r="AF349" i="2" s="1"/>
  <c r="AF348" i="2" s="1"/>
  <c r="AF347" i="2" s="1"/>
  <c r="AF345" i="2"/>
  <c r="AF344" i="2" s="1"/>
  <c r="AF343" i="2" s="1"/>
  <c r="AF342" i="2" s="1"/>
  <c r="AF341" i="2" s="1"/>
  <c r="AF338" i="2"/>
  <c r="AF337" i="2" s="1"/>
  <c r="AF333" i="2" s="1"/>
  <c r="AF332" i="2" s="1"/>
  <c r="AF331" i="2" s="1"/>
  <c r="AF329" i="2"/>
  <c r="AF328" i="2" s="1"/>
  <c r="AF327" i="2" s="1"/>
  <c r="AF326" i="2" s="1"/>
  <c r="AF325" i="2" s="1"/>
  <c r="AF321" i="2"/>
  <c r="AF319" i="2"/>
  <c r="AF316" i="2"/>
  <c r="AF315" i="2" s="1"/>
  <c r="AF310" i="2"/>
  <c r="AF303" i="2"/>
  <c r="AF302" i="2" s="1"/>
  <c r="AF301" i="2" s="1"/>
  <c r="AF300" i="2" s="1"/>
  <c r="AF299"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6"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AF538" i="2" l="1"/>
  <c r="AF539" i="2"/>
  <c r="J641" i="7"/>
  <c r="F45" i="10"/>
  <c r="F44" i="10" s="1"/>
  <c r="F610" i="9"/>
  <c r="F460" i="9"/>
  <c r="F644" i="7"/>
  <c r="F643" i="7" s="1"/>
  <c r="F642" i="7" s="1"/>
  <c r="AF227" i="2"/>
  <c r="AF226" i="2" s="1"/>
  <c r="AF193" i="2"/>
  <c r="AF192" i="2" s="1"/>
  <c r="AF187" i="2" s="1"/>
  <c r="F248" i="9"/>
  <c r="F247" i="9" s="1"/>
  <c r="F246" i="9" s="1"/>
  <c r="AF222" i="2"/>
  <c r="AF221" i="2" s="1"/>
  <c r="F377" i="9"/>
  <c r="F376" i="9" s="1"/>
  <c r="J478" i="7"/>
  <c r="F41" i="10" s="1"/>
  <c r="AF318" i="2"/>
  <c r="AF314" i="2" s="1"/>
  <c r="AF313" i="2" s="1"/>
  <c r="AF312" i="2" s="1"/>
  <c r="AF653" i="2"/>
  <c r="AF652" i="2" s="1"/>
  <c r="AF199" i="2"/>
  <c r="AF198" i="2" s="1"/>
  <c r="F278" i="9"/>
  <c r="F271" i="9" s="1"/>
  <c r="F320" i="9"/>
  <c r="F319" i="9" s="1"/>
  <c r="F318" i="9" s="1"/>
  <c r="AF520" i="2"/>
  <c r="AF519" i="2" s="1"/>
  <c r="AF518" i="2" s="1"/>
  <c r="J180" i="7"/>
  <c r="J179" i="7" s="1"/>
  <c r="AF89" i="2"/>
  <c r="AF88" i="2" s="1"/>
  <c r="AF87" i="2" s="1"/>
  <c r="I916" i="7"/>
  <c r="I899" i="7" s="1"/>
  <c r="J779" i="7"/>
  <c r="F51" i="10" s="1"/>
  <c r="H838" i="7"/>
  <c r="AF1097" i="2"/>
  <c r="AF1096" i="2" s="1"/>
  <c r="AF1095" i="2" s="1"/>
  <c r="AF1094" i="2" s="1"/>
  <c r="F329" i="9"/>
  <c r="F328" i="9" s="1"/>
  <c r="J925" i="7"/>
  <c r="J916" i="7" s="1"/>
  <c r="F59" i="10" s="1"/>
  <c r="F216" i="9"/>
  <c r="F215" i="9" s="1"/>
  <c r="F758" i="9"/>
  <c r="AF749" i="2"/>
  <c r="K686" i="7"/>
  <c r="AF711" i="2"/>
  <c r="AF710" i="2" s="1"/>
  <c r="AF709" i="2" s="1"/>
  <c r="F593" i="9"/>
  <c r="K170" i="7"/>
  <c r="J840" i="7"/>
  <c r="J839" i="7" s="1"/>
  <c r="J436" i="7"/>
  <c r="J435" i="7" s="1"/>
  <c r="J434" i="7" s="1"/>
  <c r="J433" i="7" s="1"/>
  <c r="AF284" i="2"/>
  <c r="AF283" i="2" s="1"/>
  <c r="K436" i="7"/>
  <c r="K435" i="7" s="1"/>
  <c r="K434" i="7" s="1"/>
  <c r="K433" i="7" s="1"/>
  <c r="J224" i="7"/>
  <c r="J223" i="7" s="1"/>
  <c r="AF108" i="2"/>
  <c r="J218" i="7"/>
  <c r="AF103" i="2"/>
  <c r="F455" i="9"/>
  <c r="AF174" i="2"/>
  <c r="AF173" i="2" s="1"/>
  <c r="J80" i="7"/>
  <c r="J79" i="7" s="1"/>
  <c r="J78" i="7" s="1"/>
  <c r="J77" i="7" s="1"/>
  <c r="F419" i="9"/>
  <c r="F83" i="9"/>
  <c r="J287" i="7"/>
  <c r="J737" i="7"/>
  <c r="J736" i="7" s="1"/>
  <c r="J725" i="7" s="1"/>
  <c r="H908" i="7"/>
  <c r="H907" i="7" s="1"/>
  <c r="K716" i="7"/>
  <c r="K715" i="7" s="1"/>
  <c r="K714" i="7" s="1"/>
  <c r="J657" i="7"/>
  <c r="J656" i="7" s="1"/>
  <c r="J655" i="7" s="1"/>
  <c r="K657" i="7"/>
  <c r="K656" i="7" s="1"/>
  <c r="K655" i="7" s="1"/>
  <c r="H657" i="7"/>
  <c r="H656" i="7" s="1"/>
  <c r="H655" i="7" s="1"/>
  <c r="J908" i="7"/>
  <c r="J907" i="7" s="1"/>
  <c r="J939" i="7"/>
  <c r="F60" i="10" s="1"/>
  <c r="I15" i="7"/>
  <c r="J577" i="7"/>
  <c r="F42" i="10" s="1"/>
  <c r="I654" i="7"/>
  <c r="AF564" i="2"/>
  <c r="AF557" i="2" s="1"/>
  <c r="AF1043" i="2"/>
  <c r="AF1042" i="2" s="1"/>
  <c r="AF1041" i="2" s="1"/>
  <c r="AF1040" i="2" s="1"/>
  <c r="AF736" i="2"/>
  <c r="H177" i="7"/>
  <c r="H170" i="7" s="1"/>
  <c r="F111" i="9"/>
  <c r="J681" i="7"/>
  <c r="J680" i="7" s="1"/>
  <c r="J672" i="7" s="1"/>
  <c r="J671" i="7" s="1"/>
  <c r="J670" i="7" s="1"/>
  <c r="J669" i="7" s="1"/>
  <c r="AF309" i="2"/>
  <c r="AF308" i="2" s="1"/>
  <c r="AF307" i="2" s="1"/>
  <c r="AF306" i="2" s="1"/>
  <c r="AF305" i="2" s="1"/>
  <c r="AF298" i="2" s="1"/>
  <c r="J462" i="7"/>
  <c r="AF132" i="2"/>
  <c r="J248" i="7"/>
  <c r="AF32" i="2"/>
  <c r="AF31" i="2" s="1"/>
  <c r="AF30" i="2" s="1"/>
  <c r="J62" i="7"/>
  <c r="F73" i="9" s="1"/>
  <c r="AF744" i="2"/>
  <c r="AF743" i="2" s="1"/>
  <c r="AF1029" i="2"/>
  <c r="AF1028" i="2" s="1"/>
  <c r="AF1027" i="2" s="1"/>
  <c r="AF1026" i="2" s="1"/>
  <c r="AF1161" i="2"/>
  <c r="AF1160" i="2" s="1"/>
  <c r="F63" i="10"/>
  <c r="J377" i="7"/>
  <c r="J376" i="7" s="1"/>
  <c r="J375" i="7" s="1"/>
  <c r="J374" i="7" s="1"/>
  <c r="J373" i="7" s="1"/>
  <c r="J365" i="7" s="1"/>
  <c r="F34" i="10" s="1"/>
  <c r="F563" i="9"/>
  <c r="F562" i="9" s="1"/>
  <c r="F561" i="9" s="1"/>
  <c r="F560" i="9" s="1"/>
  <c r="F559" i="9" s="1"/>
  <c r="F558" i="9" s="1"/>
  <c r="AF142" i="2"/>
  <c r="J258" i="7"/>
  <c r="H916" i="7"/>
  <c r="AF833" i="2"/>
  <c r="AF832" i="2" s="1"/>
  <c r="AF831" i="2" s="1"/>
  <c r="J20" i="7"/>
  <c r="J19" i="7" s="1"/>
  <c r="J18" i="7" s="1"/>
  <c r="J17" i="7" s="1"/>
  <c r="J16" i="7" s="1"/>
  <c r="F18" i="10" s="1"/>
  <c r="I577" i="7"/>
  <c r="I449" i="7" s="1"/>
  <c r="AF205" i="2"/>
  <c r="AF204" i="2" s="1"/>
  <c r="AF203" i="2" s="1"/>
  <c r="F102" i="9"/>
  <c r="F721" i="9"/>
  <c r="F733" i="9"/>
  <c r="F433" i="9"/>
  <c r="AF421" i="2"/>
  <c r="AF420" i="2" s="1"/>
  <c r="AF419" i="2" s="1"/>
  <c r="AF874" i="2"/>
  <c r="AF873" i="2" s="1"/>
  <c r="AF872" i="2" s="1"/>
  <c r="AF871" i="2" s="1"/>
  <c r="AF870" i="2" s="1"/>
  <c r="AF862" i="2" s="1"/>
  <c r="AF157" i="2"/>
  <c r="AF361" i="2"/>
  <c r="AF360" i="2" s="1"/>
  <c r="AF359" i="2" s="1"/>
  <c r="AF353" i="2" s="1"/>
  <c r="AF527" i="2"/>
  <c r="AF526" i="2" s="1"/>
  <c r="AF642" i="2"/>
  <c r="AF1021" i="2"/>
  <c r="AF1020" i="2" s="1"/>
  <c r="AF1019" i="2" s="1"/>
  <c r="AF1018" i="2" s="1"/>
  <c r="AF722" i="2"/>
  <c r="AF721" i="2" s="1"/>
  <c r="AF1089" i="2"/>
  <c r="AF1087" i="2" s="1"/>
  <c r="AF1086" i="2" s="1"/>
  <c r="AF1131" i="2"/>
  <c r="AF1127" i="2" s="1"/>
  <c r="AF1114" i="2" s="1"/>
  <c r="AF1113" i="2" s="1"/>
  <c r="AF1112" i="2" s="1"/>
  <c r="AF501" i="2"/>
  <c r="AF500" i="2" s="1"/>
  <c r="AF499" i="2" s="1"/>
  <c r="F52" i="9"/>
  <c r="F51" i="9" s="1"/>
  <c r="AF438" i="2"/>
  <c r="AF437" i="2" s="1"/>
  <c r="AF785" i="2"/>
  <c r="AF784" i="2" s="1"/>
  <c r="AF783" i="2" s="1"/>
  <c r="AF782" i="2" s="1"/>
  <c r="AF781" i="2" s="1"/>
  <c r="AF252" i="2"/>
  <c r="AF251" i="2" s="1"/>
  <c r="AF250" i="2" s="1"/>
  <c r="AF249" i="2" s="1"/>
  <c r="AF241" i="2" s="1"/>
  <c r="AF400" i="2"/>
  <c r="AF399" i="2" s="1"/>
  <c r="AF398" i="2" s="1"/>
  <c r="AF457" i="2"/>
  <c r="AF456" i="2" s="1"/>
  <c r="AF605" i="2"/>
  <c r="AF604" i="2" s="1"/>
  <c r="AF603" i="2" s="1"/>
  <c r="AF602" i="2" s="1"/>
  <c r="AF595" i="2" s="1"/>
  <c r="AF594" i="2" s="1"/>
  <c r="AF593" i="2" s="1"/>
  <c r="AF1011" i="2"/>
  <c r="AF1010" i="2" s="1"/>
  <c r="AF991" i="2" s="1"/>
  <c r="AF941" i="2" s="1"/>
  <c r="AF448" i="2"/>
  <c r="AF447" i="2" s="1"/>
  <c r="AF446" i="2" s="1"/>
  <c r="AF899" i="2"/>
  <c r="AF898" i="2" s="1"/>
  <c r="AF897" i="2" s="1"/>
  <c r="J152" i="7"/>
  <c r="J151" i="7" s="1"/>
  <c r="F480" i="9"/>
  <c r="K806" i="7"/>
  <c r="K805" i="7" s="1"/>
  <c r="K804" i="7" s="1"/>
  <c r="K803" i="7" s="1"/>
  <c r="J42" i="7"/>
  <c r="K920" i="7"/>
  <c r="K919" i="7" s="1"/>
  <c r="K918" i="7" s="1"/>
  <c r="K917" i="7" s="1"/>
  <c r="F135" i="9"/>
  <c r="J363" i="7"/>
  <c r="J362" i="7" s="1"/>
  <c r="J361" i="7" s="1"/>
  <c r="J360" i="7" s="1"/>
  <c r="J359" i="7" s="1"/>
  <c r="J358" i="7" s="1"/>
  <c r="F33" i="10" s="1"/>
  <c r="J44" i="7"/>
  <c r="J37" i="7" s="1"/>
  <c r="F694" i="9"/>
  <c r="F693" i="9" s="1"/>
  <c r="F692" i="9" s="1"/>
  <c r="F746" i="9"/>
  <c r="F395" i="9"/>
  <c r="F394" i="9" s="1"/>
  <c r="K591" i="7"/>
  <c r="K590" i="7" s="1"/>
  <c r="K599" i="7"/>
  <c r="K598" i="7" s="1"/>
  <c r="K68" i="7"/>
  <c r="K67" i="7" s="1"/>
  <c r="K64" i="7" s="1"/>
  <c r="K63" i="7" s="1"/>
  <c r="K58" i="7" s="1"/>
  <c r="K57" i="7" s="1"/>
  <c r="K76" i="7"/>
  <c r="K75" i="7" s="1"/>
  <c r="K72" i="7" s="1"/>
  <c r="K71" i="7" s="1"/>
  <c r="K70" i="7" s="1"/>
  <c r="K69" i="7" s="1"/>
  <c r="K279" i="7"/>
  <c r="K278" i="7" s="1"/>
  <c r="K277" i="7" s="1"/>
  <c r="K276" i="7" s="1"/>
  <c r="K275" i="7" s="1"/>
  <c r="K274" i="7" s="1"/>
  <c r="K273" i="7" s="1"/>
  <c r="K272" i="7" s="1"/>
  <c r="J278" i="7"/>
  <c r="J277" i="7" s="1"/>
  <c r="J276" i="7" s="1"/>
  <c r="J275" i="7" s="1"/>
  <c r="J274" i="7" s="1"/>
  <c r="J273" i="7" s="1"/>
  <c r="K685" i="7"/>
  <c r="K684" i="7" s="1"/>
  <c r="K683" i="7" s="1"/>
  <c r="K672" i="7" s="1"/>
  <c r="F295" i="9"/>
  <c r="F288" i="9" s="1"/>
  <c r="F707" i="9"/>
  <c r="F706" i="9" s="1"/>
  <c r="J65" i="7"/>
  <c r="J64" i="7" s="1"/>
  <c r="J63" i="7" s="1"/>
  <c r="J73" i="7"/>
  <c r="J72" i="7" s="1"/>
  <c r="J71" i="7" s="1"/>
  <c r="J70" i="7" s="1"/>
  <c r="J69" i="7" s="1"/>
  <c r="J132" i="7"/>
  <c r="J128" i="7" s="1"/>
  <c r="K589" i="7"/>
  <c r="K597" i="7"/>
  <c r="K596" i="7" s="1"/>
  <c r="K785" i="7"/>
  <c r="K784" i="7" s="1"/>
  <c r="K783" i="7" s="1"/>
  <c r="K782" i="7" s="1"/>
  <c r="K781" i="7" s="1"/>
  <c r="K780" i="7" s="1"/>
  <c r="F143" i="9"/>
  <c r="F153" i="9"/>
  <c r="F152" i="9" s="1"/>
  <c r="F151" i="9" s="1"/>
  <c r="F186" i="9"/>
  <c r="F185" i="9" s="1"/>
  <c r="F307" i="9"/>
  <c r="F306" i="9" s="1"/>
  <c r="F539" i="9"/>
  <c r="F538" i="9" s="1"/>
  <c r="F537" i="9" s="1"/>
  <c r="J195" i="7"/>
  <c r="J194" i="7" s="1"/>
  <c r="K611" i="7"/>
  <c r="K610" i="7" s="1"/>
  <c r="K609" i="7" s="1"/>
  <c r="K608" i="7" s="1"/>
  <c r="K607" i="7" s="1"/>
  <c r="K606" i="7" s="1"/>
  <c r="K911" i="7"/>
  <c r="K910" i="7" s="1"/>
  <c r="J163" i="7"/>
  <c r="J162" i="7" s="1"/>
  <c r="F23" i="10" s="1"/>
  <c r="J386" i="7"/>
  <c r="J385" i="7" s="1"/>
  <c r="J384" i="7" s="1"/>
  <c r="J383" i="7" s="1"/>
  <c r="J116" i="7"/>
  <c r="J110" i="7" s="1"/>
  <c r="J109" i="7" s="1"/>
  <c r="J108" i="7" s="1"/>
  <c r="J107" i="7" s="1"/>
  <c r="K935" i="7"/>
  <c r="K934" i="7"/>
  <c r="K925" i="7" s="1"/>
  <c r="F43" i="9"/>
  <c r="F42" i="9" s="1"/>
  <c r="F41" i="9" s="1"/>
  <c r="F231" i="9"/>
  <c r="F230" i="9" s="1"/>
  <c r="F229" i="9" s="1"/>
  <c r="F631" i="9"/>
  <c r="F630" i="9" s="1"/>
  <c r="F629" i="9" s="1"/>
  <c r="F672" i="9"/>
  <c r="F671" i="9" s="1"/>
  <c r="F33" i="9"/>
  <c r="F32" i="9" s="1"/>
  <c r="F207" i="9"/>
  <c r="F206" i="9" s="1"/>
  <c r="F568" i="9"/>
  <c r="F567" i="9" s="1"/>
  <c r="AF492" i="2"/>
  <c r="AF491" i="2" s="1"/>
  <c r="AF493" i="2"/>
  <c r="AF816" i="2"/>
  <c r="AF815" i="2" s="1"/>
  <c r="AF814" i="2" s="1"/>
  <c r="AF808" i="2" s="1"/>
  <c r="AF687" i="2"/>
  <c r="AF686" i="2" s="1"/>
  <c r="AF685" i="2" s="1"/>
  <c r="AF677" i="2" s="1"/>
  <c r="AF1071" i="2"/>
  <c r="AF1070" i="2" s="1"/>
  <c r="AF1069" i="2" s="1"/>
  <c r="AF1068" i="2" s="1"/>
  <c r="AF387" i="2"/>
  <c r="AF72" i="2"/>
  <c r="AF71" i="2" s="1"/>
  <c r="AF51" i="2"/>
  <c r="AF50" i="2" s="1"/>
  <c r="AF49" i="2" s="1"/>
  <c r="AF48" i="2" s="1"/>
  <c r="AF43" i="2"/>
  <c r="AF42" i="2" s="1"/>
  <c r="AF41" i="2" s="1"/>
  <c r="AF40" i="2" s="1"/>
  <c r="AF35" i="2"/>
  <c r="AF34" i="2" s="1"/>
  <c r="F641" i="7" l="1"/>
  <c r="D45" i="10"/>
  <c r="D44" i="10" s="1"/>
  <c r="AF220" i="2"/>
  <c r="AF219" i="2" s="1"/>
  <c r="AF218" i="2" s="1"/>
  <c r="AF544" i="2"/>
  <c r="AF543" i="2" s="1"/>
  <c r="AF542" i="2" s="1"/>
  <c r="J23" i="7"/>
  <c r="F19" i="10" s="1"/>
  <c r="AF896" i="2"/>
  <c r="AF888" i="2" s="1"/>
  <c r="F454" i="9"/>
  <c r="F415" i="9" s="1"/>
  <c r="F414" i="9" s="1"/>
  <c r="J217" i="7"/>
  <c r="J210" i="7" s="1"/>
  <c r="J209" i="7" s="1"/>
  <c r="AF102" i="2"/>
  <c r="AF98" i="2" s="1"/>
  <c r="AF97" i="2" s="1"/>
  <c r="AF86" i="2" s="1"/>
  <c r="K909" i="7"/>
  <c r="K908" i="7" s="1"/>
  <c r="K907" i="7" s="1"/>
  <c r="K779" i="7"/>
  <c r="J838" i="7"/>
  <c r="AF807" i="2"/>
  <c r="AF282" i="2"/>
  <c r="AF281" i="2" s="1"/>
  <c r="AF267" i="2"/>
  <c r="AF266" i="2" s="1"/>
  <c r="AF1153" i="2"/>
  <c r="AF1152" i="2" s="1"/>
  <c r="AF1151" i="2" s="1"/>
  <c r="J144" i="7"/>
  <c r="F22" i="10" s="1"/>
  <c r="E47" i="10"/>
  <c r="F47" i="10"/>
  <c r="AF418" i="2"/>
  <c r="AF417" i="2"/>
  <c r="F37" i="10"/>
  <c r="K56" i="7"/>
  <c r="K15" i="7" s="1"/>
  <c r="AF186" i="2"/>
  <c r="AF185" i="2" s="1"/>
  <c r="F245" i="9"/>
  <c r="F244" i="9" s="1"/>
  <c r="J61" i="7"/>
  <c r="J60" i="7" s="1"/>
  <c r="J59" i="7" s="1"/>
  <c r="J58" i="7" s="1"/>
  <c r="J57" i="7" s="1"/>
  <c r="J56" i="7" s="1"/>
  <c r="F72" i="9"/>
  <c r="F71" i="9" s="1"/>
  <c r="F70" i="9" s="1"/>
  <c r="AF386" i="2"/>
  <c r="AF385" i="2" s="1"/>
  <c r="AF374" i="2" s="1"/>
  <c r="H899" i="7"/>
  <c r="F49" i="10"/>
  <c r="AF1085" i="2"/>
  <c r="AF1077" i="2" s="1"/>
  <c r="F134" i="9"/>
  <c r="F58" i="10"/>
  <c r="AF720" i="2"/>
  <c r="AF719" i="2" s="1"/>
  <c r="AF718" i="2" s="1"/>
  <c r="F35" i="10"/>
  <c r="J415" i="7"/>
  <c r="J414" i="7" s="1"/>
  <c r="F583" i="9"/>
  <c r="K415" i="7"/>
  <c r="K414" i="7" s="1"/>
  <c r="K357" i="7" s="1"/>
  <c r="K671" i="7"/>
  <c r="K670" i="7" s="1"/>
  <c r="K669" i="7" s="1"/>
  <c r="I987" i="7"/>
  <c r="AF735" i="2"/>
  <c r="AF734" i="2" s="1"/>
  <c r="AF733" i="2" s="1"/>
  <c r="AF732" i="2" s="1"/>
  <c r="J178" i="7"/>
  <c r="F48" i="10"/>
  <c r="J272" i="7"/>
  <c r="F26" i="10"/>
  <c r="AF131" i="2"/>
  <c r="J247" i="7"/>
  <c r="AF29" i="2"/>
  <c r="AF28" i="2" s="1"/>
  <c r="AF27" i="2" s="1"/>
  <c r="AF340" i="2"/>
  <c r="F687" i="9"/>
  <c r="F686" i="9" s="1"/>
  <c r="F685" i="9" s="1"/>
  <c r="F684" i="9" s="1"/>
  <c r="F683" i="9" s="1"/>
  <c r="F643" i="9" s="1"/>
  <c r="J461" i="7"/>
  <c r="J460" i="7" s="1"/>
  <c r="J459" i="7" s="1"/>
  <c r="J458" i="7" s="1"/>
  <c r="J457" i="7" s="1"/>
  <c r="J450" i="7" s="1"/>
  <c r="J449" i="7" s="1"/>
  <c r="AF498" i="2"/>
  <c r="AF490" i="2" s="1"/>
  <c r="AF141" i="2"/>
  <c r="J257" i="7"/>
  <c r="J256" i="7" s="1"/>
  <c r="J255" i="7" s="1"/>
  <c r="J254" i="7" s="1"/>
  <c r="AF516" i="2"/>
  <c r="AF508" i="2" s="1"/>
  <c r="AF1017" i="2"/>
  <c r="AF922" i="2" s="1"/>
  <c r="AF641" i="2"/>
  <c r="AF640" i="2" s="1"/>
  <c r="AF633" i="2" s="1"/>
  <c r="F40" i="9"/>
  <c r="F557" i="9"/>
  <c r="K595" i="7"/>
  <c r="K594" i="7" s="1"/>
  <c r="K593" i="7" s="1"/>
  <c r="K592" i="7" s="1"/>
  <c r="AF517" i="2"/>
  <c r="AF1088" i="2"/>
  <c r="K916" i="7"/>
  <c r="AF445" i="2"/>
  <c r="AF431" i="2" s="1"/>
  <c r="AF430" i="2" s="1"/>
  <c r="F214" i="9"/>
  <c r="F714" i="9"/>
  <c r="F375" i="9"/>
  <c r="J100" i="7"/>
  <c r="F21" i="10" s="1"/>
  <c r="K588" i="7"/>
  <c r="K587" i="7" s="1"/>
  <c r="K586" i="7" s="1"/>
  <c r="K585" i="7" s="1"/>
  <c r="K584" i="7" s="1"/>
  <c r="AF311" i="2"/>
  <c r="AF879" i="2" l="1"/>
  <c r="AF297" i="2"/>
  <c r="AF240" i="2"/>
  <c r="F39" i="10"/>
  <c r="AF632" i="2"/>
  <c r="AF631" i="2" s="1"/>
  <c r="AF172" i="2"/>
  <c r="AF373" i="2"/>
  <c r="J654" i="7"/>
  <c r="J899" i="7"/>
  <c r="F53" i="10"/>
  <c r="F52" i="10" s="1"/>
  <c r="AF429" i="2"/>
  <c r="AF717" i="2"/>
  <c r="AF692" i="2" s="1"/>
  <c r="AF140" i="2"/>
  <c r="AF139" i="2" s="1"/>
  <c r="J177" i="7"/>
  <c r="J246" i="7"/>
  <c r="AF130" i="2"/>
  <c r="F20" i="10"/>
  <c r="F29" i="10"/>
  <c r="F28" i="10" s="1"/>
  <c r="J357" i="7"/>
  <c r="F36" i="10"/>
  <c r="K577" i="7"/>
  <c r="K449" i="7" s="1"/>
  <c r="F374" i="9"/>
  <c r="K899" i="7"/>
  <c r="K654" i="7"/>
  <c r="AF124" i="2" l="1"/>
  <c r="AF79" i="2" s="1"/>
  <c r="J245" i="7"/>
  <c r="J239" i="7" s="1"/>
  <c r="J170" i="7" s="1"/>
  <c r="K987" i="7"/>
  <c r="J15" i="7" l="1"/>
  <c r="J987" i="7" s="1"/>
  <c r="AF19" i="2"/>
  <c r="F24" i="10"/>
  <c r="AF18" i="2" l="1"/>
  <c r="AF1179" i="2" s="1"/>
  <c r="AE621" i="2"/>
  <c r="AE620" i="2" s="1"/>
  <c r="AE619" i="2" s="1"/>
  <c r="AE618" i="2" s="1"/>
  <c r="AE617" i="2" s="1"/>
  <c r="AD621" i="2"/>
  <c r="AD620" i="2" s="1"/>
  <c r="AD619" i="2" s="1"/>
  <c r="AD618" i="2" s="1"/>
  <c r="AD617" i="2" s="1"/>
  <c r="E150" i="9" l="1"/>
  <c r="E149" i="9" s="1"/>
  <c r="E148" i="9"/>
  <c r="E147" i="9"/>
  <c r="F753" i="7"/>
  <c r="F751" i="7"/>
  <c r="D148" i="9" s="1"/>
  <c r="F750" i="7"/>
  <c r="F126" i="7"/>
  <c r="D150" i="9" l="1"/>
  <c r="D149" i="9" s="1"/>
  <c r="F752" i="7"/>
  <c r="D147" i="9"/>
  <c r="F748" i="7"/>
  <c r="G682" i="7"/>
  <c r="G681" i="7" s="1"/>
  <c r="G680" i="7" s="1"/>
  <c r="AE745" i="2"/>
  <c r="AD745" i="2"/>
  <c r="F682" i="7" s="1"/>
  <c r="F681" i="7" s="1"/>
  <c r="F680" i="7" s="1"/>
  <c r="F747" i="7" l="1"/>
  <c r="AE744" i="2"/>
  <c r="AE743" i="2" s="1"/>
  <c r="H682" i="7"/>
  <c r="H681" i="7" s="1"/>
  <c r="H680" i="7" s="1"/>
  <c r="H672" i="7" s="1"/>
  <c r="H671" i="7" s="1"/>
  <c r="H670" i="7" s="1"/>
  <c r="H669" i="7" s="1"/>
  <c r="F110" i="9"/>
  <c r="F109" i="9" s="1"/>
  <c r="D111" i="9"/>
  <c r="AD744" i="2"/>
  <c r="AD743" i="2" s="1"/>
  <c r="E48" i="10" l="1"/>
  <c r="H654" i="7"/>
  <c r="E111" i="9"/>
  <c r="D234" i="9" l="1"/>
  <c r="D233" i="9" s="1"/>
  <c r="D232" i="9" s="1"/>
  <c r="E234" i="9"/>
  <c r="E233" i="9" s="1"/>
  <c r="E232" i="9" s="1"/>
  <c r="A233" i="9"/>
  <c r="A234" i="9"/>
  <c r="A232" i="9"/>
  <c r="AD530" i="2"/>
  <c r="AD529" i="2" s="1"/>
  <c r="AD528" i="2" s="1"/>
  <c r="AE530" i="2"/>
  <c r="AE529" i="2" s="1"/>
  <c r="AE528" i="2" s="1"/>
  <c r="D237" i="9"/>
  <c r="D236" i="9" s="1"/>
  <c r="D235" i="9" s="1"/>
  <c r="F975" i="7"/>
  <c r="F974" i="7" s="1"/>
  <c r="F973" i="7" s="1"/>
  <c r="A974" i="7"/>
  <c r="A975" i="7"/>
  <c r="A977" i="7"/>
  <c r="A978" i="7"/>
  <c r="A973" i="7"/>
  <c r="D58" i="9"/>
  <c r="D57" i="9" s="1"/>
  <c r="D56" i="9" s="1"/>
  <c r="E58" i="9"/>
  <c r="E57" i="9" s="1"/>
  <c r="E56" i="9" s="1"/>
  <c r="D55" i="9"/>
  <c r="D54" i="9" s="1"/>
  <c r="D53" i="9" s="1"/>
  <c r="E55" i="9"/>
  <c r="E54" i="9" s="1"/>
  <c r="E53" i="9" s="1"/>
  <c r="B54" i="9"/>
  <c r="B55" i="9"/>
  <c r="B56" i="9"/>
  <c r="B57" i="9"/>
  <c r="B58" i="9"/>
  <c r="B53" i="9"/>
  <c r="F871" i="7"/>
  <c r="F870" i="7" s="1"/>
  <c r="F868" i="7"/>
  <c r="F867" i="7" s="1"/>
  <c r="E869" i="7"/>
  <c r="E871" i="7"/>
  <c r="E872" i="7"/>
  <c r="E868" i="7"/>
  <c r="B868" i="7"/>
  <c r="C868" i="7"/>
  <c r="D868" i="7"/>
  <c r="B869" i="7"/>
  <c r="C869" i="7"/>
  <c r="D869" i="7"/>
  <c r="B870" i="7"/>
  <c r="C870" i="7"/>
  <c r="D870" i="7"/>
  <c r="B871" i="7"/>
  <c r="C871" i="7"/>
  <c r="D871" i="7"/>
  <c r="B872" i="7"/>
  <c r="C872" i="7"/>
  <c r="D872" i="7"/>
  <c r="C867" i="7"/>
  <c r="D867" i="7"/>
  <c r="B867" i="7"/>
  <c r="A868" i="7"/>
  <c r="A54" i="9" s="1"/>
  <c r="A869" i="7"/>
  <c r="A55" i="9" s="1"/>
  <c r="A870" i="7"/>
  <c r="A56" i="9" s="1"/>
  <c r="A871" i="7"/>
  <c r="A57" i="9" s="1"/>
  <c r="A872" i="7"/>
  <c r="A58" i="9" s="1"/>
  <c r="A867" i="7"/>
  <c r="A53" i="9" s="1"/>
  <c r="AD459" i="2"/>
  <c r="AD458" i="2" s="1"/>
  <c r="AE459" i="2"/>
  <c r="AE458" i="2" s="1"/>
  <c r="AD462" i="2"/>
  <c r="AD461" i="2" s="1"/>
  <c r="AE462" i="2"/>
  <c r="AE461" i="2" s="1"/>
  <c r="F866" i="7" l="1"/>
  <c r="E237" i="9"/>
  <c r="E236" i="9" s="1"/>
  <c r="E235" i="9" s="1"/>
  <c r="E231" i="9" s="1"/>
  <c r="E52" i="9"/>
  <c r="F977" i="7"/>
  <c r="F976" i="7" s="1"/>
  <c r="F972" i="7" s="1"/>
  <c r="D231" i="9"/>
  <c r="D52" i="9"/>
  <c r="AD457" i="2"/>
  <c r="AE457" i="2"/>
  <c r="D125" i="9" l="1"/>
  <c r="D124" i="9" s="1"/>
  <c r="E125" i="9"/>
  <c r="E124" i="9" s="1"/>
  <c r="E110" i="9" l="1"/>
  <c r="E109" i="9" s="1"/>
  <c r="D110" i="9"/>
  <c r="D109" i="9" s="1"/>
  <c r="G441" i="7" l="1"/>
  <c r="G440" i="7" s="1"/>
  <c r="E287" i="9"/>
  <c r="E286" i="9" s="1"/>
  <c r="E285" i="9" s="1"/>
  <c r="F442" i="7"/>
  <c r="D287" i="9" s="1"/>
  <c r="D286" i="9" s="1"/>
  <c r="D285" i="9" s="1"/>
  <c r="AE289" i="2"/>
  <c r="AE288" i="2" s="1"/>
  <c r="AD289" i="2"/>
  <c r="AD288" i="2" s="1"/>
  <c r="G436" i="7" l="1"/>
  <c r="G435" i="7" s="1"/>
  <c r="F441" i="7"/>
  <c r="F440" i="7" s="1"/>
  <c r="F389" i="7" l="1"/>
  <c r="D571" i="9" s="1"/>
  <c r="D570" i="9" s="1"/>
  <c r="D569" i="9" s="1"/>
  <c r="AD901" i="2"/>
  <c r="AD900" i="2" s="1"/>
  <c r="AE901" i="2"/>
  <c r="AE900" i="2" s="1"/>
  <c r="E571" i="9" l="1"/>
  <c r="E570" i="9" s="1"/>
  <c r="E569" i="9" s="1"/>
  <c r="F388" i="7"/>
  <c r="F387" i="7" s="1"/>
  <c r="F583" i="7" l="1"/>
  <c r="F176" i="7"/>
  <c r="F175" i="7" s="1"/>
  <c r="F174" i="7" s="1"/>
  <c r="F173" i="7" s="1"/>
  <c r="F172" i="7" s="1"/>
  <c r="F171" i="7" s="1"/>
  <c r="AE33" i="2"/>
  <c r="AE1119" i="2"/>
  <c r="AE1118" i="2" s="1"/>
  <c r="AE1117" i="2" s="1"/>
  <c r="AE1116" i="2" s="1"/>
  <c r="AE1115" i="2" s="1"/>
  <c r="AD1119" i="2"/>
  <c r="AD1118" i="2" s="1"/>
  <c r="AD1117" i="2" s="1"/>
  <c r="AD1116" i="2" s="1"/>
  <c r="AD1115" i="2" s="1"/>
  <c r="AE600" i="2"/>
  <c r="AD600" i="2"/>
  <c r="AD599" i="2" s="1"/>
  <c r="AD598" i="2" s="1"/>
  <c r="AD597" i="2" s="1"/>
  <c r="AD596" i="2" s="1"/>
  <c r="AE638" i="2"/>
  <c r="AE637" i="2" s="1"/>
  <c r="AE636" i="2" s="1"/>
  <c r="AE635" i="2" s="1"/>
  <c r="AE634" i="2" s="1"/>
  <c r="AD638" i="2"/>
  <c r="AD637" i="2" s="1"/>
  <c r="AD636" i="2" s="1"/>
  <c r="AD635" i="2" s="1"/>
  <c r="AD634" i="2" s="1"/>
  <c r="AE345" i="2"/>
  <c r="AE344" i="2" s="1"/>
  <c r="AE343" i="2" s="1"/>
  <c r="AE342" i="2" s="1"/>
  <c r="AE341" i="2" s="1"/>
  <c r="AD345" i="2"/>
  <c r="AD344" i="2" s="1"/>
  <c r="AD343" i="2" s="1"/>
  <c r="AD342" i="2" s="1"/>
  <c r="AD341" i="2" s="1"/>
  <c r="AE84" i="2"/>
  <c r="AE83" i="2" s="1"/>
  <c r="AE82" i="2" s="1"/>
  <c r="AE81" i="2" s="1"/>
  <c r="AE80" i="2" s="1"/>
  <c r="AD84" i="2"/>
  <c r="AD83" i="2" s="1"/>
  <c r="AD82" i="2" s="1"/>
  <c r="AD81" i="2" s="1"/>
  <c r="AD80" i="2" s="1"/>
  <c r="H62" i="7" l="1"/>
  <c r="AE599" i="2"/>
  <c r="AE598" i="2" s="1"/>
  <c r="AE597" i="2" s="1"/>
  <c r="AE596" i="2" s="1"/>
  <c r="H106" i="7"/>
  <c r="H105" i="7" s="1"/>
  <c r="H104" i="7" s="1"/>
  <c r="H103" i="7" s="1"/>
  <c r="H102" i="7" s="1"/>
  <c r="H101" i="7" s="1"/>
  <c r="H100" i="7" s="1"/>
  <c r="F582" i="7"/>
  <c r="F581" i="7" s="1"/>
  <c r="F580" i="7" s="1"/>
  <c r="F579" i="7" s="1"/>
  <c r="F578" i="7" s="1"/>
  <c r="F106" i="7"/>
  <c r="F105" i="7" s="1"/>
  <c r="F104" i="7" s="1"/>
  <c r="F103" i="7" s="1"/>
  <c r="F102" i="7" s="1"/>
  <c r="F101" i="7" s="1"/>
  <c r="E384" i="9"/>
  <c r="E383" i="9" s="1"/>
  <c r="F187" i="7"/>
  <c r="D384" i="9" s="1"/>
  <c r="D383" i="9" s="1"/>
  <c r="AE95" i="2"/>
  <c r="AD95" i="2"/>
  <c r="H61" i="7" l="1"/>
  <c r="H60" i="7" s="1"/>
  <c r="H59" i="7" s="1"/>
  <c r="H58" i="7" s="1"/>
  <c r="H57" i="7" s="1"/>
  <c r="H56" i="7" s="1"/>
  <c r="E73" i="9"/>
  <c r="AD89" i="2"/>
  <c r="AD88" i="2" s="1"/>
  <c r="AD87" i="2" s="1"/>
  <c r="AE89" i="2"/>
  <c r="AE88" i="2" s="1"/>
  <c r="AE87" i="2" s="1"/>
  <c r="F186" i="7"/>
  <c r="E230" i="9" l="1"/>
  <c r="E229" i="9" s="1"/>
  <c r="F971" i="7"/>
  <c r="F970" i="7" s="1"/>
  <c r="AE527" i="2" l="1"/>
  <c r="AE526" i="2" s="1"/>
  <c r="AD527" i="2"/>
  <c r="AD526" i="2" s="1"/>
  <c r="D230" i="9"/>
  <c r="D229" i="9" s="1"/>
  <c r="F169" i="7" l="1"/>
  <c r="E45" i="9"/>
  <c r="E44" i="9" s="1"/>
  <c r="D45" i="9"/>
  <c r="D44" i="9" s="1"/>
  <c r="AD449" i="2"/>
  <c r="AE449" i="2"/>
  <c r="F199" i="9"/>
  <c r="F196" i="9" s="1"/>
  <c r="F195" i="9" l="1"/>
  <c r="F194" i="9" s="1"/>
  <c r="F193" i="9" s="1"/>
  <c r="F858" i="7"/>
  <c r="F857" i="7" s="1"/>
  <c r="F720" i="7" l="1"/>
  <c r="E543" i="9" l="1"/>
  <c r="E542" i="9" s="1"/>
  <c r="D543" i="9"/>
  <c r="D542" i="9" s="1"/>
  <c r="F777" i="7" l="1"/>
  <c r="AD650" i="2" l="1"/>
  <c r="AE647" i="2" l="1"/>
  <c r="AE646" i="2" s="1"/>
  <c r="E612" i="9"/>
  <c r="E611" i="9" s="1"/>
  <c r="D615" i="9"/>
  <c r="D614" i="9" s="1"/>
  <c r="AD648" i="2" l="1"/>
  <c r="AD647" i="2" s="1"/>
  <c r="AD646" i="2" s="1"/>
  <c r="F191" i="7"/>
  <c r="E739" i="9"/>
  <c r="G191" i="7" l="1"/>
  <c r="G190" i="7" s="1"/>
  <c r="G189" i="7" s="1"/>
  <c r="G188" i="7" s="1"/>
  <c r="G178" i="7" s="1"/>
  <c r="G177" i="7" s="1"/>
  <c r="F190" i="7"/>
  <c r="E65" i="10"/>
  <c r="E64" i="10" s="1"/>
  <c r="E228" i="9"/>
  <c r="E227" i="9" s="1"/>
  <c r="E99" i="9"/>
  <c r="F706" i="7"/>
  <c r="D189" i="9" s="1"/>
  <c r="E123" i="9"/>
  <c r="E367" i="9"/>
  <c r="E365" i="9"/>
  <c r="E180" i="9"/>
  <c r="E178" i="9"/>
  <c r="E541" i="9" l="1"/>
  <c r="E36" i="9"/>
  <c r="E335" i="9"/>
  <c r="E697" i="9"/>
  <c r="E712" i="9"/>
  <c r="E167" i="9"/>
  <c r="E210" i="9"/>
  <c r="E222" i="9"/>
  <c r="E387" i="9"/>
  <c r="E280" i="9"/>
  <c r="E634" i="9"/>
  <c r="E702" i="9"/>
  <c r="E89" i="9"/>
  <c r="E156" i="9"/>
  <c r="E47" i="9"/>
  <c r="E213" i="9"/>
  <c r="E413" i="9"/>
  <c r="E488" i="9"/>
  <c r="E682" i="9"/>
  <c r="E642" i="9"/>
  <c r="E108" i="9"/>
  <c r="E146" i="9"/>
  <c r="E145" i="9" s="1"/>
  <c r="E144" i="9" s="1"/>
  <c r="E164" i="9"/>
  <c r="E566" i="9"/>
  <c r="E189" i="9"/>
  <c r="E39" i="9"/>
  <c r="E478" i="9"/>
  <c r="E274" i="9"/>
  <c r="E691" i="9"/>
  <c r="E282" i="9"/>
  <c r="E639" i="9"/>
  <c r="E705" i="9"/>
  <c r="E105" i="9"/>
  <c r="E142" i="9"/>
  <c r="E270" i="9"/>
  <c r="E161" i="9"/>
  <c r="E50" i="9"/>
  <c r="E133" i="9"/>
  <c r="E393" i="9"/>
  <c r="E405" i="9" l="1"/>
  <c r="E447" i="9"/>
  <c r="E742" i="9"/>
  <c r="E398" i="9"/>
  <c r="E757" i="9"/>
  <c r="E450" i="9"/>
  <c r="E749" i="9"/>
  <c r="E736" i="9"/>
  <c r="E457" i="9"/>
  <c r="E754" i="9"/>
  <c r="E408" i="9"/>
  <c r="E563" i="9"/>
  <c r="E745" i="9"/>
  <c r="E744" i="9" s="1"/>
  <c r="E743" i="9" s="1"/>
  <c r="E761" i="9"/>
  <c r="E453" i="9"/>
  <c r="E444" i="9"/>
  <c r="E436" i="9"/>
  <c r="E429" i="9"/>
  <c r="D188" i="9"/>
  <c r="E95" i="9"/>
  <c r="E418" i="9"/>
  <c r="F166" i="7"/>
  <c r="D761" i="9" s="1"/>
  <c r="D760" i="9" s="1"/>
  <c r="D759" i="9" s="1"/>
  <c r="E114" i="9"/>
  <c r="G877" i="7"/>
  <c r="G876" i="7" s="1"/>
  <c r="G875" i="7" s="1"/>
  <c r="G874" i="7" s="1"/>
  <c r="G873" i="7" s="1"/>
  <c r="G839" i="7" s="1"/>
  <c r="F249" i="7"/>
  <c r="D552" i="9" s="1"/>
  <c r="E92" i="9"/>
  <c r="E173" i="9"/>
  <c r="E175" i="9"/>
  <c r="F915" i="7"/>
  <c r="F990" i="7" s="1"/>
  <c r="F279" i="7"/>
  <c r="D548" i="9" s="1"/>
  <c r="E340" i="9"/>
  <c r="F938" i="7"/>
  <c r="D340" i="9" s="1"/>
  <c r="E77" i="9"/>
  <c r="F66" i="7"/>
  <c r="D77" i="9" s="1"/>
  <c r="F68" i="7"/>
  <c r="E720" i="9"/>
  <c r="E717" i="9"/>
  <c r="E120" i="9"/>
  <c r="E118" i="9"/>
  <c r="E79" i="9"/>
  <c r="E391" i="9"/>
  <c r="E552" i="9"/>
  <c r="E556" i="9"/>
  <c r="E548" i="9"/>
  <c r="E243" i="9"/>
  <c r="F62" i="7"/>
  <c r="D73" i="9" s="1"/>
  <c r="D175" i="9" l="1"/>
  <c r="D79" i="9"/>
  <c r="G68" i="7"/>
  <c r="E97" i="9"/>
  <c r="E588" i="9"/>
  <c r="D339" i="9"/>
  <c r="E574" i="9"/>
  <c r="E732" i="9"/>
  <c r="E432" i="9"/>
  <c r="E464" i="9"/>
  <c r="D187" i="9"/>
  <c r="E462" i="9"/>
  <c r="E724" i="9"/>
  <c r="E424" i="9"/>
  <c r="E441" i="9"/>
  <c r="E459" i="9"/>
  <c r="E729" i="9"/>
  <c r="E25" i="9"/>
  <c r="E628" i="9"/>
  <c r="F392" i="7"/>
  <c r="E764" i="9"/>
  <c r="F462" i="7"/>
  <c r="F395" i="7"/>
  <c r="F878" i="7"/>
  <c r="D192" i="9" s="1"/>
  <c r="G838" i="7"/>
  <c r="AE310" i="2"/>
  <c r="H462" i="7" s="1"/>
  <c r="H461" i="7" s="1"/>
  <c r="H460" i="7" s="1"/>
  <c r="H459" i="7" s="1"/>
  <c r="H458" i="7" s="1"/>
  <c r="H457" i="7" s="1"/>
  <c r="H450" i="7" s="1"/>
  <c r="H449" i="7" s="1"/>
  <c r="E191" i="9"/>
  <c r="E190" i="9" s="1"/>
  <c r="AD468" i="2"/>
  <c r="E188" i="9"/>
  <c r="E187" i="9" s="1"/>
  <c r="F366" i="9"/>
  <c r="F177" i="9"/>
  <c r="G66" i="7"/>
  <c r="G65" i="7" s="1"/>
  <c r="E78" i="9"/>
  <c r="D118" i="9"/>
  <c r="D120" i="9"/>
  <c r="D441" i="9"/>
  <c r="D757" i="9"/>
  <c r="D739" i="9"/>
  <c r="D391" i="9"/>
  <c r="D393" i="9"/>
  <c r="D408" i="9"/>
  <c r="D453" i="9"/>
  <c r="D457" i="9"/>
  <c r="D459" i="9"/>
  <c r="D556" i="9"/>
  <c r="D588" i="9"/>
  <c r="G279" i="7"/>
  <c r="G278" i="7" s="1"/>
  <c r="G277" i="7" s="1"/>
  <c r="G276" i="7" s="1"/>
  <c r="G275" i="7" s="1"/>
  <c r="G274" i="7" s="1"/>
  <c r="G273" i="7" s="1"/>
  <c r="G272" i="7" s="1"/>
  <c r="G431" i="7"/>
  <c r="G430" i="7" s="1"/>
  <c r="G429" i="7" s="1"/>
  <c r="G416" i="7" s="1"/>
  <c r="D274" i="9"/>
  <c r="D387" i="9"/>
  <c r="G461" i="7"/>
  <c r="G460" i="7" s="1"/>
  <c r="G459" i="7" s="1"/>
  <c r="G458" i="7" s="1"/>
  <c r="G457" i="7" s="1"/>
  <c r="G450" i="7" s="1"/>
  <c r="D691" i="9"/>
  <c r="D280" i="9"/>
  <c r="D488" i="9"/>
  <c r="D178" i="9"/>
  <c r="D180" i="9"/>
  <c r="D365" i="9"/>
  <c r="D367" i="9"/>
  <c r="D628" i="9"/>
  <c r="D639" i="9"/>
  <c r="D642" i="9"/>
  <c r="D697" i="9"/>
  <c r="D705" i="9"/>
  <c r="D92" i="9"/>
  <c r="D105" i="9"/>
  <c r="D114" i="9"/>
  <c r="D123" i="9"/>
  <c r="D133" i="9"/>
  <c r="F705" i="7"/>
  <c r="D712" i="9"/>
  <c r="D541" i="9"/>
  <c r="D99" i="9"/>
  <c r="D164" i="9"/>
  <c r="G810" i="7"/>
  <c r="G807" i="7" s="1"/>
  <c r="G815" i="7"/>
  <c r="G814" i="7" s="1"/>
  <c r="D39" i="9"/>
  <c r="D173" i="9"/>
  <c r="G915" i="7"/>
  <c r="D95" i="9"/>
  <c r="D335" i="9"/>
  <c r="G938" i="7"/>
  <c r="D213" i="9"/>
  <c r="D228" i="9"/>
  <c r="D227" i="9" s="1"/>
  <c r="D222" i="9"/>
  <c r="AE1169" i="2"/>
  <c r="AE1166" i="2"/>
  <c r="AE1163" i="2"/>
  <c r="AE1162" i="2" s="1"/>
  <c r="AE1158" i="2"/>
  <c r="AE1149" i="2"/>
  <c r="AE1141" i="2"/>
  <c r="AE1138" i="2"/>
  <c r="AE1133" i="2"/>
  <c r="AE1132" i="2" s="1"/>
  <c r="AE1129" i="2"/>
  <c r="AE1125" i="2"/>
  <c r="AE1102" i="2"/>
  <c r="AE1092" i="2"/>
  <c r="AE1090" i="2"/>
  <c r="AE1083" i="2"/>
  <c r="AE1075" i="2"/>
  <c r="AE1053" i="2"/>
  <c r="AE1050" i="2"/>
  <c r="AE1045" i="2"/>
  <c r="AE1044" i="2" s="1"/>
  <c r="AE1038" i="2"/>
  <c r="AE1032" i="2"/>
  <c r="AE1030" i="2"/>
  <c r="AE928" i="2"/>
  <c r="AE904" i="2"/>
  <c r="AE894" i="2"/>
  <c r="AE875" i="2"/>
  <c r="AE877" i="2"/>
  <c r="AE868" i="2"/>
  <c r="AE845" i="2"/>
  <c r="AE829" i="2"/>
  <c r="AE826" i="2"/>
  <c r="AE823" i="2"/>
  <c r="AE818" i="2"/>
  <c r="AE817" i="2" s="1"/>
  <c r="AE812" i="2"/>
  <c r="AE805" i="2"/>
  <c r="AE790" i="2"/>
  <c r="AE787" i="2"/>
  <c r="AE767" i="2"/>
  <c r="AE761" i="2"/>
  <c r="AE760" i="2" s="1"/>
  <c r="AE751" i="2"/>
  <c r="AE757" i="2"/>
  <c r="AE747" i="2"/>
  <c r="AE741" i="2"/>
  <c r="AE740" i="2" s="1"/>
  <c r="AE738" i="2"/>
  <c r="AE737" i="2" s="1"/>
  <c r="AE730" i="2"/>
  <c r="AE727" i="2"/>
  <c r="AE699" i="2"/>
  <c r="AE690" i="2"/>
  <c r="AE683" i="2"/>
  <c r="AE671" i="2"/>
  <c r="AE665" i="2"/>
  <c r="AE664" i="2"/>
  <c r="AE661" i="2"/>
  <c r="AE655" i="2"/>
  <c r="AE654" i="2" s="1"/>
  <c r="AE629" i="2"/>
  <c r="AE615" i="2"/>
  <c r="AE614" i="2"/>
  <c r="AE612" i="2"/>
  <c r="AE611" i="2"/>
  <c r="AE607" i="2"/>
  <c r="AE606" i="2" s="1"/>
  <c r="AE591" i="2"/>
  <c r="AE574" i="2"/>
  <c r="AE571" i="2"/>
  <c r="AE566" i="2"/>
  <c r="AE565" i="2" s="1"/>
  <c r="AE562" i="2"/>
  <c r="AE561" i="2"/>
  <c r="AE559" i="2"/>
  <c r="AE555" i="2"/>
  <c r="H35" i="7" s="1"/>
  <c r="H34" i="7" s="1"/>
  <c r="H33" i="7" s="1"/>
  <c r="H32" i="7" s="1"/>
  <c r="H31" i="7" s="1"/>
  <c r="H23" i="7" s="1"/>
  <c r="AE540" i="2"/>
  <c r="AE521" i="2"/>
  <c r="AE520" i="2" s="1"/>
  <c r="AE514" i="2"/>
  <c r="AE506" i="2"/>
  <c r="AE503" i="2"/>
  <c r="AE488" i="2"/>
  <c r="AE454" i="2"/>
  <c r="AE451" i="2"/>
  <c r="AE448" i="2" s="1"/>
  <c r="AE443" i="2"/>
  <c r="AE440" i="2"/>
  <c r="AE435" i="2"/>
  <c r="AE423" i="2"/>
  <c r="AE422" i="2" s="1"/>
  <c r="AE413" i="2"/>
  <c r="AE407" i="2"/>
  <c r="AE403" i="2"/>
  <c r="AE390" i="2"/>
  <c r="AE371" i="2"/>
  <c r="AE368" i="2"/>
  <c r="AE363" i="2"/>
  <c r="AE362" i="2" s="1"/>
  <c r="AE357" i="2"/>
  <c r="AE351" i="2"/>
  <c r="AE338" i="2"/>
  <c r="AE329" i="2"/>
  <c r="AE321" i="2"/>
  <c r="AE319" i="2"/>
  <c r="AE303" i="2"/>
  <c r="AE286" i="2"/>
  <c r="AE257" i="2"/>
  <c r="AE254" i="2"/>
  <c r="AE247" i="2"/>
  <c r="AE201" i="2"/>
  <c r="AE200" i="2" s="1"/>
  <c r="AE238" i="2"/>
  <c r="AE234" i="2"/>
  <c r="AE230" i="2"/>
  <c r="AE227" i="2" s="1"/>
  <c r="H346"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169" i="2"/>
  <c r="AD1168" i="2" s="1"/>
  <c r="AD1166" i="2"/>
  <c r="AD1165" i="2" s="1"/>
  <c r="AD1163" i="2"/>
  <c r="AD1162" i="2" s="1"/>
  <c r="AD1158" i="2"/>
  <c r="AD1157" i="2" s="1"/>
  <c r="AD1156" i="2" s="1"/>
  <c r="AD1155" i="2" s="1"/>
  <c r="AD1154" i="2" s="1"/>
  <c r="AD1149" i="2"/>
  <c r="AD1148" i="2" s="1"/>
  <c r="AD1147" i="2" s="1"/>
  <c r="AD1141" i="2"/>
  <c r="AD1140" i="2" s="1"/>
  <c r="AD1138" i="2"/>
  <c r="AD1137" i="2" s="1"/>
  <c r="AD1133" i="2"/>
  <c r="AD1132" i="2" s="1"/>
  <c r="AD1129" i="2"/>
  <c r="AD1128" i="2" s="1"/>
  <c r="AD1125" i="2"/>
  <c r="AD1124" i="2" s="1"/>
  <c r="AD1123" i="2" s="1"/>
  <c r="AD1122" i="2" s="1"/>
  <c r="AD1121" i="2" s="1"/>
  <c r="AD1102" i="2"/>
  <c r="AD1101" i="2" s="1"/>
  <c r="AD1092" i="2"/>
  <c r="AD1090" i="2"/>
  <c r="AD1083" i="2"/>
  <c r="AD1082" i="2" s="1"/>
  <c r="AD1081" i="2" s="1"/>
  <c r="AD1075" i="2"/>
  <c r="AD1074" i="2" s="1"/>
  <c r="AD1073" i="2" s="1"/>
  <c r="AD1053" i="2"/>
  <c r="AD1052" i="2" s="1"/>
  <c r="AD1050" i="2"/>
  <c r="AD1049" i="2" s="1"/>
  <c r="AD1045" i="2"/>
  <c r="AD1044" i="2" s="1"/>
  <c r="AD1038" i="2"/>
  <c r="AD1037" i="2" s="1"/>
  <c r="AD1036" i="2" s="1"/>
  <c r="AD1035" i="2" s="1"/>
  <c r="AD1034" i="2" s="1"/>
  <c r="AD1032" i="2"/>
  <c r="AD1030" i="2"/>
  <c r="AD1024" i="2"/>
  <c r="AD1022" i="2"/>
  <c r="AD1013" i="2"/>
  <c r="AD1012" i="2" s="1"/>
  <c r="AD928" i="2"/>
  <c r="AD927" i="2" s="1"/>
  <c r="AD926" i="2" s="1"/>
  <c r="AD925" i="2" s="1"/>
  <c r="AD904" i="2"/>
  <c r="AD903" i="2" s="1"/>
  <c r="AD894" i="2"/>
  <c r="AD893" i="2" s="1"/>
  <c r="AD892" i="2" s="1"/>
  <c r="AD891" i="2" s="1"/>
  <c r="AD890" i="2" s="1"/>
  <c r="AD889" i="2" s="1"/>
  <c r="AD875" i="2"/>
  <c r="AD877" i="2"/>
  <c r="AD868" i="2"/>
  <c r="AD867" i="2" s="1"/>
  <c r="AD866" i="2" s="1"/>
  <c r="AD845" i="2"/>
  <c r="AD844" i="2" s="1"/>
  <c r="AD843" i="2" s="1"/>
  <c r="AD842" i="2" s="1"/>
  <c r="AD841" i="2" s="1"/>
  <c r="AD839" i="2"/>
  <c r="AD838" i="2" s="1"/>
  <c r="AD834" i="2" s="1"/>
  <c r="AD829" i="2"/>
  <c r="AD828" i="2" s="1"/>
  <c r="AD826" i="2"/>
  <c r="AD825" i="2" s="1"/>
  <c r="AD823" i="2"/>
  <c r="AD822" i="2" s="1"/>
  <c r="AD818" i="2"/>
  <c r="AD817" i="2" s="1"/>
  <c r="AD812" i="2"/>
  <c r="AD811" i="2" s="1"/>
  <c r="AD810" i="2" s="1"/>
  <c r="AD809" i="2" s="1"/>
  <c r="AD805" i="2"/>
  <c r="AD804" i="2" s="1"/>
  <c r="AD803" i="2" s="1"/>
  <c r="AD802" i="2" s="1"/>
  <c r="AD801" i="2" s="1"/>
  <c r="AD800" i="2" s="1"/>
  <c r="AD792" i="2"/>
  <c r="AD790" i="2"/>
  <c r="AD789" i="2" s="1"/>
  <c r="AD787" i="2"/>
  <c r="AD786" i="2" s="1"/>
  <c r="AD767" i="2"/>
  <c r="AD766" i="2" s="1"/>
  <c r="AD765" i="2" s="1"/>
  <c r="AD761" i="2"/>
  <c r="AD760" i="2" s="1"/>
  <c r="AD751" i="2"/>
  <c r="AD750" i="2" s="1"/>
  <c r="AD757" i="2"/>
  <c r="AD756" i="2" s="1"/>
  <c r="AD747" i="2"/>
  <c r="AD746" i="2" s="1"/>
  <c r="AD741" i="2"/>
  <c r="AD740" i="2" s="1"/>
  <c r="AD738" i="2"/>
  <c r="AD737" i="2" s="1"/>
  <c r="AD730" i="2"/>
  <c r="AD729" i="2" s="1"/>
  <c r="AD727" i="2"/>
  <c r="AD726" i="2" s="1"/>
  <c r="AD724" i="2"/>
  <c r="AD723" i="2" s="1"/>
  <c r="AD699" i="2"/>
  <c r="AD698" i="2" s="1"/>
  <c r="AD690" i="2"/>
  <c r="AD689" i="2" s="1"/>
  <c r="AD683" i="2"/>
  <c r="AD682" i="2" s="1"/>
  <c r="AD681" i="2" s="1"/>
  <c r="AD680" i="2" s="1"/>
  <c r="AD679" i="2" s="1"/>
  <c r="AD678" i="2" s="1"/>
  <c r="AD671" i="2"/>
  <c r="AD670" i="2" s="1"/>
  <c r="AD669" i="2" s="1"/>
  <c r="AD668" i="2" s="1"/>
  <c r="AD667" i="2" s="1"/>
  <c r="AD665" i="2"/>
  <c r="AD664" i="2"/>
  <c r="AD661" i="2"/>
  <c r="AD655" i="2"/>
  <c r="AD654" i="2" s="1"/>
  <c r="AD644" i="2"/>
  <c r="AD643" i="2" s="1"/>
  <c r="AD629" i="2"/>
  <c r="AD628" i="2" s="1"/>
  <c r="AD627" i="2" s="1"/>
  <c r="AD615" i="2"/>
  <c r="AD614" i="2"/>
  <c r="AD612" i="2"/>
  <c r="AD611" i="2"/>
  <c r="AD607" i="2"/>
  <c r="AD606" i="2" s="1"/>
  <c r="AD591" i="2"/>
  <c r="AD590" i="2" s="1"/>
  <c r="AD589" i="2" s="1"/>
  <c r="AD574" i="2"/>
  <c r="AD573" i="2" s="1"/>
  <c r="AD571" i="2"/>
  <c r="AD570" i="2" s="1"/>
  <c r="AD566" i="2"/>
  <c r="AD565" i="2" s="1"/>
  <c r="AD562" i="2"/>
  <c r="AD561" i="2"/>
  <c r="AD559" i="2"/>
  <c r="AD558" i="2" s="1"/>
  <c r="AD555" i="2"/>
  <c r="AD540" i="2"/>
  <c r="AD521" i="2"/>
  <c r="AD514" i="2"/>
  <c r="AD513" i="2" s="1"/>
  <c r="AD512" i="2" s="1"/>
  <c r="AD511" i="2" s="1"/>
  <c r="AD510" i="2" s="1"/>
  <c r="AD509" i="2" s="1"/>
  <c r="AD506" i="2"/>
  <c r="AD505" i="2" s="1"/>
  <c r="AD503" i="2"/>
  <c r="AD502" i="2" s="1"/>
  <c r="AD496" i="2"/>
  <c r="AD495" i="2" s="1"/>
  <c r="AD494" i="2" s="1"/>
  <c r="AD488" i="2"/>
  <c r="AD487" i="2" s="1"/>
  <c r="AD486" i="2" s="1"/>
  <c r="AD485" i="2" s="1"/>
  <c r="AD484" i="2" s="1"/>
  <c r="AD483" i="2" s="1"/>
  <c r="AD482" i="2" s="1"/>
  <c r="AD454" i="2"/>
  <c r="AD453" i="2" s="1"/>
  <c r="AD448" i="2"/>
  <c r="AD443" i="2"/>
  <c r="AD442" i="2" s="1"/>
  <c r="AD440" i="2"/>
  <c r="AD439" i="2" s="1"/>
  <c r="AD435" i="2"/>
  <c r="AD434" i="2" s="1"/>
  <c r="AD433" i="2" s="1"/>
  <c r="AD432" i="2" s="1"/>
  <c r="AD425" i="2"/>
  <c r="AD423" i="2"/>
  <c r="AD413" i="2"/>
  <c r="AD407" i="2"/>
  <c r="AD406" i="2" s="1"/>
  <c r="AD405" i="2" s="1"/>
  <c r="AD403" i="2"/>
  <c r="AD402" i="2" s="1"/>
  <c r="AD401" i="2" s="1"/>
  <c r="AD390" i="2"/>
  <c r="AD389" i="2" s="1"/>
  <c r="AD388" i="2" s="1"/>
  <c r="AD371" i="2"/>
  <c r="AD370" i="2" s="1"/>
  <c r="AD368" i="2"/>
  <c r="AD367" i="2" s="1"/>
  <c r="AD363" i="2"/>
  <c r="AD362" i="2" s="1"/>
  <c r="AD357" i="2"/>
  <c r="AD356" i="2" s="1"/>
  <c r="AD355" i="2" s="1"/>
  <c r="AD354" i="2" s="1"/>
  <c r="AD351" i="2"/>
  <c r="AD350" i="2" s="1"/>
  <c r="AD349" i="2" s="1"/>
  <c r="AD348" i="2" s="1"/>
  <c r="AD347" i="2" s="1"/>
  <c r="AD338" i="2"/>
  <c r="AD337" i="2" s="1"/>
  <c r="AD329" i="2"/>
  <c r="AD328" i="2" s="1"/>
  <c r="AD327" i="2" s="1"/>
  <c r="AD326" i="2" s="1"/>
  <c r="AD325" i="2" s="1"/>
  <c r="AD321" i="2"/>
  <c r="AD319" i="2"/>
  <c r="AD316" i="2"/>
  <c r="AD315" i="2" s="1"/>
  <c r="AD303" i="2"/>
  <c r="AD302" i="2" s="1"/>
  <c r="AD301" i="2" s="1"/>
  <c r="AD300" i="2" s="1"/>
  <c r="AD299"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AE538" i="2" l="1"/>
  <c r="AE539" i="2"/>
  <c r="AD538" i="2"/>
  <c r="AD539" i="2"/>
  <c r="AD422" i="2"/>
  <c r="AD421" i="2" s="1"/>
  <c r="AD420" i="2" s="1"/>
  <c r="AD419" i="2" s="1"/>
  <c r="AD417" i="2" s="1"/>
  <c r="AD333" i="2"/>
  <c r="AD332" i="2" s="1"/>
  <c r="AD331" i="2" s="1"/>
  <c r="AD108" i="2"/>
  <c r="AD653" i="2"/>
  <c r="AD652" i="2" s="1"/>
  <c r="H345" i="7"/>
  <c r="H344" i="7" s="1"/>
  <c r="H343" i="7" s="1"/>
  <c r="H337" i="7" s="1"/>
  <c r="H336" i="7" s="1"/>
  <c r="H335" i="7" s="1"/>
  <c r="E256" i="9"/>
  <c r="E255" i="9" s="1"/>
  <c r="E254" i="9" s="1"/>
  <c r="E253" i="9" s="1"/>
  <c r="AD222" i="2"/>
  <c r="AD221" i="2" s="1"/>
  <c r="AD205" i="2"/>
  <c r="AD204" i="2" s="1"/>
  <c r="AD203" i="2" s="1"/>
  <c r="AE318" i="2"/>
  <c r="AD199" i="2"/>
  <c r="AD198" i="2" s="1"/>
  <c r="AE653" i="2"/>
  <c r="AD318" i="2"/>
  <c r="AD314" i="2" s="1"/>
  <c r="AD313" i="2" s="1"/>
  <c r="AD312" i="2" s="1"/>
  <c r="AD412" i="2"/>
  <c r="AD411" i="2" s="1"/>
  <c r="AD410" i="2" s="1"/>
  <c r="AD409" i="2" s="1"/>
  <c r="AD520" i="2"/>
  <c r="AD519" i="2" s="1"/>
  <c r="AD518" i="2" s="1"/>
  <c r="AD517" i="2" s="1"/>
  <c r="AD1097" i="2"/>
  <c r="AD1096" i="2" s="1"/>
  <c r="AD1095" i="2" s="1"/>
  <c r="AD749" i="2"/>
  <c r="AD284" i="2"/>
  <c r="AD283" i="2" s="1"/>
  <c r="AD103" i="2"/>
  <c r="AD174" i="2"/>
  <c r="AD173" i="2" s="1"/>
  <c r="AE103" i="2"/>
  <c r="AE108" i="2"/>
  <c r="AD1072" i="2"/>
  <c r="AD1071" i="2" s="1"/>
  <c r="AD1070" i="2" s="1"/>
  <c r="AD1069" i="2" s="1"/>
  <c r="AD1068" i="2" s="1"/>
  <c r="AD554" i="2"/>
  <c r="AD553" i="2" s="1"/>
  <c r="AD552" i="2" s="1"/>
  <c r="AD551" i="2" s="1"/>
  <c r="F35" i="7"/>
  <c r="AD23" i="2"/>
  <c r="AD22" i="2" s="1"/>
  <c r="AD21" i="2" s="1"/>
  <c r="AD20" i="2" s="1"/>
  <c r="F20" i="7"/>
  <c r="F627" i="9"/>
  <c r="F626" i="9" s="1"/>
  <c r="F625" i="9" s="1"/>
  <c r="F117" i="9"/>
  <c r="F172" i="9"/>
  <c r="F339" i="9"/>
  <c r="F338" i="9" s="1"/>
  <c r="D146" i="9"/>
  <c r="D145" i="9" s="1"/>
  <c r="D144" i="9" s="1"/>
  <c r="D97" i="9"/>
  <c r="AE205" i="2"/>
  <c r="AE204" i="2" s="1"/>
  <c r="AE203" i="2" s="1"/>
  <c r="AD697" i="2"/>
  <c r="AD696" i="2" s="1"/>
  <c r="AD695" i="2" s="1"/>
  <c r="AD694" i="2" s="1"/>
  <c r="AD693" i="2" s="1"/>
  <c r="AD1146" i="2"/>
  <c r="AD1145" i="2" s="1"/>
  <c r="AD1144" i="2" s="1"/>
  <c r="AD1143" i="2" s="1"/>
  <c r="AD1080" i="2"/>
  <c r="AD1079" i="2" s="1"/>
  <c r="AD1078" i="2" s="1"/>
  <c r="AD865" i="2"/>
  <c r="AD864" i="2" s="1"/>
  <c r="AD863" i="2" s="1"/>
  <c r="AD626" i="2"/>
  <c r="AD625" i="2" s="1"/>
  <c r="AD624" i="2" s="1"/>
  <c r="AD623" i="2" s="1"/>
  <c r="AD588" i="2"/>
  <c r="AD587" i="2" s="1"/>
  <c r="AD586" i="2" s="1"/>
  <c r="AD585" i="2" s="1"/>
  <c r="AD492" i="2"/>
  <c r="AD491" i="2" s="1"/>
  <c r="AD493" i="2"/>
  <c r="AD1011" i="2"/>
  <c r="AD1010" i="2" s="1"/>
  <c r="AD991" i="2" s="1"/>
  <c r="AD941" i="2" s="1"/>
  <c r="AD642" i="2"/>
  <c r="G386" i="7"/>
  <c r="E72" i="9"/>
  <c r="E71" i="9" s="1"/>
  <c r="E70" i="9" s="1"/>
  <c r="E186" i="9"/>
  <c r="E185" i="9" s="1"/>
  <c r="AD456" i="2"/>
  <c r="AD907" i="2"/>
  <c r="AD906" i="2" s="1"/>
  <c r="D243" i="9"/>
  <c r="D33" i="10"/>
  <c r="AD264" i="2"/>
  <c r="AD263" i="2" s="1"/>
  <c r="AD262" i="2" s="1"/>
  <c r="AD261" i="2" s="1"/>
  <c r="AD260" i="2" s="1"/>
  <c r="F400" i="7"/>
  <c r="D582" i="9" s="1"/>
  <c r="D581" i="9" s="1"/>
  <c r="D580" i="9" s="1"/>
  <c r="D579" i="9" s="1"/>
  <c r="E582" i="9"/>
  <c r="E184" i="9"/>
  <c r="E86" i="9"/>
  <c r="E675" i="9"/>
  <c r="D212" i="9"/>
  <c r="D132" i="9"/>
  <c r="D131" i="9" s="1"/>
  <c r="D696" i="9"/>
  <c r="D695" i="9" s="1"/>
  <c r="D279" i="9"/>
  <c r="D297" i="9"/>
  <c r="D296" i="9" s="1"/>
  <c r="D756" i="9"/>
  <c r="D72" i="9"/>
  <c r="D163" i="9"/>
  <c r="D540" i="9"/>
  <c r="D539" i="9" s="1"/>
  <c r="D104" i="9"/>
  <c r="D103" i="9" s="1"/>
  <c r="D641" i="9"/>
  <c r="D321" i="9"/>
  <c r="D458" i="9"/>
  <c r="D407" i="9"/>
  <c r="D738" i="9"/>
  <c r="D323" i="9"/>
  <c r="D221" i="9"/>
  <c r="D220" i="9" s="1"/>
  <c r="D704" i="9"/>
  <c r="D638" i="9"/>
  <c r="D487" i="9"/>
  <c r="D690" i="9"/>
  <c r="D587" i="9"/>
  <c r="D456" i="9"/>
  <c r="D440" i="9"/>
  <c r="D338" i="9"/>
  <c r="D334" i="9"/>
  <c r="D38" i="9"/>
  <c r="D711" i="9"/>
  <c r="D634" i="9"/>
  <c r="D273" i="9"/>
  <c r="D272" i="9" s="1"/>
  <c r="D249" i="9"/>
  <c r="D248" i="9" s="1"/>
  <c r="D304" i="9"/>
  <c r="D452" i="9"/>
  <c r="D265" i="9"/>
  <c r="D36" i="9"/>
  <c r="D167" i="9"/>
  <c r="D108" i="9"/>
  <c r="D462" i="9"/>
  <c r="D450" i="9"/>
  <c r="D742" i="9"/>
  <c r="D432" i="9"/>
  <c r="D720" i="9"/>
  <c r="D413" i="9"/>
  <c r="D210" i="9"/>
  <c r="D50" i="9"/>
  <c r="D142" i="9"/>
  <c r="D563" i="9"/>
  <c r="D447" i="9"/>
  <c r="D754" i="9"/>
  <c r="D444" i="9"/>
  <c r="D429" i="9"/>
  <c r="D732" i="9"/>
  <c r="D717" i="9"/>
  <c r="D574" i="9"/>
  <c r="D47" i="9"/>
  <c r="D161" i="9"/>
  <c r="D478" i="9"/>
  <c r="D405" i="9"/>
  <c r="D764" i="9"/>
  <c r="D736" i="9"/>
  <c r="D749" i="9"/>
  <c r="D424" i="9"/>
  <c r="D729" i="9"/>
  <c r="D156" i="9"/>
  <c r="D89" i="9"/>
  <c r="D702" i="9"/>
  <c r="D682" i="9"/>
  <c r="D282" i="9"/>
  <c r="D566" i="9"/>
  <c r="D464" i="9"/>
  <c r="D398" i="9"/>
  <c r="D436" i="9"/>
  <c r="D724" i="9"/>
  <c r="D418" i="9"/>
  <c r="D687" i="9"/>
  <c r="F704" i="7"/>
  <c r="AE31" i="2"/>
  <c r="AE62" i="2"/>
  <c r="AE169" i="2"/>
  <c r="AE182" i="2"/>
  <c r="AE337" i="2"/>
  <c r="AE367" i="2"/>
  <c r="E200" i="9"/>
  <c r="AE442" i="2"/>
  <c r="AE487" i="2"/>
  <c r="AE513" i="2"/>
  <c r="AE554" i="2"/>
  <c r="AE605" i="2"/>
  <c r="AE682" i="2"/>
  <c r="AE750" i="2"/>
  <c r="AE867" i="2"/>
  <c r="AE903" i="2"/>
  <c r="AE1049" i="2"/>
  <c r="AE1101" i="2"/>
  <c r="AE1097" i="2" s="1"/>
  <c r="E212" i="9"/>
  <c r="E211" i="9" s="1"/>
  <c r="F921" i="7"/>
  <c r="AE150" i="2"/>
  <c r="AE149" i="2" s="1"/>
  <c r="AE233" i="2"/>
  <c r="AE253" i="2"/>
  <c r="AE302" i="2"/>
  <c r="AE356" i="2"/>
  <c r="AE412" i="2"/>
  <c r="AE434" i="2"/>
  <c r="AE453" i="2"/>
  <c r="AE502" i="2"/>
  <c r="AE573" i="2"/>
  <c r="AE628" i="2"/>
  <c r="AE698" i="2"/>
  <c r="AE697" i="2" s="1"/>
  <c r="AE696" i="2" s="1"/>
  <c r="AE726" i="2"/>
  <c r="AE746" i="2"/>
  <c r="AE822" i="2"/>
  <c r="E205" i="9"/>
  <c r="AE1037" i="2"/>
  <c r="AE1128" i="2"/>
  <c r="AE1148" i="2"/>
  <c r="AE1168" i="2"/>
  <c r="E221" i="9"/>
  <c r="E220" i="9" s="1"/>
  <c r="G914" i="7"/>
  <c r="F821" i="7"/>
  <c r="F688" i="7"/>
  <c r="E104" i="9"/>
  <c r="E103" i="9" s="1"/>
  <c r="F624" i="7"/>
  <c r="F604" i="7"/>
  <c r="G364" i="7"/>
  <c r="G363" i="7" s="1"/>
  <c r="G362" i="7" s="1"/>
  <c r="G361" i="7" s="1"/>
  <c r="G360" i="7" s="1"/>
  <c r="G359" i="7" s="1"/>
  <c r="G358" i="7" s="1"/>
  <c r="E304" i="9"/>
  <c r="E303" i="9" s="1"/>
  <c r="E302" i="9" s="1"/>
  <c r="E301" i="9" s="1"/>
  <c r="F215" i="7"/>
  <c r="F149" i="7"/>
  <c r="E31" i="9"/>
  <c r="E30" i="9" s="1"/>
  <c r="E29" i="9" s="1"/>
  <c r="E28" i="9" s="1"/>
  <c r="E27" i="9" s="1"/>
  <c r="AD467" i="2"/>
  <c r="E687" i="9"/>
  <c r="F877" i="7"/>
  <c r="AE24" i="2"/>
  <c r="AE59" i="2"/>
  <c r="AE76" i="2"/>
  <c r="AE162" i="2"/>
  <c r="AE177" i="2"/>
  <c r="AE215" i="2"/>
  <c r="AE237" i="2"/>
  <c r="AE256" i="2"/>
  <c r="AE285" i="2"/>
  <c r="AE328" i="2"/>
  <c r="AE389" i="2"/>
  <c r="AE388" i="2" s="1"/>
  <c r="AE439" i="2"/>
  <c r="AE505" i="2"/>
  <c r="AE590" i="2"/>
  <c r="AE644" i="2"/>
  <c r="AE643" i="2" s="1"/>
  <c r="E379" i="9"/>
  <c r="AE670" i="2"/>
  <c r="AE729" i="2"/>
  <c r="AE756" i="2"/>
  <c r="AE766" i="2"/>
  <c r="AE765" i="2" s="1"/>
  <c r="AE804" i="2"/>
  <c r="AE825" i="2"/>
  <c r="AE844" i="2"/>
  <c r="AE893" i="2"/>
  <c r="AE1074" i="2"/>
  <c r="AE1157" i="2"/>
  <c r="F955" i="7"/>
  <c r="E334" i="9"/>
  <c r="E333" i="9" s="1"/>
  <c r="E38" i="9"/>
  <c r="E37" i="9" s="1"/>
  <c r="F765" i="7"/>
  <c r="E711" i="9"/>
  <c r="E710" i="9" s="1"/>
  <c r="E709" i="9" s="1"/>
  <c r="E91" i="9"/>
  <c r="E90" i="9" s="1"/>
  <c r="E704" i="9"/>
  <c r="E703" i="9" s="1"/>
  <c r="E638" i="9"/>
  <c r="E637" i="9" s="1"/>
  <c r="G599" i="7"/>
  <c r="G598" i="7" s="1"/>
  <c r="G588" i="7"/>
  <c r="F496" i="7"/>
  <c r="E690" i="9"/>
  <c r="E689" i="9" s="1"/>
  <c r="E688" i="9" s="1"/>
  <c r="F243" i="7"/>
  <c r="F142" i="7"/>
  <c r="F75" i="7"/>
  <c r="AD715" i="2"/>
  <c r="AD714" i="2" s="1"/>
  <c r="AD713" i="2" s="1"/>
  <c r="AD712" i="2" s="1"/>
  <c r="F432" i="7"/>
  <c r="D577" i="9"/>
  <c r="AE402" i="2"/>
  <c r="AE786" i="2"/>
  <c r="AE828" i="2"/>
  <c r="AE1082" i="2"/>
  <c r="AE1137" i="2"/>
  <c r="G597" i="7"/>
  <c r="G596" i="7" s="1"/>
  <c r="E273" i="9"/>
  <c r="E272" i="9" s="1"/>
  <c r="E458" i="9"/>
  <c r="E407" i="9"/>
  <c r="E406" i="9" s="1"/>
  <c r="E738" i="9"/>
  <c r="E737" i="9" s="1"/>
  <c r="G74" i="7"/>
  <c r="G73" i="7" s="1"/>
  <c r="AE69" i="2"/>
  <c r="AE190" i="2"/>
  <c r="AE246" i="2"/>
  <c r="AE264" i="2"/>
  <c r="AE350" i="2"/>
  <c r="AE370" i="2"/>
  <c r="AE406" i="2"/>
  <c r="AE496" i="2"/>
  <c r="AE519" i="2"/>
  <c r="AE518" i="2" s="1"/>
  <c r="AE558" i="2"/>
  <c r="AE570" i="2"/>
  <c r="AE689" i="2"/>
  <c r="AE789" i="2"/>
  <c r="AE927" i="2"/>
  <c r="AE1052" i="2"/>
  <c r="AE1124" i="2"/>
  <c r="AE1140" i="2"/>
  <c r="AE1165" i="2"/>
  <c r="D31" i="9"/>
  <c r="E163" i="9"/>
  <c r="E162" i="9" s="1"/>
  <c r="E540" i="9"/>
  <c r="E696" i="9"/>
  <c r="E695" i="9" s="1"/>
  <c r="G611" i="7"/>
  <c r="G610" i="7" s="1"/>
  <c r="G609" i="7" s="1"/>
  <c r="G608" i="7" s="1"/>
  <c r="G607" i="7" s="1"/>
  <c r="G606" i="7" s="1"/>
  <c r="F486" i="7"/>
  <c r="E587" i="9"/>
  <c r="E586" i="9" s="1"/>
  <c r="E585" i="9" s="1"/>
  <c r="E584" i="9" s="1"/>
  <c r="E456" i="9"/>
  <c r="F117" i="7"/>
  <c r="E132" i="9"/>
  <c r="E131" i="9" s="1"/>
  <c r="AE73" i="2"/>
  <c r="AE142" i="2"/>
  <c r="AE141" i="2" s="1"/>
  <c r="AE140" i="2" s="1"/>
  <c r="AE139" i="2" s="1"/>
  <c r="AE132" i="2"/>
  <c r="E609" i="9"/>
  <c r="AE127" i="2"/>
  <c r="AE136" i="2"/>
  <c r="AD309" i="2"/>
  <c r="AD308" i="2" s="1"/>
  <c r="AD307" i="2" s="1"/>
  <c r="AD306" i="2" s="1"/>
  <c r="AE309" i="2"/>
  <c r="AE1021" i="2"/>
  <c r="D200" i="9"/>
  <c r="D184" i="9"/>
  <c r="AD43" i="2"/>
  <c r="AD42" i="2" s="1"/>
  <c r="AD41" i="2" s="1"/>
  <c r="AD40" i="2" s="1"/>
  <c r="AE715" i="2"/>
  <c r="AE724" i="2"/>
  <c r="F461" i="7"/>
  <c r="G76" i="7"/>
  <c r="G75" i="7" s="1"/>
  <c r="E143" i="9"/>
  <c r="F844" i="7"/>
  <c r="F798" i="7"/>
  <c r="F775" i="7"/>
  <c r="F774" i="7" s="1"/>
  <c r="F639" i="7"/>
  <c r="F675" i="7"/>
  <c r="F674" i="7" s="1"/>
  <c r="E119" i="9"/>
  <c r="E321" i="9"/>
  <c r="F719" i="7"/>
  <c r="E122" i="9"/>
  <c r="E121" i="9" s="1"/>
  <c r="E279" i="9"/>
  <c r="E641" i="9"/>
  <c r="E640" i="9" s="1"/>
  <c r="F46" i="7"/>
  <c r="F45" i="7" s="1"/>
  <c r="E723" i="9"/>
  <c r="E722" i="9" s="1"/>
  <c r="F852" i="7"/>
  <c r="D205" i="9"/>
  <c r="F179" i="9"/>
  <c r="F176" i="9" s="1"/>
  <c r="AD438" i="2"/>
  <c r="AD437" i="2" s="1"/>
  <c r="AD833" i="2"/>
  <c r="AD832" i="2" s="1"/>
  <c r="AD831" i="2" s="1"/>
  <c r="AD1021" i="2"/>
  <c r="AD1020" i="2" s="1"/>
  <c r="AD1019" i="2" s="1"/>
  <c r="AD1018" i="2" s="1"/>
  <c r="AE316" i="2"/>
  <c r="AE1013" i="2"/>
  <c r="AE1012" i="2" s="1"/>
  <c r="E177" i="9"/>
  <c r="G589" i="7"/>
  <c r="F391" i="7"/>
  <c r="D379" i="9"/>
  <c r="E753" i="9"/>
  <c r="E752" i="9" s="1"/>
  <c r="F139" i="7"/>
  <c r="F96" i="9"/>
  <c r="AE907" i="2"/>
  <c r="F394" i="7"/>
  <c r="F551" i="9"/>
  <c r="F550" i="9" s="1"/>
  <c r="F549" i="9" s="1"/>
  <c r="E155" i="9"/>
  <c r="E154" i="9" s="1"/>
  <c r="F790" i="7"/>
  <c r="F789" i="7" s="1"/>
  <c r="AD51" i="2"/>
  <c r="AD50" i="2" s="1"/>
  <c r="AD49" i="2" s="1"/>
  <c r="AD48" i="2" s="1"/>
  <c r="F744" i="7"/>
  <c r="E141" i="9"/>
  <c r="E140" i="9" s="1"/>
  <c r="E136" i="9" s="1"/>
  <c r="F258" i="7"/>
  <c r="F157" i="7"/>
  <c r="E731" i="9"/>
  <c r="E730" i="9" s="1"/>
  <c r="F54" i="7"/>
  <c r="F364" i="9"/>
  <c r="F363" i="9" s="1"/>
  <c r="F362" i="9" s="1"/>
  <c r="F361" i="9" s="1"/>
  <c r="F341" i="9" s="1"/>
  <c r="E94" i="9"/>
  <c r="E487" i="9"/>
  <c r="E486" i="9" s="1"/>
  <c r="E485" i="9" s="1"/>
  <c r="AD1161" i="2"/>
  <c r="AD1160" i="2" s="1"/>
  <c r="E452" i="9"/>
  <c r="E451" i="9" s="1"/>
  <c r="F923" i="7"/>
  <c r="E96" i="9"/>
  <c r="F684" i="7"/>
  <c r="E113" i="9"/>
  <c r="E112" i="9" s="1"/>
  <c r="E323" i="9"/>
  <c r="F78" i="9"/>
  <c r="F965" i="7"/>
  <c r="F964" i="7" s="1"/>
  <c r="F947" i="7"/>
  <c r="F912" i="7"/>
  <c r="E172" i="9"/>
  <c r="G913" i="7"/>
  <c r="G912" i="7" s="1"/>
  <c r="F849" i="7"/>
  <c r="E35" i="9"/>
  <c r="E34" i="9" s="1"/>
  <c r="E269" i="9"/>
  <c r="E268" i="9" s="1"/>
  <c r="E267" i="9" s="1"/>
  <c r="F769" i="7"/>
  <c r="F678" i="7"/>
  <c r="F677" i="7" s="1"/>
  <c r="E107" i="9"/>
  <c r="E106" i="9" s="1"/>
  <c r="E88" i="9"/>
  <c r="E87" i="9" s="1"/>
  <c r="F664" i="7"/>
  <c r="F610" i="7"/>
  <c r="E627" i="9"/>
  <c r="E626" i="9" s="1"/>
  <c r="E625" i="9" s="1"/>
  <c r="E624" i="9" s="1"/>
  <c r="F455" i="7"/>
  <c r="E386" i="9"/>
  <c r="E385" i="9" s="1"/>
  <c r="F252" i="7"/>
  <c r="E555" i="9"/>
  <c r="E554" i="9" s="1"/>
  <c r="E553" i="9" s="1"/>
  <c r="F212" i="7"/>
  <c r="E449" i="9"/>
  <c r="E448" i="9" s="1"/>
  <c r="E741" i="9"/>
  <c r="E740" i="9" s="1"/>
  <c r="F122" i="9"/>
  <c r="F121" i="9" s="1"/>
  <c r="G924" i="7"/>
  <c r="F795" i="7"/>
  <c r="E160" i="9"/>
  <c r="E159" i="9" s="1"/>
  <c r="F631" i="7"/>
  <c r="F630" i="7" s="1"/>
  <c r="F285" i="7"/>
  <c r="E446" i="9"/>
  <c r="E445" i="9" s="1"/>
  <c r="F226" i="7"/>
  <c r="E463" i="9"/>
  <c r="F219" i="7"/>
  <c r="F134" i="7"/>
  <c r="F133" i="7" s="1"/>
  <c r="E748" i="9"/>
  <c r="E747" i="9" s="1"/>
  <c r="F112" i="7"/>
  <c r="F111" i="7" s="1"/>
  <c r="E435" i="9"/>
  <c r="E434" i="9" s="1"/>
  <c r="E428" i="9"/>
  <c r="E427" i="9" s="1"/>
  <c r="F89" i="7"/>
  <c r="F61" i="7"/>
  <c r="E417" i="9"/>
  <c r="E416" i="9" s="1"/>
  <c r="F21" i="7"/>
  <c r="F76" i="9"/>
  <c r="F119" i="9"/>
  <c r="F801" i="7"/>
  <c r="E166" i="9"/>
  <c r="E165" i="9" s="1"/>
  <c r="F488" i="7"/>
  <c r="E281" i="9"/>
  <c r="F224" i="7"/>
  <c r="E461" i="9"/>
  <c r="F204" i="7"/>
  <c r="F203" i="7" s="1"/>
  <c r="E404" i="9"/>
  <c r="E403" i="9" s="1"/>
  <c r="F154" i="7"/>
  <c r="F153" i="7" s="1"/>
  <c r="E735" i="9"/>
  <c r="E734" i="9" s="1"/>
  <c r="F932" i="7"/>
  <c r="F863" i="7"/>
  <c r="E49" i="9"/>
  <c r="E48" i="9" s="1"/>
  <c r="F698" i="7"/>
  <c r="F697" i="7" s="1"/>
  <c r="F590" i="7"/>
  <c r="G591" i="7"/>
  <c r="G590" i="7" s="1"/>
  <c r="E397" i="9"/>
  <c r="E396" i="9" s="1"/>
  <c r="F197" i="7"/>
  <c r="F196" i="7" s="1"/>
  <c r="F168" i="7"/>
  <c r="E763" i="9"/>
  <c r="E762" i="9" s="1"/>
  <c r="E117" i="9"/>
  <c r="F73" i="7"/>
  <c r="F41" i="7"/>
  <c r="E719" i="9"/>
  <c r="E718" i="9" s="1"/>
  <c r="F42" i="7"/>
  <c r="F98" i="9"/>
  <c r="E412" i="9"/>
  <c r="E411" i="9" s="1"/>
  <c r="E410" i="9" s="1"/>
  <c r="E409" i="9" s="1"/>
  <c r="F985" i="7"/>
  <c r="E46" i="9"/>
  <c r="E43" i="9" s="1"/>
  <c r="G785" i="7"/>
  <c r="G784" i="7" s="1"/>
  <c r="G783" i="7" s="1"/>
  <c r="G782" i="7" s="1"/>
  <c r="G781" i="7" s="1"/>
  <c r="G780" i="7" s="1"/>
  <c r="F784" i="7"/>
  <c r="E98" i="9"/>
  <c r="F621" i="7"/>
  <c r="F465" i="7"/>
  <c r="F438" i="7"/>
  <c r="F381" i="7"/>
  <c r="E565" i="9"/>
  <c r="E564" i="9" s="1"/>
  <c r="F353" i="7"/>
  <c r="F337" i="7" s="1"/>
  <c r="F336" i="7" s="1"/>
  <c r="F335" i="7" s="1"/>
  <c r="D31" i="10" s="1"/>
  <c r="E309" i="9"/>
  <c r="E308" i="9" s="1"/>
  <c r="F192" i="7"/>
  <c r="F189" i="7" s="1"/>
  <c r="F188" i="7" s="1"/>
  <c r="E392" i="9"/>
  <c r="E389" i="9" s="1"/>
  <c r="E388" i="9" s="1"/>
  <c r="E760" i="9"/>
  <c r="E759" i="9" s="1"/>
  <c r="F165" i="7"/>
  <c r="F51" i="7"/>
  <c r="E728" i="9"/>
  <c r="E727" i="9" s="1"/>
  <c r="F94" i="9"/>
  <c r="E179" i="9"/>
  <c r="E249" i="9"/>
  <c r="F944" i="7"/>
  <c r="E209" i="9"/>
  <c r="E208" i="9" s="1"/>
  <c r="G922" i="7"/>
  <c r="G921" i="7" s="1"/>
  <c r="F914" i="7"/>
  <c r="E174" i="9"/>
  <c r="F897" i="7"/>
  <c r="E24" i="9"/>
  <c r="E23" i="9" s="1"/>
  <c r="E22" i="9" s="1"/>
  <c r="E21" i="9" s="1"/>
  <c r="E20" i="9" s="1"/>
  <c r="F636" i="7"/>
  <c r="E701" i="9"/>
  <c r="E700" i="9" s="1"/>
  <c r="F616" i="7"/>
  <c r="F615" i="7" s="1"/>
  <c r="E633" i="9"/>
  <c r="E632" i="9" s="1"/>
  <c r="F596" i="7"/>
  <c r="E364" i="9"/>
  <c r="F575" i="7"/>
  <c r="E681" i="9"/>
  <c r="E680" i="9" s="1"/>
  <c r="F377" i="7"/>
  <c r="E562" i="9"/>
  <c r="E561" i="9" s="1"/>
  <c r="F363" i="7"/>
  <c r="F278" i="7"/>
  <c r="E547" i="9"/>
  <c r="E546" i="9" s="1"/>
  <c r="E545" i="9" s="1"/>
  <c r="F248" i="7"/>
  <c r="E551" i="9"/>
  <c r="E550" i="9" s="1"/>
  <c r="E549" i="9" s="1"/>
  <c r="F130" i="7"/>
  <c r="F120" i="7"/>
  <c r="E443" i="9"/>
  <c r="E442" i="9" s="1"/>
  <c r="F91" i="9"/>
  <c r="F90" i="9" s="1"/>
  <c r="F113" i="9"/>
  <c r="F112" i="9" s="1"/>
  <c r="F101" i="9" s="1"/>
  <c r="E297" i="9"/>
  <c r="E296" i="9" s="1"/>
  <c r="E756" i="9"/>
  <c r="E755" i="9" s="1"/>
  <c r="G937" i="7"/>
  <c r="G936" i="7" s="1"/>
  <c r="G935" i="7" s="1"/>
  <c r="E339" i="9"/>
  <c r="E338" i="9" s="1"/>
  <c r="E337" i="9" s="1"/>
  <c r="E261" i="9"/>
  <c r="E260" i="9" s="1"/>
  <c r="E259" i="9" s="1"/>
  <c r="F694" i="7"/>
  <c r="F598" i="7"/>
  <c r="E366" i="9"/>
  <c r="F371" i="7"/>
  <c r="E477" i="9"/>
  <c r="E476" i="9" s="1"/>
  <c r="E316" i="9"/>
  <c r="E315" i="9" s="1"/>
  <c r="E314" i="9" s="1"/>
  <c r="E313" i="9" s="1"/>
  <c r="F221" i="7"/>
  <c r="F207" i="7"/>
  <c r="F116" i="7"/>
  <c r="E440" i="9"/>
  <c r="E439" i="9" s="1"/>
  <c r="F92" i="7"/>
  <c r="E431" i="9"/>
  <c r="E430" i="9" s="1"/>
  <c r="F84" i="7"/>
  <c r="F81" i="7" s="1"/>
  <c r="E423" i="9"/>
  <c r="E420" i="9" s="1"/>
  <c r="F65" i="7"/>
  <c r="E76" i="9"/>
  <c r="E75" i="9" s="1"/>
  <c r="E74" i="9" s="1"/>
  <c r="F39" i="7"/>
  <c r="E716" i="9"/>
  <c r="E715" i="9" s="1"/>
  <c r="F174" i="9"/>
  <c r="F547" i="9"/>
  <c r="F546" i="9" s="1"/>
  <c r="F545" i="9" s="1"/>
  <c r="F937" i="7"/>
  <c r="G668" i="7"/>
  <c r="G667" i="7" s="1"/>
  <c r="G666" i="7" s="1"/>
  <c r="G658" i="7" s="1"/>
  <c r="G657" i="7" s="1"/>
  <c r="F667" i="7"/>
  <c r="G434" i="7"/>
  <c r="G433" i="7" s="1"/>
  <c r="G689" i="7"/>
  <c r="G688" i="7" s="1"/>
  <c r="G687" i="7" s="1"/>
  <c r="G694" i="7"/>
  <c r="G693" i="7" s="1"/>
  <c r="G685" i="7"/>
  <c r="G684" i="7" s="1"/>
  <c r="G683" i="7" s="1"/>
  <c r="G672" i="7" s="1"/>
  <c r="F67" i="7"/>
  <c r="G249" i="7"/>
  <c r="AE35" i="2"/>
  <c r="AD605" i="2"/>
  <c r="AD604" i="2" s="1"/>
  <c r="AD603" i="2" s="1"/>
  <c r="AD722" i="2"/>
  <c r="AD721" i="2" s="1"/>
  <c r="AD72" i="2"/>
  <c r="AD71" i="2" s="1"/>
  <c r="AD759" i="2"/>
  <c r="AE43" i="2"/>
  <c r="AE874" i="2"/>
  <c r="AE1089" i="2"/>
  <c r="AD501" i="2"/>
  <c r="AD500" i="2" s="1"/>
  <c r="AD499" i="2" s="1"/>
  <c r="AD130" i="2"/>
  <c r="AD124" i="2" s="1"/>
  <c r="AD924" i="2"/>
  <c r="AD923" i="2" s="1"/>
  <c r="AD35" i="2"/>
  <c r="AD34" i="2" s="1"/>
  <c r="AD29" i="2" s="1"/>
  <c r="AD28" i="2" s="1"/>
  <c r="AD400" i="2"/>
  <c r="AD399" i="2" s="1"/>
  <c r="AD687" i="2"/>
  <c r="AD686" i="2" s="1"/>
  <c r="AD685" i="2" s="1"/>
  <c r="AD677" i="2" s="1"/>
  <c r="AD688" i="2"/>
  <c r="AD447" i="2"/>
  <c r="AD446" i="2" s="1"/>
  <c r="AD1089" i="2"/>
  <c r="AD252" i="2"/>
  <c r="AD251" i="2" s="1"/>
  <c r="AD250" i="2" s="1"/>
  <c r="AD249" i="2" s="1"/>
  <c r="AD241" i="2" s="1"/>
  <c r="AD1029" i="2"/>
  <c r="AD1028" i="2" s="1"/>
  <c r="AD1027" i="2" s="1"/>
  <c r="AD1026" i="2" s="1"/>
  <c r="AE1029" i="2"/>
  <c r="AD1043" i="2"/>
  <c r="AD1042" i="2" s="1"/>
  <c r="AD1041" i="2" s="1"/>
  <c r="AD1040" i="2" s="1"/>
  <c r="AD361" i="2"/>
  <c r="AD360" i="2" s="1"/>
  <c r="AD359" i="2" s="1"/>
  <c r="AE811" i="2"/>
  <c r="AD157" i="2"/>
  <c r="AD387" i="2"/>
  <c r="AD386" i="2" s="1"/>
  <c r="AD736" i="2"/>
  <c r="AD735" i="2" s="1"/>
  <c r="AD564" i="2"/>
  <c r="AD557" i="2" s="1"/>
  <c r="AD785" i="2"/>
  <c r="AD784" i="2" s="1"/>
  <c r="AD783" i="2" s="1"/>
  <c r="AD782" i="2" s="1"/>
  <c r="AD781" i="2" s="1"/>
  <c r="AD816" i="2"/>
  <c r="AD815" i="2" s="1"/>
  <c r="AD814" i="2" s="1"/>
  <c r="AD808" i="2" s="1"/>
  <c r="AD874" i="2"/>
  <c r="AD873" i="2" s="1"/>
  <c r="AD872" i="2" s="1"/>
  <c r="AD871" i="2" s="1"/>
  <c r="AD870" i="2" s="1"/>
  <c r="AD1131" i="2"/>
  <c r="AD1127" i="2" s="1"/>
  <c r="G923" i="7" l="1"/>
  <c r="G920" i="7" s="1"/>
  <c r="G919" i="7" s="1"/>
  <c r="G918" i="7" s="1"/>
  <c r="G917" i="7" s="1"/>
  <c r="G990" i="7"/>
  <c r="F673" i="7"/>
  <c r="F223" i="7"/>
  <c r="E460" i="9"/>
  <c r="AD102" i="2"/>
  <c r="AD98" i="2" s="1"/>
  <c r="AD97" i="2" s="1"/>
  <c r="AD86" i="2" s="1"/>
  <c r="E31" i="10"/>
  <c r="H287" i="7"/>
  <c r="AD1017" i="2"/>
  <c r="AD922" i="2" s="1"/>
  <c r="AD544" i="2"/>
  <c r="AD543" i="2" s="1"/>
  <c r="AD542" i="2" s="1"/>
  <c r="E248" i="9"/>
  <c r="E247" i="9" s="1"/>
  <c r="E246" i="9" s="1"/>
  <c r="AD220" i="2"/>
  <c r="AD219" i="2" s="1"/>
  <c r="AD218" i="2" s="1"/>
  <c r="AD186" i="2"/>
  <c r="AD185" i="2" s="1"/>
  <c r="AD398" i="2"/>
  <c r="E278" i="9"/>
  <c r="F485" i="7"/>
  <c r="E320" i="9"/>
  <c r="E319" i="9" s="1"/>
  <c r="E318" i="9" s="1"/>
  <c r="D320" i="9"/>
  <c r="D319" i="9" s="1"/>
  <c r="D318" i="9" s="1"/>
  <c r="AE102" i="2"/>
  <c r="E758" i="9"/>
  <c r="AD807" i="2"/>
  <c r="E329" i="9"/>
  <c r="E328" i="9" s="1"/>
  <c r="AD282" i="2"/>
  <c r="AD281" i="2" s="1"/>
  <c r="AD267" i="2"/>
  <c r="AD266" i="2" s="1"/>
  <c r="AD1153" i="2"/>
  <c r="AD1152" i="2" s="1"/>
  <c r="AD1151" i="2" s="1"/>
  <c r="AE749" i="2"/>
  <c r="G686" i="7"/>
  <c r="G671" i="7" s="1"/>
  <c r="G670" i="7" s="1"/>
  <c r="G669" i="7" s="1"/>
  <c r="F624" i="9"/>
  <c r="F623" i="9" s="1"/>
  <c r="AE284" i="2"/>
  <c r="AE283" i="2" s="1"/>
  <c r="AE267" i="2" s="1"/>
  <c r="AE266" i="2" s="1"/>
  <c r="AD27" i="2"/>
  <c r="E455" i="9"/>
  <c r="D455" i="9"/>
  <c r="F218" i="7"/>
  <c r="E419" i="9"/>
  <c r="E708" i="9"/>
  <c r="E707" i="9" s="1"/>
  <c r="E706" i="9" s="1"/>
  <c r="AD720" i="2"/>
  <c r="AD719" i="2" s="1"/>
  <c r="AD718" i="2" s="1"/>
  <c r="G415" i="7"/>
  <c r="G414" i="7" s="1"/>
  <c r="G587" i="7"/>
  <c r="G586" i="7" s="1"/>
  <c r="G585" i="7" s="1"/>
  <c r="G584" i="7" s="1"/>
  <c r="AD353" i="2"/>
  <c r="AD340" i="2" s="1"/>
  <c r="AD641" i="2"/>
  <c r="AD640" i="2" s="1"/>
  <c r="AD633" i="2" s="1"/>
  <c r="F75" i="9"/>
  <c r="F74" i="9" s="1"/>
  <c r="F69" i="9" s="1"/>
  <c r="F26" i="9" s="1"/>
  <c r="AE23" i="2"/>
  <c r="AE22" i="2" s="1"/>
  <c r="H20" i="7"/>
  <c r="H19" i="7" s="1"/>
  <c r="H18" i="7" s="1"/>
  <c r="H17" i="7" s="1"/>
  <c r="H16" i="7" s="1"/>
  <c r="F544" i="9"/>
  <c r="F479" i="9" s="1"/>
  <c r="F171" i="9"/>
  <c r="F170" i="9" s="1"/>
  <c r="F169" i="9" s="1"/>
  <c r="F337" i="9"/>
  <c r="F336" i="9"/>
  <c r="F327" i="9" s="1"/>
  <c r="F242" i="9"/>
  <c r="F241" i="9"/>
  <c r="F240" i="9" s="1"/>
  <c r="F239" i="9" s="1"/>
  <c r="F238" i="9" s="1"/>
  <c r="F93" i="9"/>
  <c r="F82" i="9" s="1"/>
  <c r="F81" i="9" s="1"/>
  <c r="F116" i="9"/>
  <c r="F115" i="9" s="1"/>
  <c r="AD305" i="2"/>
  <c r="AD298" i="2" s="1"/>
  <c r="G385" i="7"/>
  <c r="G384" i="7" s="1"/>
  <c r="G383" i="7" s="1"/>
  <c r="AD498" i="2"/>
  <c r="AD490" i="2" s="1"/>
  <c r="E295" i="9"/>
  <c r="AD311" i="2"/>
  <c r="AD862" i="2"/>
  <c r="E277" i="9"/>
  <c r="E276" i="9" s="1"/>
  <c r="E275" i="9" s="1"/>
  <c r="AD418" i="2"/>
  <c r="E307" i="9"/>
  <c r="E306" i="9" s="1"/>
  <c r="AD899" i="2"/>
  <c r="AD898" i="2" s="1"/>
  <c r="AD897" i="2" s="1"/>
  <c r="AD1114" i="2"/>
  <c r="AD1113" i="2" s="1"/>
  <c r="AD1112" i="2" s="1"/>
  <c r="E69" i="9"/>
  <c r="AD516" i="2"/>
  <c r="AD508" i="2" s="1"/>
  <c r="F61" i="10"/>
  <c r="AD445" i="2"/>
  <c r="AD431" i="2" s="1"/>
  <c r="E539" i="9"/>
  <c r="E538" i="9" s="1"/>
  <c r="E537" i="9" s="1"/>
  <c r="AD764" i="2"/>
  <c r="AD763" i="2" s="1"/>
  <c r="AE72" i="2"/>
  <c r="AE71" i="2" s="1"/>
  <c r="AE1043" i="2"/>
  <c r="AE1042" i="2" s="1"/>
  <c r="AD259" i="2"/>
  <c r="AD602" i="2"/>
  <c r="AD595" i="2" s="1"/>
  <c r="AE1131" i="2"/>
  <c r="AE1127" i="2" s="1"/>
  <c r="AE252" i="2"/>
  <c r="AE251" i="2" s="1"/>
  <c r="AE785" i="2"/>
  <c r="AE784" i="2" s="1"/>
  <c r="AE387" i="2"/>
  <c r="AE386" i="2" s="1"/>
  <c r="AE759" i="2"/>
  <c r="D199" i="9"/>
  <c r="D196" i="9" s="1"/>
  <c r="D397" i="9"/>
  <c r="D396" i="9" s="1"/>
  <c r="D681" i="9"/>
  <c r="D88" i="9"/>
  <c r="D573" i="9"/>
  <c r="D731" i="9"/>
  <c r="D446" i="9"/>
  <c r="D431" i="9"/>
  <c r="D107" i="9"/>
  <c r="D106" i="9" s="1"/>
  <c r="D37" i="9"/>
  <c r="D439" i="9"/>
  <c r="D486" i="9"/>
  <c r="D276" i="9"/>
  <c r="D423" i="9"/>
  <c r="D420" i="9" s="1"/>
  <c r="D735" i="9"/>
  <c r="D734" i="9" s="1"/>
  <c r="D477" i="9"/>
  <c r="D46" i="9"/>
  <c r="D43" i="9" s="1"/>
  <c r="D141" i="9"/>
  <c r="D412" i="9"/>
  <c r="F483" i="7"/>
  <c r="F482" i="7" s="1"/>
  <c r="D723" i="9"/>
  <c r="D722" i="9" s="1"/>
  <c r="D435" i="9"/>
  <c r="D434" i="9" s="1"/>
  <c r="D463" i="9"/>
  <c r="D281" i="9"/>
  <c r="D278" i="9" s="1"/>
  <c r="D701" i="9"/>
  <c r="D155" i="9"/>
  <c r="D154" i="9" s="1"/>
  <c r="D716" i="9"/>
  <c r="D428" i="9"/>
  <c r="D753" i="9"/>
  <c r="D562" i="9"/>
  <c r="D719" i="9"/>
  <c r="D741" i="9"/>
  <c r="D461" i="9"/>
  <c r="D386" i="9"/>
  <c r="D385" i="9" s="1"/>
  <c r="D166" i="9"/>
  <c r="D451" i="9"/>
  <c r="D303" i="9"/>
  <c r="D333" i="9"/>
  <c r="D329" i="9" s="1"/>
  <c r="D586" i="9"/>
  <c r="D585" i="9" s="1"/>
  <c r="D584" i="9" s="1"/>
  <c r="D689" i="9"/>
  <c r="D688" i="9" s="1"/>
  <c r="D637" i="9"/>
  <c r="D417" i="9"/>
  <c r="D565" i="9"/>
  <c r="D443" i="9"/>
  <c r="D449" i="9"/>
  <c r="D309" i="9"/>
  <c r="D308" i="9" s="1"/>
  <c r="D35" i="9"/>
  <c r="D710" i="9"/>
  <c r="D336" i="9"/>
  <c r="D337" i="9"/>
  <c r="D703" i="9"/>
  <c r="D378" i="9"/>
  <c r="D377" i="9" s="1"/>
  <c r="D30" i="9"/>
  <c r="D686" i="9"/>
  <c r="D404" i="9"/>
  <c r="D403" i="9" s="1"/>
  <c r="D269" i="9"/>
  <c r="D578" i="9"/>
  <c r="D633" i="9"/>
  <c r="D632" i="9" s="1"/>
  <c r="D406" i="9"/>
  <c r="D640" i="9"/>
  <c r="D755" i="9"/>
  <c r="D204" i="9"/>
  <c r="D183" i="9"/>
  <c r="D576" i="9"/>
  <c r="D24" i="9"/>
  <c r="D728" i="9"/>
  <c r="D748" i="9"/>
  <c r="D747" i="9" s="1"/>
  <c r="D763" i="9"/>
  <c r="D316" i="9"/>
  <c r="D160" i="9"/>
  <c r="D49" i="9"/>
  <c r="D209" i="9"/>
  <c r="D261" i="9"/>
  <c r="D264" i="9"/>
  <c r="D737" i="9"/>
  <c r="D162" i="9"/>
  <c r="D71" i="9"/>
  <c r="D211" i="9"/>
  <c r="D618" i="9"/>
  <c r="E207" i="9"/>
  <c r="E206" i="9" s="1"/>
  <c r="F19" i="7"/>
  <c r="F18" i="7" s="1"/>
  <c r="E577" i="9"/>
  <c r="E576" i="9" s="1"/>
  <c r="E575" i="9" s="1"/>
  <c r="D609" i="9"/>
  <c r="D675" i="9"/>
  <c r="G595" i="7"/>
  <c r="G594" i="7" s="1"/>
  <c r="G593" i="7" s="1"/>
  <c r="G592" i="7" s="1"/>
  <c r="D191" i="9"/>
  <c r="E618" i="9"/>
  <c r="E617" i="9" s="1"/>
  <c r="D86" i="9"/>
  <c r="E33" i="9"/>
  <c r="E32" i="9" s="1"/>
  <c r="F661" i="7"/>
  <c r="F703" i="7"/>
  <c r="F702" i="7" s="1"/>
  <c r="E608" i="9"/>
  <c r="E607" i="9" s="1"/>
  <c r="E606" i="9" s="1"/>
  <c r="G72" i="7"/>
  <c r="G71" i="7" s="1"/>
  <c r="G70" i="7" s="1"/>
  <c r="G69" i="7" s="1"/>
  <c r="E694" i="9"/>
  <c r="E693" i="9" s="1"/>
  <c r="E692" i="9" s="1"/>
  <c r="E85" i="9"/>
  <c r="E84" i="9" s="1"/>
  <c r="E83" i="9" s="1"/>
  <c r="AE652" i="2"/>
  <c r="AE873" i="2"/>
  <c r="F693" i="7"/>
  <c r="F931" i="7"/>
  <c r="F927" i="7" s="1"/>
  <c r="F88" i="7"/>
  <c r="F794" i="7"/>
  <c r="F920" i="7"/>
  <c r="F156" i="7"/>
  <c r="F460" i="7"/>
  <c r="AE723" i="2"/>
  <c r="E199" i="9"/>
  <c r="E196" i="9" s="1"/>
  <c r="AE1123" i="2"/>
  <c r="AE495" i="2"/>
  <c r="AE349" i="2"/>
  <c r="F141" i="7"/>
  <c r="AE411" i="2"/>
  <c r="AE866" i="2"/>
  <c r="AE865" i="2" s="1"/>
  <c r="AE864" i="2" s="1"/>
  <c r="AE512" i="2"/>
  <c r="AE1028" i="2"/>
  <c r="AE564" i="2"/>
  <c r="AE51" i="2"/>
  <c r="F362" i="7"/>
  <c r="F635" i="7"/>
  <c r="F620" i="7"/>
  <c r="F982" i="7"/>
  <c r="F53" i="7"/>
  <c r="F257" i="7"/>
  <c r="F256" i="7" s="1"/>
  <c r="F255" i="7" s="1"/>
  <c r="F254" i="7" s="1"/>
  <c r="E204" i="9"/>
  <c r="E203" i="9" s="1"/>
  <c r="E291" i="9"/>
  <c r="E290" i="9" s="1"/>
  <c r="E289" i="9" s="1"/>
  <c r="AE714" i="2"/>
  <c r="AE308" i="2"/>
  <c r="AE307" i="2" s="1"/>
  <c r="AE306" i="2" s="1"/>
  <c r="AE1081" i="2"/>
  <c r="AE1080" i="2" s="1"/>
  <c r="AE1079" i="2" s="1"/>
  <c r="AE1156" i="2"/>
  <c r="AE803" i="2"/>
  <c r="AE236" i="2"/>
  <c r="AE176" i="2"/>
  <c r="AE1147" i="2"/>
  <c r="AE1146" i="2" s="1"/>
  <c r="AE1145" i="2" s="1"/>
  <c r="AE792" i="2"/>
  <c r="AE627" i="2"/>
  <c r="AE626" i="2" s="1"/>
  <c r="AE625" i="2" s="1"/>
  <c r="AE181" i="2"/>
  <c r="AE30" i="2"/>
  <c r="AE687" i="2"/>
  <c r="F370" i="7"/>
  <c r="G806" i="7"/>
  <c r="F896" i="7"/>
  <c r="F800" i="7"/>
  <c r="F663" i="7"/>
  <c r="F848" i="7"/>
  <c r="F946" i="7"/>
  <c r="F683" i="7"/>
  <c r="F181" i="7"/>
  <c r="F180" i="7" s="1"/>
  <c r="F851" i="7"/>
  <c r="F718" i="7"/>
  <c r="F638" i="7"/>
  <c r="F797" i="7"/>
  <c r="F34" i="7"/>
  <c r="F125" i="7"/>
  <c r="AE263" i="2"/>
  <c r="AE189" i="2"/>
  <c r="F242" i="7"/>
  <c r="AE589" i="2"/>
  <c r="AE588" i="2" s="1"/>
  <c r="AE587" i="2" s="1"/>
  <c r="F148" i="7"/>
  <c r="F623" i="7"/>
  <c r="F687" i="7"/>
  <c r="AE433" i="2"/>
  <c r="AE192" i="2"/>
  <c r="AE681" i="2"/>
  <c r="AE680" i="2" s="1"/>
  <c r="AE679" i="2" s="1"/>
  <c r="AE678" i="2" s="1"/>
  <c r="AE553" i="2"/>
  <c r="AE486" i="2"/>
  <c r="AE810" i="2"/>
  <c r="G248" i="7"/>
  <c r="G247" i="7" s="1"/>
  <c r="G246" i="7" s="1"/>
  <c r="F206" i="7"/>
  <c r="F195" i="7" s="1"/>
  <c r="F464" i="7"/>
  <c r="F463" i="7" s="1"/>
  <c r="F72" i="7"/>
  <c r="F587" i="7"/>
  <c r="F284" i="7"/>
  <c r="F393" i="7"/>
  <c r="F138" i="7"/>
  <c r="AE405" i="2"/>
  <c r="AE245" i="2"/>
  <c r="F764" i="7"/>
  <c r="AE1073" i="2"/>
  <c r="F603" i="7"/>
  <c r="AE355" i="2"/>
  <c r="AE604" i="2"/>
  <c r="AE1161" i="2"/>
  <c r="F936" i="7"/>
  <c r="F91" i="7"/>
  <c r="F119" i="7"/>
  <c r="F247" i="7"/>
  <c r="F431" i="7"/>
  <c r="F50" i="7"/>
  <c r="F380" i="7"/>
  <c r="F159" i="7"/>
  <c r="F251" i="7"/>
  <c r="F609" i="7"/>
  <c r="AE906" i="2"/>
  <c r="AE899" i="2" s="1"/>
  <c r="E183" i="9"/>
  <c r="E182" i="9" s="1"/>
  <c r="E181" i="9" s="1"/>
  <c r="AE68" i="2"/>
  <c r="F954" i="7"/>
  <c r="AE843" i="2"/>
  <c r="F820" i="7"/>
  <c r="AE447" i="2"/>
  <c r="AE816" i="2"/>
  <c r="AE688" i="2"/>
  <c r="AE361" i="2"/>
  <c r="AE438" i="2"/>
  <c r="AE501" i="2"/>
  <c r="AE1087" i="2"/>
  <c r="AE42" i="2"/>
  <c r="AE421" i="2"/>
  <c r="AE34" i="2"/>
  <c r="G67" i="7"/>
  <c r="G64" i="7" s="1"/>
  <c r="G63" i="7" s="1"/>
  <c r="G58" i="7" s="1"/>
  <c r="G57" i="7" s="1"/>
  <c r="F666" i="7"/>
  <c r="F38" i="7"/>
  <c r="F129" i="7"/>
  <c r="F277" i="7"/>
  <c r="F574" i="7"/>
  <c r="F943" i="7"/>
  <c r="F437" i="7"/>
  <c r="F783" i="7"/>
  <c r="F167" i="7"/>
  <c r="F862" i="7"/>
  <c r="F211" i="7"/>
  <c r="F454" i="7"/>
  <c r="F768" i="7"/>
  <c r="G911" i="7"/>
  <c r="G910" i="7" s="1"/>
  <c r="G909" i="7" s="1"/>
  <c r="F98" i="7"/>
  <c r="F743" i="7"/>
  <c r="F739" i="7" s="1"/>
  <c r="AE226" i="2"/>
  <c r="AE315" i="2"/>
  <c r="AE314" i="2" s="1"/>
  <c r="F843" i="7"/>
  <c r="AE736" i="2"/>
  <c r="AE735" i="2" s="1"/>
  <c r="E581" i="9"/>
  <c r="AE1020" i="2"/>
  <c r="AE926" i="2"/>
  <c r="AE401" i="2"/>
  <c r="AE222" i="2"/>
  <c r="F495" i="7"/>
  <c r="AE892" i="2"/>
  <c r="AE669" i="2"/>
  <c r="AE327" i="2"/>
  <c r="AE214" i="2"/>
  <c r="AE161" i="2"/>
  <c r="F876" i="7"/>
  <c r="AD466" i="2"/>
  <c r="F214" i="7"/>
  <c r="AE1036" i="2"/>
  <c r="AE301" i="2"/>
  <c r="AE232" i="2"/>
  <c r="AE333" i="2"/>
  <c r="AE199" i="2"/>
  <c r="AE168" i="2"/>
  <c r="E130" i="9"/>
  <c r="F60" i="7"/>
  <c r="F390" i="7"/>
  <c r="F164" i="7"/>
  <c r="AE126" i="2"/>
  <c r="AE135" i="2"/>
  <c r="AE131" i="2"/>
  <c r="F399" i="7"/>
  <c r="F810" i="7"/>
  <c r="F807" i="7" s="1"/>
  <c r="E686" i="9"/>
  <c r="E685" i="9" s="1"/>
  <c r="E684" i="9" s="1"/>
  <c r="E683" i="9" s="1"/>
  <c r="E226" i="9"/>
  <c r="E176" i="9"/>
  <c r="F905" i="7"/>
  <c r="F903" i="7"/>
  <c r="F902" i="7" s="1"/>
  <c r="E363" i="9"/>
  <c r="E362" i="9" s="1"/>
  <c r="E361" i="9" s="1"/>
  <c r="E341" i="9" s="1"/>
  <c r="F815" i="7"/>
  <c r="E51" i="9"/>
  <c r="G934" i="7"/>
  <c r="G925" i="7" s="1"/>
  <c r="E336" i="9"/>
  <c r="E433" i="9"/>
  <c r="E573" i="9"/>
  <c r="E572" i="9" s="1"/>
  <c r="E171" i="9"/>
  <c r="E153" i="9"/>
  <c r="E152" i="9" s="1"/>
  <c r="E151" i="9" s="1"/>
  <c r="F984" i="7"/>
  <c r="E746" i="9"/>
  <c r="E631" i="9"/>
  <c r="E630" i="9" s="1"/>
  <c r="E629" i="9" s="1"/>
  <c r="F911" i="7"/>
  <c r="E721" i="9"/>
  <c r="E483" i="9"/>
  <c r="E482" i="9" s="1"/>
  <c r="E481" i="9" s="1"/>
  <c r="E480" i="9" s="1"/>
  <c r="E116" i="9"/>
  <c r="E115" i="9" s="1"/>
  <c r="E395" i="9"/>
  <c r="E394" i="9" s="1"/>
  <c r="F981" i="7"/>
  <c r="E378" i="9"/>
  <c r="E377" i="9" s="1"/>
  <c r="E376" i="9" s="1"/>
  <c r="E733" i="9"/>
  <c r="E265" i="9"/>
  <c r="E264" i="9" s="1"/>
  <c r="E263" i="9" s="1"/>
  <c r="E544" i="9"/>
  <c r="E674" i="9"/>
  <c r="E673" i="9" s="1"/>
  <c r="F568" i="7"/>
  <c r="F567" i="7" s="1"/>
  <c r="G656" i="7"/>
  <c r="G655" i="7" s="1"/>
  <c r="E93" i="9"/>
  <c r="E42" i="9"/>
  <c r="E41" i="9" s="1"/>
  <c r="F595" i="7"/>
  <c r="F64" i="7"/>
  <c r="E242" i="9"/>
  <c r="E241" i="9"/>
  <c r="E240" i="9" s="1"/>
  <c r="E239" i="9" s="1"/>
  <c r="E238" i="9" s="1"/>
  <c r="E135" i="9"/>
  <c r="E134" i="9" s="1"/>
  <c r="E560" i="9"/>
  <c r="E559" i="9" s="1"/>
  <c r="E558" i="9" s="1"/>
  <c r="E390" i="9"/>
  <c r="AD734" i="2"/>
  <c r="AD733" i="2" s="1"/>
  <c r="AE1088" i="2"/>
  <c r="AD1087" i="2"/>
  <c r="AD1086" i="2" s="1"/>
  <c r="AD1085" i="2" s="1"/>
  <c r="AD1088" i="2"/>
  <c r="AD732" i="2" l="1"/>
  <c r="AD717" i="2" s="1"/>
  <c r="D460" i="9"/>
  <c r="AD297" i="2"/>
  <c r="AD896" i="2"/>
  <c r="AD888" i="2" s="1"/>
  <c r="D376" i="9"/>
  <c r="F217" i="7"/>
  <c r="E454" i="9"/>
  <c r="E415" i="9" s="1"/>
  <c r="E414" i="9" s="1"/>
  <c r="E479" i="9"/>
  <c r="E327" i="9"/>
  <c r="AD240" i="2"/>
  <c r="F960" i="7"/>
  <c r="F959" i="7" s="1"/>
  <c r="F958" i="7" s="1"/>
  <c r="F957" i="7" s="1"/>
  <c r="E216" i="9"/>
  <c r="E215" i="9" s="1"/>
  <c r="E214" i="9" s="1"/>
  <c r="F686" i="7"/>
  <c r="E271" i="9"/>
  <c r="E245" i="9" s="1"/>
  <c r="F436" i="7"/>
  <c r="F435" i="7" s="1"/>
  <c r="AE400" i="2"/>
  <c r="G56" i="7"/>
  <c r="E288" i="9"/>
  <c r="F168" i="9"/>
  <c r="E82" i="9"/>
  <c r="E81" i="9" s="1"/>
  <c r="AD172" i="2"/>
  <c r="F100" i="9"/>
  <c r="F80" i="9" s="1"/>
  <c r="AE1072" i="2"/>
  <c r="AE1071" i="2" s="1"/>
  <c r="G357" i="7"/>
  <c r="H15" i="7"/>
  <c r="H987" i="7" s="1"/>
  <c r="F25" i="10"/>
  <c r="F32" i="10"/>
  <c r="G908" i="7"/>
  <c r="G907" i="7" s="1"/>
  <c r="AE517" i="2"/>
  <c r="AE516" i="2"/>
  <c r="D65" i="10"/>
  <c r="D64" i="10" s="1"/>
  <c r="F980" i="7"/>
  <c r="E672" i="9"/>
  <c r="E671" i="9" s="1"/>
  <c r="E643" i="9" s="1"/>
  <c r="F386" i="7"/>
  <c r="F385" i="7" s="1"/>
  <c r="E568" i="9"/>
  <c r="E567" i="9" s="1"/>
  <c r="AD594" i="2"/>
  <c r="AD593" i="2" s="1"/>
  <c r="G577" i="7"/>
  <c r="G449" i="7" s="1"/>
  <c r="AD632" i="2"/>
  <c r="AD631" i="2" s="1"/>
  <c r="AD79" i="2"/>
  <c r="E375" i="9"/>
  <c r="E40" i="9"/>
  <c r="E26" i="9" s="1"/>
  <c r="F430" i="7"/>
  <c r="F429" i="7" s="1"/>
  <c r="F416" i="7" s="1"/>
  <c r="F660" i="7"/>
  <c r="E580" i="9"/>
  <c r="D203" i="9"/>
  <c r="D34" i="9"/>
  <c r="D442" i="9"/>
  <c r="D433" i="9" s="1"/>
  <c r="D740" i="9"/>
  <c r="D427" i="9"/>
  <c r="E615" i="9"/>
  <c r="D226" i="9"/>
  <c r="D608" i="9"/>
  <c r="D70" i="9"/>
  <c r="D575" i="9"/>
  <c r="D182" i="9"/>
  <c r="D483" i="9"/>
  <c r="D538" i="9"/>
  <c r="D564" i="9"/>
  <c r="D302" i="9"/>
  <c r="D165" i="9"/>
  <c r="D718" i="9"/>
  <c r="D752" i="9"/>
  <c r="D746" i="9" s="1"/>
  <c r="D715" i="9"/>
  <c r="D700" i="9"/>
  <c r="D411" i="9"/>
  <c r="D275" i="9"/>
  <c r="D271" i="9" s="1"/>
  <c r="D485" i="9"/>
  <c r="D247" i="9"/>
  <c r="D85" i="9"/>
  <c r="D674" i="9"/>
  <c r="D673" i="9" s="1"/>
  <c r="D295" i="9"/>
  <c r="D709" i="9"/>
  <c r="D448" i="9"/>
  <c r="D416" i="9"/>
  <c r="D561" i="9"/>
  <c r="D140" i="9"/>
  <c r="D136" i="9" s="1"/>
  <c r="D135" i="9" s="1"/>
  <c r="D476" i="9"/>
  <c r="D263" i="9"/>
  <c r="D208" i="9"/>
  <c r="D762" i="9"/>
  <c r="D758" i="9" s="1"/>
  <c r="D727" i="9"/>
  <c r="D430" i="9"/>
  <c r="D730" i="9"/>
  <c r="D87" i="9"/>
  <c r="D260" i="9"/>
  <c r="D48" i="9"/>
  <c r="D159" i="9"/>
  <c r="D315" i="9"/>
  <c r="D23" i="9"/>
  <c r="D268" i="9"/>
  <c r="D685" i="9"/>
  <c r="D29" i="9"/>
  <c r="D253" i="9"/>
  <c r="D143" i="9"/>
  <c r="D445" i="9"/>
  <c r="D572" i="9"/>
  <c r="D680" i="9"/>
  <c r="F942" i="7"/>
  <c r="F738" i="7"/>
  <c r="E714" i="9"/>
  <c r="D612" i="9"/>
  <c r="E57" i="10"/>
  <c r="F935" i="7"/>
  <c r="F856" i="7"/>
  <c r="F696" i="7"/>
  <c r="D190" i="9"/>
  <c r="D186" i="9" s="1"/>
  <c r="E623" i="9"/>
  <c r="D617" i="9"/>
  <c r="F934" i="7"/>
  <c r="F132" i="7"/>
  <c r="F128" i="7" s="1"/>
  <c r="F910" i="7"/>
  <c r="F909" i="7" s="1"/>
  <c r="AE313" i="2"/>
  <c r="AE312" i="2" s="1"/>
  <c r="AD465" i="2"/>
  <c r="AE160" i="2"/>
  <c r="AE642" i="2"/>
  <c r="AE641" i="2" s="1"/>
  <c r="AE640" i="2" s="1"/>
  <c r="F494" i="7"/>
  <c r="AE925" i="2"/>
  <c r="AE1019" i="2"/>
  <c r="AE41" i="2"/>
  <c r="F71" i="7"/>
  <c r="AE1027" i="2"/>
  <c r="AE410" i="2"/>
  <c r="F152" i="7"/>
  <c r="F398" i="7"/>
  <c r="F763" i="7"/>
  <c r="AE244" i="2"/>
  <c r="AE262" i="2"/>
  <c r="F895" i="7"/>
  <c r="F361" i="7"/>
  <c r="AE494" i="2"/>
  <c r="AE493" i="2" s="1"/>
  <c r="F459" i="7"/>
  <c r="AE1041" i="2"/>
  <c r="F376" i="7"/>
  <c r="F629" i="7"/>
  <c r="F110" i="7"/>
  <c r="F788" i="7"/>
  <c r="F983" i="7"/>
  <c r="G916" i="7"/>
  <c r="E195" i="9"/>
  <c r="E194" i="9" s="1"/>
  <c r="E193" i="9" s="1"/>
  <c r="F901" i="7"/>
  <c r="AE300" i="2"/>
  <c r="F875" i="7"/>
  <c r="AE213" i="2"/>
  <c r="AE326" i="2"/>
  <c r="AE668" i="2"/>
  <c r="AE891" i="2"/>
  <c r="F842" i="7"/>
  <c r="F767" i="7"/>
  <c r="F276" i="7"/>
  <c r="AE420" i="2"/>
  <c r="AE1086" i="2"/>
  <c r="AE1085" i="2" s="1"/>
  <c r="F819" i="7"/>
  <c r="AE842" i="2"/>
  <c r="F246" i="7"/>
  <c r="F283" i="7"/>
  <c r="F586" i="7"/>
  <c r="F241" i="7"/>
  <c r="AE783" i="2"/>
  <c r="F717" i="7"/>
  <c r="AE1011" i="2"/>
  <c r="F369" i="7"/>
  <c r="AE180" i="2"/>
  <c r="AE695" i="2"/>
  <c r="AE511" i="2"/>
  <c r="F63" i="7"/>
  <c r="F979" i="7"/>
  <c r="F814" i="7"/>
  <c r="F904" i="7"/>
  <c r="AE1035" i="2"/>
  <c r="F453" i="7"/>
  <c r="AE29" i="2"/>
  <c r="AE437" i="2"/>
  <c r="F953" i="7"/>
  <c r="F602" i="7"/>
  <c r="F33" i="7"/>
  <c r="F746" i="7"/>
  <c r="AE557" i="2"/>
  <c r="F594" i="7"/>
  <c r="F847" i="7"/>
  <c r="AE167" i="2"/>
  <c r="AE221" i="2"/>
  <c r="AE220" i="2" s="1"/>
  <c r="AE219" i="2" s="1"/>
  <c r="F773" i="7"/>
  <c r="F97" i="7"/>
  <c r="F782" i="7"/>
  <c r="AE360" i="2"/>
  <c r="F250" i="7"/>
  <c r="F481" i="7"/>
  <c r="AE603" i="2"/>
  <c r="AE602" i="2" s="1"/>
  <c r="AE595" i="2" s="1"/>
  <c r="AE354" i="2"/>
  <c r="AE485" i="2"/>
  <c r="AE686" i="2"/>
  <c r="AE1155" i="2"/>
  <c r="AD711" i="2"/>
  <c r="AD710" i="2" s="1"/>
  <c r="AD709" i="2" s="1"/>
  <c r="AE250" i="2"/>
  <c r="AE98" i="2"/>
  <c r="F80" i="7"/>
  <c r="F672" i="7"/>
  <c r="F44" i="7"/>
  <c r="F614" i="7"/>
  <c r="AE198" i="2"/>
  <c r="AE332" i="2"/>
  <c r="AE331" i="2" s="1"/>
  <c r="AE500" i="2"/>
  <c r="AE499" i="2" s="1"/>
  <c r="AE815" i="2"/>
  <c r="AE446" i="2"/>
  <c r="AE67" i="2"/>
  <c r="F608" i="7"/>
  <c r="AE1160" i="2"/>
  <c r="AE809" i="2"/>
  <c r="AE552" i="2"/>
  <c r="AE1096" i="2"/>
  <c r="AE1095" i="2" s="1"/>
  <c r="AE432" i="2"/>
  <c r="F147" i="7"/>
  <c r="AE188" i="2"/>
  <c r="F124" i="7"/>
  <c r="AE175" i="2"/>
  <c r="AE802" i="2"/>
  <c r="AE713" i="2"/>
  <c r="AE712" i="2" s="1"/>
  <c r="AE21" i="2"/>
  <c r="AE50" i="2"/>
  <c r="AE348" i="2"/>
  <c r="AE1122" i="2"/>
  <c r="AE722" i="2"/>
  <c r="F17" i="7"/>
  <c r="F919" i="7"/>
  <c r="AE872" i="2"/>
  <c r="G805" i="7"/>
  <c r="F163" i="7"/>
  <c r="F162" i="7" s="1"/>
  <c r="D23" i="10" s="1"/>
  <c r="F59" i="7"/>
  <c r="AE125" i="2"/>
  <c r="AE130" i="2"/>
  <c r="E170" i="9"/>
  <c r="E169" i="9" s="1"/>
  <c r="E102" i="9"/>
  <c r="AD692" i="2" l="1"/>
  <c r="D454" i="9"/>
  <c r="D216" i="9"/>
  <c r="D215" i="9" s="1"/>
  <c r="D214" i="9" s="1"/>
  <c r="F713" i="9"/>
  <c r="F775" i="9" s="1"/>
  <c r="AE174" i="2"/>
  <c r="AE173" i="2" s="1"/>
  <c r="E244" i="9"/>
  <c r="F737" i="7"/>
  <c r="F716" i="7"/>
  <c r="F715" i="7" s="1"/>
  <c r="F714" i="7" s="1"/>
  <c r="D708" i="9"/>
  <c r="D707" i="9" s="1"/>
  <c r="D706" i="9" s="1"/>
  <c r="F56" i="10"/>
  <c r="E19" i="10"/>
  <c r="E101" i="9"/>
  <c r="E100" i="9" s="1"/>
  <c r="E80" i="9" s="1"/>
  <c r="D568" i="9"/>
  <c r="D567" i="9" s="1"/>
  <c r="AD19" i="2"/>
  <c r="E374" i="9"/>
  <c r="AE1070" i="2"/>
  <c r="F855" i="7"/>
  <c r="F659" i="7"/>
  <c r="F658" i="7" s="1"/>
  <c r="F657" i="7" s="1"/>
  <c r="F194" i="7"/>
  <c r="AE734" i="2"/>
  <c r="AE733" i="2" s="1"/>
  <c r="F941" i="7"/>
  <c r="D195" i="9"/>
  <c r="D194" i="9" s="1"/>
  <c r="D259" i="9"/>
  <c r="D537" i="9"/>
  <c r="D102" i="9"/>
  <c r="E614" i="9"/>
  <c r="D207" i="9"/>
  <c r="D42" i="9"/>
  <c r="D22" i="9"/>
  <c r="D314" i="9"/>
  <c r="D153" i="9"/>
  <c r="D84" i="9"/>
  <c r="D419" i="9"/>
  <c r="D560" i="9"/>
  <c r="D631" i="9"/>
  <c r="D684" i="9"/>
  <c r="D246" i="9"/>
  <c r="D694" i="9"/>
  <c r="D307" i="9"/>
  <c r="D482" i="9"/>
  <c r="D607" i="9"/>
  <c r="D606" i="9" s="1"/>
  <c r="D328" i="9"/>
  <c r="D327" i="9" s="1"/>
  <c r="D130" i="9"/>
  <c r="D33" i="9"/>
  <c r="D28" i="9"/>
  <c r="D267" i="9"/>
  <c r="D733" i="9"/>
  <c r="D410" i="9"/>
  <c r="D721" i="9"/>
  <c r="D301" i="9"/>
  <c r="D181" i="9"/>
  <c r="D395" i="9"/>
  <c r="E579" i="9"/>
  <c r="E168" i="9"/>
  <c r="F806" i="7"/>
  <c r="F805" i="7" s="1"/>
  <c r="F804" i="7" s="1"/>
  <c r="F803" i="7" s="1"/>
  <c r="E23" i="10"/>
  <c r="D611" i="9"/>
  <c r="D610" i="9" s="1"/>
  <c r="E60" i="10"/>
  <c r="D291" i="9"/>
  <c r="D290" i="9" s="1"/>
  <c r="E22" i="10"/>
  <c r="G899" i="7"/>
  <c r="F58" i="7"/>
  <c r="F57" i="7" s="1"/>
  <c r="AE20" i="2"/>
  <c r="AE814" i="2"/>
  <c r="AE399" i="2"/>
  <c r="F772" i="7"/>
  <c r="AE282" i="2"/>
  <c r="AE281" i="2" s="1"/>
  <c r="F240" i="7"/>
  <c r="AE841" i="2"/>
  <c r="F762" i="7"/>
  <c r="F900" i="7"/>
  <c r="D57" i="10" s="1"/>
  <c r="AE1040" i="2"/>
  <c r="AE261" i="2"/>
  <c r="AE260" i="2" s="1"/>
  <c r="AE764" i="2"/>
  <c r="AE763" i="2" s="1"/>
  <c r="AE159" i="2"/>
  <c r="F16" i="7"/>
  <c r="D18" i="10" s="1"/>
  <c r="AD1094" i="2"/>
  <c r="AD1077" i="2" s="1"/>
  <c r="AD879" i="2" s="1"/>
  <c r="AE49" i="2"/>
  <c r="F146" i="7"/>
  <c r="F480" i="7"/>
  <c r="F479" i="7" s="1"/>
  <c r="F846" i="7"/>
  <c r="F585" i="7"/>
  <c r="F245" i="7"/>
  <c r="AE890" i="2"/>
  <c r="AE325" i="2"/>
  <c r="F874" i="7"/>
  <c r="F894" i="7"/>
  <c r="AE1026" i="2"/>
  <c r="AE1018" i="2"/>
  <c r="F701" i="7"/>
  <c r="F700" i="7" s="1"/>
  <c r="AE66" i="2"/>
  <c r="AE97" i="2"/>
  <c r="AE86" i="2" s="1"/>
  <c r="AE685" i="2"/>
  <c r="F781" i="7"/>
  <c r="AE166" i="2"/>
  <c r="AE165" i="2" s="1"/>
  <c r="AE624" i="2"/>
  <c r="F32" i="7"/>
  <c r="F601" i="7"/>
  <c r="AE586" i="2"/>
  <c r="F818" i="7"/>
  <c r="F275" i="7"/>
  <c r="F291" i="7"/>
  <c r="F290" i="7" s="1"/>
  <c r="F289" i="7" s="1"/>
  <c r="F288" i="7" s="1"/>
  <c r="F287" i="7" s="1"/>
  <c r="F787" i="7"/>
  <c r="F375" i="7"/>
  <c r="F458" i="7"/>
  <c r="AE492" i="2"/>
  <c r="AD385" i="2"/>
  <c r="AD374" i="2" s="1"/>
  <c r="AE243" i="2"/>
  <c r="F70" i="7"/>
  <c r="F493" i="7"/>
  <c r="F492" i="7" s="1"/>
  <c r="AD464" i="2"/>
  <c r="AD430" i="2" s="1"/>
  <c r="AE721" i="2"/>
  <c r="AE720" i="2" s="1"/>
  <c r="F123" i="7"/>
  <c r="AE187" i="2"/>
  <c r="AE186" i="2" s="1"/>
  <c r="AE551" i="2"/>
  <c r="AE544" i="2" s="1"/>
  <c r="F607" i="7"/>
  <c r="F613" i="7"/>
  <c r="AE249" i="2"/>
  <c r="AE359" i="2"/>
  <c r="AE353" i="2" s="1"/>
  <c r="AE1144" i="2"/>
  <c r="AE898" i="2"/>
  <c r="F452" i="7"/>
  <c r="AE1010" i="2"/>
  <c r="AE991" i="2" s="1"/>
  <c r="AE941" i="2" s="1"/>
  <c r="AE833" i="2"/>
  <c r="F360" i="7"/>
  <c r="F151" i="7"/>
  <c r="AE924" i="2"/>
  <c r="AE347" i="2"/>
  <c r="AE801" i="2"/>
  <c r="F566" i="7"/>
  <c r="AE510" i="2"/>
  <c r="F628" i="7"/>
  <c r="F210" i="7"/>
  <c r="AE871" i="2"/>
  <c r="AE870" i="2" s="1"/>
  <c r="F918" i="7"/>
  <c r="AE1121" i="2"/>
  <c r="AE1114" i="2" s="1"/>
  <c r="F37" i="7"/>
  <c r="F79" i="7"/>
  <c r="AE385" i="2"/>
  <c r="AE374" i="2" s="1"/>
  <c r="AE1154" i="2"/>
  <c r="AE1153" i="2" s="1"/>
  <c r="AE484" i="2"/>
  <c r="G245" i="7"/>
  <c r="F96" i="7"/>
  <c r="F593" i="7"/>
  <c r="F926" i="7"/>
  <c r="F925" i="7" s="1"/>
  <c r="AE863" i="2"/>
  <c r="F952" i="7"/>
  <c r="AE28" i="2"/>
  <c r="AE1034" i="2"/>
  <c r="AE1078" i="2"/>
  <c r="AE694" i="2"/>
  <c r="F368" i="7"/>
  <c r="AE782" i="2"/>
  <c r="F282" i="7"/>
  <c r="AE419" i="2"/>
  <c r="AE417" i="2" s="1"/>
  <c r="F841" i="7"/>
  <c r="AE667" i="2"/>
  <c r="AE633" i="2" s="1"/>
  <c r="AE212" i="2"/>
  <c r="AE299" i="2"/>
  <c r="F109" i="7"/>
  <c r="F397" i="7"/>
  <c r="AE409" i="2"/>
  <c r="F179" i="7"/>
  <c r="AE40" i="2"/>
  <c r="G804" i="7"/>
  <c r="AE124" i="2"/>
  <c r="AB751" i="2"/>
  <c r="D207" i="7"/>
  <c r="D206" i="7" s="1"/>
  <c r="D204" i="7"/>
  <c r="D203" i="7" s="1"/>
  <c r="E610" i="9" l="1"/>
  <c r="E593" i="9" s="1"/>
  <c r="E583" i="9" s="1"/>
  <c r="AE732" i="2"/>
  <c r="D593" i="9"/>
  <c r="F940" i="7"/>
  <c r="F939" i="7" s="1"/>
  <c r="D60" i="10" s="1"/>
  <c r="AE185" i="2"/>
  <c r="AE398" i="2"/>
  <c r="D245" i="9"/>
  <c r="F38" i="10"/>
  <c r="F46" i="10"/>
  <c r="AE862" i="2"/>
  <c r="AE79" i="2"/>
  <c r="AD373" i="2"/>
  <c r="D83" i="9"/>
  <c r="D481" i="9"/>
  <c r="D394" i="9"/>
  <c r="D32" i="9"/>
  <c r="D185" i="9"/>
  <c r="D630" i="9"/>
  <c r="D559" i="9"/>
  <c r="D313" i="9"/>
  <c r="D206" i="9"/>
  <c r="D714" i="9"/>
  <c r="D415" i="9"/>
  <c r="D21" i="9"/>
  <c r="D27" i="9"/>
  <c r="D693" i="9"/>
  <c r="D152" i="9"/>
  <c r="D51" i="9"/>
  <c r="E578" i="9"/>
  <c r="D193" i="9"/>
  <c r="D409" i="9"/>
  <c r="D306" i="9"/>
  <c r="D683" i="9"/>
  <c r="D134" i="9"/>
  <c r="D41" i="9"/>
  <c r="D672" i="9"/>
  <c r="E55" i="10"/>
  <c r="E54" i="10" s="1"/>
  <c r="F239" i="7"/>
  <c r="E62" i="10"/>
  <c r="E50" i="10"/>
  <c r="E49" i="10"/>
  <c r="E18" i="10"/>
  <c r="G239" i="7"/>
  <c r="G170" i="7" s="1"/>
  <c r="E27" i="10"/>
  <c r="E29" i="10"/>
  <c r="E28" i="10" s="1"/>
  <c r="AE311" i="2"/>
  <c r="F396" i="7"/>
  <c r="F592" i="7"/>
  <c r="AE483" i="2"/>
  <c r="AE800" i="2"/>
  <c r="F359" i="7"/>
  <c r="AE897" i="2"/>
  <c r="AE896" i="2" s="1"/>
  <c r="AE456" i="2"/>
  <c r="AE445" i="2" s="1"/>
  <c r="AE431" i="2" s="1"/>
  <c r="AE430" i="2" s="1"/>
  <c r="AE491" i="2"/>
  <c r="F178" i="7"/>
  <c r="F108" i="7"/>
  <c r="AE781" i="2"/>
  <c r="AE693" i="2"/>
  <c r="F78" i="7"/>
  <c r="F209" i="7"/>
  <c r="AE832" i="2"/>
  <c r="AE305" i="2"/>
  <c r="F69" i="7"/>
  <c r="F374" i="7"/>
  <c r="F817" i="7"/>
  <c r="F671" i="7"/>
  <c r="AE711" i="2"/>
  <c r="AE48" i="2"/>
  <c r="F281" i="7"/>
  <c r="F95" i="7"/>
  <c r="F908" i="7"/>
  <c r="F907" i="7" s="1"/>
  <c r="AE509" i="2"/>
  <c r="AE923" i="2"/>
  <c r="AE1143" i="2"/>
  <c r="AE340" i="2"/>
  <c r="AE585" i="2"/>
  <c r="F600" i="7"/>
  <c r="AE623" i="2"/>
  <c r="F584" i="7"/>
  <c r="F145" i="7"/>
  <c r="F144" i="7" s="1"/>
  <c r="AE158" i="2"/>
  <c r="F761" i="7"/>
  <c r="F771" i="7"/>
  <c r="AE418" i="2"/>
  <c r="F367" i="7"/>
  <c r="F951" i="7"/>
  <c r="F122" i="7"/>
  <c r="AD429" i="2"/>
  <c r="AE242" i="2"/>
  <c r="F786" i="7"/>
  <c r="F274" i="7"/>
  <c r="AE498" i="2"/>
  <c r="AE65" i="2"/>
  <c r="AE1152" i="2"/>
  <c r="AE1151" i="2" s="1"/>
  <c r="AE1094" i="2"/>
  <c r="AE1077" i="2" s="1"/>
  <c r="F893" i="7"/>
  <c r="F434" i="7"/>
  <c r="F433" i="7" s="1"/>
  <c r="F917" i="7"/>
  <c r="F627" i="7"/>
  <c r="F565" i="7"/>
  <c r="F546" i="7" s="1"/>
  <c r="F451" i="7"/>
  <c r="F612" i="7"/>
  <c r="F457" i="7"/>
  <c r="F31" i="7"/>
  <c r="F23" i="7" s="1"/>
  <c r="AE677" i="2"/>
  <c r="AE1069" i="2"/>
  <c r="AE808" i="2"/>
  <c r="AE1017" i="2"/>
  <c r="F873" i="7"/>
  <c r="AE889" i="2"/>
  <c r="F865" i="7"/>
  <c r="F854" i="7" s="1"/>
  <c r="F840" i="7" s="1"/>
  <c r="AE218" i="2"/>
  <c r="D63" i="10"/>
  <c r="G803" i="7"/>
  <c r="G779" i="7" s="1"/>
  <c r="AD18" i="2" l="1"/>
  <c r="AD1179" i="2" s="1"/>
  <c r="AE922" i="2"/>
  <c r="F839" i="7"/>
  <c r="AE490" i="2"/>
  <c r="G15" i="7"/>
  <c r="AE172" i="2"/>
  <c r="AE27" i="2"/>
  <c r="AE19" i="2" s="1"/>
  <c r="F760" i="7"/>
  <c r="D50" i="10" s="1"/>
  <c r="E42" i="10"/>
  <c r="AE373" i="2"/>
  <c r="D40" i="9"/>
  <c r="E34" i="10"/>
  <c r="F916" i="7"/>
  <c r="D59" i="10" s="1"/>
  <c r="AE241" i="2"/>
  <c r="E557" i="9"/>
  <c r="E713" i="9" s="1"/>
  <c r="E775" i="9" s="1"/>
  <c r="D151" i="9"/>
  <c r="D20" i="9"/>
  <c r="F415" i="7"/>
  <c r="F414" i="7" s="1"/>
  <c r="D36" i="10" s="1"/>
  <c r="D414" i="9"/>
  <c r="D629" i="9"/>
  <c r="D289" i="9"/>
  <c r="D480" i="9"/>
  <c r="D671" i="9"/>
  <c r="D692" i="9"/>
  <c r="D558" i="9"/>
  <c r="E63" i="10"/>
  <c r="E61" i="10" s="1"/>
  <c r="E26" i="10"/>
  <c r="E25" i="10" s="1"/>
  <c r="E35" i="10"/>
  <c r="E59" i="10"/>
  <c r="E33" i="10"/>
  <c r="E37" i="10"/>
  <c r="E41" i="10"/>
  <c r="E40" i="10"/>
  <c r="E21" i="10"/>
  <c r="E53" i="10"/>
  <c r="E52" i="10" s="1"/>
  <c r="D22" i="10"/>
  <c r="D19" i="10"/>
  <c r="F450" i="7"/>
  <c r="F177" i="7"/>
  <c r="F780" i="7"/>
  <c r="F779" i="7" s="1"/>
  <c r="AE1113" i="2"/>
  <c r="AE710" i="2"/>
  <c r="AE719" i="2"/>
  <c r="AE718" i="2" s="1"/>
  <c r="AE831" i="2"/>
  <c r="AE807" i="2" s="1"/>
  <c r="F384" i="7"/>
  <c r="F383" i="7" s="1"/>
  <c r="AE543" i="2"/>
  <c r="AE542" i="2" s="1"/>
  <c r="AE1068" i="2"/>
  <c r="F606" i="7"/>
  <c r="F478" i="7"/>
  <c r="F94" i="7"/>
  <c r="F77" i="7"/>
  <c r="F107" i="7"/>
  <c r="F100" i="7" s="1"/>
  <c r="AE157" i="2"/>
  <c r="AE508" i="2"/>
  <c r="F373" i="7"/>
  <c r="AE888" i="2"/>
  <c r="F358" i="7"/>
  <c r="AE259" i="2"/>
  <c r="D37" i="10"/>
  <c r="F892" i="7"/>
  <c r="D55" i="10" s="1"/>
  <c r="D54" i="10" s="1"/>
  <c r="F950" i="7"/>
  <c r="D62" i="10" s="1"/>
  <c r="D61" i="10" s="1"/>
  <c r="F736" i="7"/>
  <c r="F725" i="7" s="1"/>
  <c r="F626" i="7"/>
  <c r="F273" i="7"/>
  <c r="D26" i="10" s="1"/>
  <c r="F366" i="7"/>
  <c r="F280" i="7"/>
  <c r="D27" i="10" s="1"/>
  <c r="F656" i="7"/>
  <c r="F655" i="7" s="1"/>
  <c r="F670" i="7"/>
  <c r="F669" i="7" s="1"/>
  <c r="AE298" i="2"/>
  <c r="AE297" i="2" s="1"/>
  <c r="AE482" i="2"/>
  <c r="AE879" i="2" l="1"/>
  <c r="AE240" i="2"/>
  <c r="D643" i="9"/>
  <c r="D39" i="10"/>
  <c r="F170" i="7"/>
  <c r="D24" i="10" s="1"/>
  <c r="F56" i="7"/>
  <c r="E20" i="10"/>
  <c r="F577" i="7"/>
  <c r="D42" i="10" s="1"/>
  <c r="D25" i="10"/>
  <c r="D583" i="9"/>
  <c r="D288" i="9"/>
  <c r="D244" i="9" s="1"/>
  <c r="D557" i="9"/>
  <c r="E36" i="10"/>
  <c r="E32" i="10" s="1"/>
  <c r="E58" i="10"/>
  <c r="E56" i="10" s="1"/>
  <c r="E39" i="10"/>
  <c r="E38" i="10" s="1"/>
  <c r="D58" i="10"/>
  <c r="D56" i="10" s="1"/>
  <c r="F891" i="7"/>
  <c r="D21" i="10"/>
  <c r="AE709" i="2"/>
  <c r="F272" i="7"/>
  <c r="D40" i="10"/>
  <c r="F365" i="7"/>
  <c r="D34" i="10" s="1"/>
  <c r="F949" i="7"/>
  <c r="D41" i="10"/>
  <c r="D35" i="10"/>
  <c r="AE594" i="2"/>
  <c r="AE1112" i="2"/>
  <c r="D48" i="10"/>
  <c r="D47" i="10"/>
  <c r="D49" i="10"/>
  <c r="D29" i="10"/>
  <c r="D28" i="10" s="1"/>
  <c r="AE632" i="2"/>
  <c r="AE429" i="2"/>
  <c r="D51" i="10"/>
  <c r="G654" i="7"/>
  <c r="G987" i="7" s="1"/>
  <c r="AE18" i="2" l="1"/>
  <c r="F449" i="7"/>
  <c r="D20" i="10"/>
  <c r="D17" i="10" s="1"/>
  <c r="F15" i="7"/>
  <c r="F17" i="10"/>
  <c r="F66" i="10" s="1"/>
  <c r="D32" i="10"/>
  <c r="D46" i="10"/>
  <c r="D38" i="10"/>
  <c r="E24" i="10"/>
  <c r="E17" i="10" s="1"/>
  <c r="E51" i="10"/>
  <c r="E46" i="10" s="1"/>
  <c r="F357" i="7"/>
  <c r="F899" i="7"/>
  <c r="D366" i="9"/>
  <c r="F654" i="7"/>
  <c r="AE631" i="2"/>
  <c r="D53" i="10"/>
  <c r="D52" i="10" s="1"/>
  <c r="AE717" i="2"/>
  <c r="AE692" i="2" s="1"/>
  <c r="AE593" i="2"/>
  <c r="D364" i="9"/>
  <c r="D627" i="9"/>
  <c r="AE1179" i="2" l="1"/>
  <c r="E66" i="10"/>
  <c r="D66" i="10"/>
  <c r="D626" i="9"/>
  <c r="F838" i="7"/>
  <c r="F987" i="7" s="1"/>
  <c r="D363" i="9"/>
  <c r="D625" i="9" l="1"/>
  <c r="D624" i="9" s="1"/>
  <c r="D362" i="9"/>
  <c r="D555" i="9"/>
  <c r="D361" i="9" l="1"/>
  <c r="D341" i="9" s="1"/>
  <c r="D554" i="9"/>
  <c r="D623" i="9" l="1"/>
  <c r="D553" i="9"/>
  <c r="D174" i="9" l="1"/>
  <c r="B443" i="9" l="1"/>
  <c r="B442" i="9" s="1"/>
  <c r="B440" i="9"/>
  <c r="B439" i="9" s="1"/>
  <c r="D113" i="9" l="1"/>
  <c r="D98" i="9"/>
  <c r="D91" i="9"/>
  <c r="D551" i="9"/>
  <c r="D122" i="9"/>
  <c r="D90" i="9" l="1"/>
  <c r="D550" i="9"/>
  <c r="D121" i="9"/>
  <c r="D112" i="9"/>
  <c r="D101" i="9" s="1"/>
  <c r="D549" i="9" l="1"/>
  <c r="D172" i="9"/>
  <c r="D171" i="9" l="1"/>
  <c r="B122" i="9" l="1"/>
  <c r="D688" i="7"/>
  <c r="D78" i="9" l="1"/>
  <c r="D94" i="9"/>
  <c r="D76" i="9"/>
  <c r="D75" i="9" l="1"/>
  <c r="D74" i="9" l="1"/>
  <c r="B407" i="9"/>
  <c r="B406" i="9" s="1"/>
  <c r="B404" i="9"/>
  <c r="B403" i="9" s="1"/>
  <c r="D120" i="7"/>
  <c r="D119" i="7" s="1"/>
  <c r="D117" i="7"/>
  <c r="D116" i="7" s="1"/>
  <c r="D69" i="9" l="1"/>
  <c r="D26" i="9" s="1"/>
  <c r="D392" i="9"/>
  <c r="D389" i="9" s="1"/>
  <c r="D388" i="9" s="1"/>
  <c r="AB662" i="2"/>
  <c r="AB661" i="2" s="1"/>
  <c r="D390" i="9" l="1"/>
  <c r="D375" i="9" l="1"/>
  <c r="D374" i="9" s="1"/>
  <c r="G749" i="2" l="1"/>
  <c r="D179" i="9" l="1"/>
  <c r="D177" i="9" l="1"/>
  <c r="D176" i="9" l="1"/>
  <c r="D170" i="9" l="1"/>
  <c r="D169" i="9" s="1"/>
  <c r="D168" i="9" l="1"/>
  <c r="D96" i="9" l="1"/>
  <c r="D93" i="9" l="1"/>
  <c r="D82" i="9" l="1"/>
  <c r="D81" i="9" s="1"/>
  <c r="D241" i="9" l="1"/>
  <c r="D242" i="9"/>
  <c r="D240" i="9" l="1"/>
  <c r="D239" i="9" l="1"/>
  <c r="D238" i="9" l="1"/>
  <c r="D119" i="9" l="1"/>
  <c r="D117" i="9"/>
  <c r="D547" i="9"/>
  <c r="D116" i="9" l="1"/>
  <c r="D115" i="9" s="1"/>
  <c r="D546" i="9"/>
  <c r="D545" i="9" l="1"/>
  <c r="D100" i="9" l="1"/>
  <c r="D544" i="9"/>
  <c r="D479" i="9" s="1"/>
  <c r="D80" i="9" l="1"/>
  <c r="D713" i="9" l="1"/>
  <c r="D775" i="9" s="1"/>
  <c r="AB612" i="2"/>
  <c r="AB611" i="2" s="1"/>
  <c r="AB615" i="2"/>
  <c r="AB614" i="2" s="1"/>
  <c r="AB665" i="2"/>
  <c r="AB664"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s="1"/>
  <c r="C87" i="4"/>
  <c r="D89" i="4"/>
  <c r="D90" i="4"/>
  <c r="C92" i="4"/>
  <c r="D92" i="4" s="1"/>
  <c r="C95" i="4"/>
  <c r="D96" i="4"/>
  <c r="D99" i="4"/>
  <c r="D100" i="4"/>
  <c r="C102" i="4"/>
  <c r="D102" i="4" s="1"/>
  <c r="D103" i="4"/>
  <c r="C104" i="4"/>
  <c r="D104" i="4" s="1"/>
  <c r="D107" i="4"/>
  <c r="C108" i="4"/>
  <c r="C109" i="4"/>
  <c r="D109" i="4" s="1"/>
  <c r="C110" i="4"/>
  <c r="D110" i="4" s="1"/>
  <c r="C112" i="4"/>
  <c r="D112" i="4" s="1"/>
  <c r="C115" i="4"/>
  <c r="D115" i="4" s="1"/>
  <c r="C116" i="4"/>
  <c r="C117" i="4"/>
  <c r="D117" i="4" s="1"/>
  <c r="C118" i="4"/>
  <c r="D118" i="4" s="1"/>
  <c r="C129" i="4"/>
  <c r="C142" i="4"/>
  <c r="C143" i="4" s="1"/>
  <c r="G364" i="2"/>
  <c r="G363" i="2" s="1"/>
  <c r="G369" i="2"/>
  <c r="G368" i="2" s="1"/>
  <c r="G367" i="2" s="1"/>
  <c r="G372" i="2"/>
  <c r="G371" i="2" s="1"/>
  <c r="G370"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s="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c r="H535" i="1" s="1"/>
  <c r="H534" i="1" s="1"/>
  <c r="H538" i="1"/>
  <c r="H541" i="1"/>
  <c r="H544" i="1"/>
  <c r="H543" i="1"/>
  <c r="H547" i="1"/>
  <c r="H546" i="1"/>
  <c r="H553" i="1"/>
  <c r="H555" i="1"/>
  <c r="H558" i="1"/>
  <c r="H557" i="1" s="1"/>
  <c r="H559" i="1"/>
  <c r="H562" i="1"/>
  <c r="H561" i="1"/>
  <c r="H565" i="1"/>
  <c r="H564" i="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5" i="1" s="1"/>
  <c r="H704" i="1" s="1"/>
  <c r="H708" i="1"/>
  <c r="H712" i="1"/>
  <c r="H711" i="1" s="1"/>
  <c r="H710" i="1" s="1"/>
  <c r="H717" i="1"/>
  <c r="H716"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s="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69"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57" i="1" s="1"/>
  <c r="H956" i="1" s="1"/>
  <c r="H962" i="1"/>
  <c r="H965" i="1"/>
  <c r="H968" i="1"/>
  <c r="H967" i="1" s="1"/>
  <c r="H969" i="1"/>
  <c r="H974" i="1"/>
  <c r="H976" i="1"/>
  <c r="H978" i="1"/>
  <c r="H983" i="1"/>
  <c r="H985" i="1"/>
  <c r="H987" i="1"/>
  <c r="H991" i="1"/>
  <c r="H993" i="1"/>
  <c r="H995" i="1"/>
  <c r="H1000" i="1"/>
  <c r="H1002" i="1"/>
  <c r="H1004" i="1"/>
  <c r="H1009" i="1"/>
  <c r="H1011" i="1"/>
  <c r="H1008" i="1" s="1"/>
  <c r="H1007" i="1" s="1"/>
  <c r="H1006" i="1" s="1"/>
  <c r="I1006" i="1" s="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c r="H1072" i="1" s="1"/>
  <c r="H1071" i="1" s="1"/>
  <c r="H1079" i="1"/>
  <c r="H1078" i="1"/>
  <c r="H1077" i="1" s="1"/>
  <c r="H1076" i="1" s="1"/>
  <c r="H1084" i="1"/>
  <c r="H1083" i="1"/>
  <c r="H1082" i="1" s="1"/>
  <c r="H1081" i="1" s="1"/>
  <c r="H1090" i="1"/>
  <c r="H1089" i="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0" i="1" s="1"/>
  <c r="H1179" i="1" s="1"/>
  <c r="H1178" i="1" s="1"/>
  <c r="H1183" i="1"/>
  <c r="H1185" i="1"/>
  <c r="H1187" i="1"/>
  <c r="H1189" i="1"/>
  <c r="H1191" i="1"/>
  <c r="H1193" i="1"/>
  <c r="H1199" i="1"/>
  <c r="H1201" i="1"/>
  <c r="H1203" i="1"/>
  <c r="H1208" i="1"/>
  <c r="H1211" i="1"/>
  <c r="H1210" i="1" s="1"/>
  <c r="H1212" i="1"/>
  <c r="H1214" i="1"/>
  <c r="H1216" i="1"/>
  <c r="H1219" i="1"/>
  <c r="H1218" i="1" s="1"/>
  <c r="H1222" i="1"/>
  <c r="H1221" i="1" s="1"/>
  <c r="H1225" i="1"/>
  <c r="H1224" i="1" s="1"/>
  <c r="H1229" i="1"/>
  <c r="H1228" i="1" s="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56" i="1" s="1"/>
  <c r="H1272" i="1"/>
  <c r="H1271" i="1" s="1"/>
  <c r="H1274" i="1"/>
  <c r="H1277" i="1"/>
  <c r="H1276" i="1" s="1"/>
  <c r="H1280" i="1"/>
  <c r="H1282" i="1"/>
  <c r="H1284" i="1"/>
  <c r="H1279" i="1" s="1"/>
  <c r="H1286" i="1"/>
  <c r="H1291" i="1"/>
  <c r="H1293" i="1"/>
  <c r="H1295" i="1"/>
  <c r="H1290" i="1" s="1"/>
  <c r="H1299" i="1"/>
  <c r="H1298" i="1"/>
  <c r="H1301" i="1"/>
  <c r="H1300" i="1" s="1"/>
  <c r="H1302" i="1"/>
  <c r="H1304" i="1"/>
  <c r="H1306" i="1"/>
  <c r="H1311" i="1"/>
  <c r="H1313" i="1"/>
  <c r="H1315" i="1"/>
  <c r="H1322" i="1"/>
  <c r="H1321" i="1" s="1"/>
  <c r="H1320" i="1" s="1"/>
  <c r="H1319"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c r="H1674" i="1"/>
  <c r="H1676" i="1"/>
  <c r="H1678" i="1"/>
  <c r="H1680" i="1"/>
  <c r="H1682" i="1"/>
  <c r="H1684" i="1"/>
  <c r="H1686" i="1"/>
  <c r="H1688" i="1"/>
  <c r="H1690" i="1"/>
  <c r="H1692" i="1"/>
  <c r="H1695" i="1"/>
  <c r="H1694" i="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s="1"/>
  <c r="H2104" i="1" s="1"/>
  <c r="H2103" i="1" s="1"/>
  <c r="H2113" i="1"/>
  <c r="H2112" i="1" s="1"/>
  <c r="H2111" i="1" s="1"/>
  <c r="H2110" i="1" s="1"/>
  <c r="H2109"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2" i="1" s="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47" i="1" s="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H483" i="1"/>
  <c r="D63" i="4"/>
  <c r="C75" i="4"/>
  <c r="H1715" i="1"/>
  <c r="H990" i="1"/>
  <c r="H989" i="1" s="1"/>
  <c r="H982" i="1"/>
  <c r="H981" i="1" s="1"/>
  <c r="H800" i="1"/>
  <c r="H799" i="1" s="1"/>
  <c r="E118" i="4"/>
  <c r="E115" i="4"/>
  <c r="H1866" i="1"/>
  <c r="H1865" i="1" s="1"/>
  <c r="H570" i="1"/>
  <c r="H149" i="1"/>
  <c r="C94" i="4"/>
  <c r="E94" i="4" s="1"/>
  <c r="D94" i="4" l="1"/>
  <c r="D114" i="4"/>
  <c r="H2501" i="1"/>
  <c r="H2302" i="1"/>
  <c r="H1246" i="1"/>
  <c r="H1198" i="1"/>
  <c r="H1197" i="1" s="1"/>
  <c r="H1196" i="1" s="1"/>
  <c r="H715" i="1"/>
  <c r="H444" i="1"/>
  <c r="H1927" i="1"/>
  <c r="H1926" i="1" s="1"/>
  <c r="H1879" i="1"/>
  <c r="H1484" i="1"/>
  <c r="H1483" i="1" s="1"/>
  <c r="H949" i="1"/>
  <c r="H948"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241" i="1"/>
  <c r="H1240" i="1" s="1"/>
  <c r="H1207" i="1"/>
  <c r="H1206" i="1" s="1"/>
  <c r="H1205" i="1" s="1"/>
  <c r="H1058" i="1"/>
  <c r="H759" i="1"/>
  <c r="H618" i="1"/>
  <c r="H617" i="1" s="1"/>
  <c r="H27" i="1"/>
  <c r="G362" i="2"/>
  <c r="G361" i="2" s="1"/>
  <c r="G353"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235" i="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1086" i="1" s="1"/>
  <c r="H743" i="1"/>
  <c r="H830" i="1"/>
  <c r="H829" i="1" s="1"/>
  <c r="H828" i="1" s="1"/>
  <c r="H823" i="1" s="1"/>
  <c r="H786" i="1"/>
  <c r="H332" i="1"/>
  <c r="H331" i="1" s="1"/>
  <c r="H330" i="1" s="1"/>
  <c r="H237" i="1"/>
  <c r="H229" i="1" s="1"/>
  <c r="H228" i="1" s="1"/>
  <c r="H217" i="1" s="1"/>
  <c r="E31" i="4"/>
  <c r="H1445" i="1" l="1"/>
  <c r="H1444" i="1" s="1"/>
  <c r="H1394" i="1" s="1"/>
  <c r="H1837" i="1"/>
  <c r="H1826" i="1" s="1"/>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H783" i="1" s="1"/>
  <c r="E86" i="4"/>
  <c r="D86" i="4"/>
  <c r="E61" i="4"/>
  <c r="D61" i="4"/>
  <c r="H1660" i="1"/>
  <c r="H1620" i="1" s="1"/>
  <c r="H1580" i="1" s="1"/>
  <c r="I1661" i="1"/>
  <c r="H943" i="1"/>
  <c r="H888" i="1" s="1"/>
  <c r="H1526" i="1"/>
  <c r="H2619" i="1" l="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<sst xmlns="http://schemas.openxmlformats.org/spreadsheetml/2006/main" count="22953" uniqueCount="2487">
  <si>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</si>
  <si>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</si>
  <si>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</si>
  <si>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</si>
  <si>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</si>
  <si>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</si>
  <si>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</si>
  <si>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</si>
  <si>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</si>
  <si>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</si>
  <si>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</si>
  <si>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</si>
  <si>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</si>
  <si>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</si>
  <si>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</si>
  <si>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</si>
  <si>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</si>
  <si>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</si>
  <si>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</si>
  <si>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</si>
  <si>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</si>
  <si>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</si>
  <si>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</si>
  <si>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</si>
  <si>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</si>
  <si>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</si>
  <si>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</si>
  <si>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</si>
  <si>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</si>
  <si>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</si>
  <si>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</si>
  <si>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</si>
  <si>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</si>
  <si>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</si>
  <si>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</si>
  <si>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</si>
  <si>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</si>
  <si>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</si>
  <si>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</si>
  <si>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</si>
  <si>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</si>
  <si>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</si>
  <si>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</si>
  <si>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</si>
  <si>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</si>
  <si>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</si>
  <si>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</si>
  <si>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</si>
  <si>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</si>
  <si>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</si>
  <si>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</si>
  <si>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</si>
  <si>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</si>
  <si>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</si>
  <si>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</si>
  <si>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</si>
  <si>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</si>
  <si>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</si>
  <si>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</si>
  <si>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</si>
  <si>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</si>
  <si>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</si>
  <si>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</si>
  <si>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</si>
  <si>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</si>
  <si>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</si>
  <si>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</si>
  <si>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</si>
  <si>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</si>
  <si>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</si>
  <si>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</si>
  <si>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</si>
  <si>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</si>
  <si>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</si>
  <si>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</si>
  <si>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</si>
  <si>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</si>
  <si>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</si>
  <si>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</si>
  <si>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</si>
  <si>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</si>
  <si>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</si>
  <si>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</si>
  <si>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</si>
  <si>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</si>
  <si>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</si>
  <si>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</si>
  <si>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</si>
  <si>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</si>
  <si>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</si>
  <si>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</si>
  <si>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</si>
  <si>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</si>
  <si>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</si>
  <si>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</si>
  <si>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</si>
  <si>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</si>
  <si>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</si>
  <si>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</si>
  <si>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</si>
  <si>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</si>
  <si>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</si>
  <si>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</si>
  <si>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</si>
  <si>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</si>
  <si>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</si>
  <si>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</si>
  <si>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</si>
  <si>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</si>
  <si>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</si>
  <si>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</si>
  <si>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</si>
  <si>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</si>
  <si>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</si>
  <si>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</si>
  <si>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</si>
  <si>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</si>
  <si>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</si>
  <si>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</si>
  <si>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</si>
  <si>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</si>
  <si>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</si>
  <si>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</si>
  <si>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</si>
  <si>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</si>
  <si>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</si>
  <si>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</si>
  <si>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</si>
  <si>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</si>
  <si>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</si>
  <si>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</si>
  <si>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</si>
  <si>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</si>
  <si>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</si>
  <si>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</si>
  <si>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</si>
  <si>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</si>
  <si>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</si>
  <si>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</si>
  <si>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</si>
  <si>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</si>
  <si>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</si>
  <si>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</si>
  <si>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</si>
  <si>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</si>
  <si>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</si>
  <si>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</si>
  <si>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</si>
  <si>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</si>
  <si>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</si>
  <si>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</si>
  <si>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</si>
  <si>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</si>
  <si>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</si>
  <si>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</si>
  <si>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</si>
  <si>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</si>
  <si>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</si>
  <si>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</si>
  <si>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</si>
  <si>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</si>
  <si>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</si>
  <si>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</si>
  <si>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</si>
  <si>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</si>
  <si>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</si>
  <si>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</si>
  <si>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</si>
  <si>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</si>
  <si>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</si>
  <si>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</si>
  <si>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</si>
  <si>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</si>
  <si>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</si>
  <si>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</si>
  <si>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</si>
  <si>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</si>
  <si>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</si>
  <si>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</si>
  <si>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</si>
  <si>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</si>
  <si>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</si>
  <si>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</si>
  <si>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</si>
  <si>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</si>
  <si>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</si>
  <si>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</si>
  <si>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</si>
  <si>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</si>
  <si>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</si>
  <si>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</si>
  <si>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</si>
  <si>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</si>
  <si>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</si>
  <si>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</si>
  <si>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</si>
  <si>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</si>
  <si>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</si>
  <si>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</si>
  <si>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</si>
  <si>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</si>
  <si>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</si>
  <si>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</si>
  <si>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</si>
  <si>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</si>
  <si>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</si>
  <si>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</si>
  <si>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</si>
  <si>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</si>
  <si>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</si>
  <si>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</si>
  <si>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</si>
  <si>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</si>
  <si>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</si>
  <si>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</si>
  <si>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</si>
  <si>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</si>
  <si>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</si>
  <si>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</si>
  <si>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</si>
  <si>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</si>
  <si>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</si>
  <si>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</si>
  <si>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</si>
  <si>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</si>
  <si>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</si>
  <si>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</si>
  <si>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</si>
  <si>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</si>
  <si>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</si>
  <si>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</si>
  <si>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</si>
  <si>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</si>
  <si>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</si>
  <si>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</si>
  <si>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</si>
  <si>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</si>
  <si>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</si>
  <si>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</si>
  <si>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</si>
  <si>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</si>
  <si>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</si>
  <si>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</si>
  <si>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</si>
  <si>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</si>
  <si>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</si>
  <si>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</si>
  <si>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</si>
  <si>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</si>
  <si>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</si>
  <si>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</si>
  <si>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</si>
  <si>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</si>
  <si>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</si>
  <si>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</si>
  <si>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</si>
  <si>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</si>
  <si>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</si>
  <si>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</si>
  <si>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</si>
  <si>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</si>
  <si>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</si>
  <si>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</si>
  <si>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</si>
  <si>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</si>
  <si>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</si>
  <si>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</si>
  <si>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</si>
  <si>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</si>
  <si>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</si>
  <si>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</si>
  <si>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</si>
  <si>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</si>
  <si>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</si>
  <si>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</si>
  <si>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</si>
  <si>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</si>
  <si>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</si>
  <si>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</si>
  <si>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</si>
  <si>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</si>
  <si>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</si>
  <si>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</si>
  <si>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</si>
  <si>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</si>
  <si>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</si>
  <si>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</si>
  <si>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</si>
  <si>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</si>
  <si>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</si>
  <si>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</si>
  <si>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</si>
  <si>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</si>
  <si>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</si>
  <si>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</si>
  <si>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</si>
  <si>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</si>
  <si>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</si>
  <si>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</si>
  <si>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</si>
  <si>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</si>
  <si>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</si>
  <si>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</si>
  <si>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</si>
  <si>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</si>
  <si>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</si>
  <si>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</si>
  <si>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</si>
  <si>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</si>
  <si>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</si>
  <si>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</si>
  <si>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</si>
  <si>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</si>
  <si>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</si>
  <si>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</si>
  <si>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</si>
  <si>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</si>
  <si>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</si>
  <si>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</si>
  <si>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</si>
  <si>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</si>
  <si>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</si>
  <si>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</si>
  <si>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</si>
  <si>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</si>
  <si>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</si>
  <si>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</si>
  <si>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</si>
  <si>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</si>
  <si>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</si>
  <si>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</si>
  <si>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</si>
  <si>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</si>
  <si>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</si>
  <si>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</si>
  <si>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</si>
  <si>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</si>
  <si>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</si>
  <si>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</si>
  <si>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</si>
  <si>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</si>
  <si>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</si>
  <si>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</si>
  <si>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</si>
  <si>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</si>
  <si>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</si>
  <si>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</si>
  <si>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</si>
  <si>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</si>
  <si>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</si>
  <si>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</si>
  <si>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</si>
  <si>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</si>
  <si>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</si>
  <si>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</si>
  <si>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</si>
  <si>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</si>
  <si>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</si>
  <si>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</si>
  <si>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</si>
  <si>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</si>
  <si>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</si>
  <si>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</si>
  <si>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</si>
  <si>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</si>
  <si>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</si>
  <si>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</si>
  <si>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</si>
  <si>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</si>
  <si>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</si>
  <si>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</si>
  <si>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</si>
  <si>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</si>
  <si>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</si>
  <si>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</si>
  <si>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</si>
  <si>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</si>
  <si>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</si>
  <si>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</si>
  <si>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</si>
  <si>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</si>
  <si>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</si>
  <si>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</si>
  <si>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</si>
  <si>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</si>
  <si>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</si>
  <si>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</si>
  <si>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</si>
  <si>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</si>
  <si>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</si>
  <si>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</si>
  <si>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</si>
  <si>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</si>
  <si>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</si>
  <si>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</si>
  <si>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</si>
  <si>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</si>
  <si>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</si>
  <si>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</si>
  <si>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</si>
  <si>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</si>
  <si>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</si>
  <si>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</si>
  <si>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</si>
  <si>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</si>
  <si>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</si>
  <si>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</si>
  <si>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</si>
  <si>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</si>
  <si>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</si>
  <si>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</si>
  <si>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</si>
  <si>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</si>
  <si>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</si>
  <si>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</si>
  <si>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</si>
  <si>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</si>
  <si>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</si>
  <si>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</si>
  <si>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</si>
  <si>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</si>
  <si>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</si>
  <si>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</si>
  <si>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</si>
  <si>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</si>
  <si>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</si>
  <si>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</si>
  <si>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</si>
  <si>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</si>
  <si>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</si>
  <si>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</si>
  <si>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</si>
  <si>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</si>
  <si>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</si>
  <si>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</si>
  <si>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</si>
  <si>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</si>
  <si>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</si>
  <si>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</si>
  <si>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</si>
  <si>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</si>
  <si>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</si>
  <si>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</si>
  <si>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</si>
  <si>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</si>
  <si>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</si>
  <si>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</si>
  <si>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</si>
  <si>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</si>
  <si>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</si>
  <si>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</si>
  <si>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</si>
  <si>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</si>
  <si>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</si>
  <si>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</si>
  <si>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</si>
  <si>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</si>
  <si>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</si>
  <si>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</si>
  <si>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</si>
  <si>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</si>
  <si>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</si>
  <si>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</si>
  <si>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</si>
  <si>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</si>
  <si>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</si>
  <si>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</si>
  <si>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</si>
  <si>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</si>
  <si>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</si>
  <si>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</si>
  <si>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</si>
  <si>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</si>
  <si>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</si>
  <si>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</si>
  <si>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</si>
  <si>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</si>
  <si>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</si>
  <si>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</si>
  <si>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</si>
  <si>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</si>
  <si>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</si>
  <si>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</si>
  <si>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</si>
  <si>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</si>
  <si>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</si>
  <si>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</si>
  <si>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</si>
  <si>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</si>
  <si>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</si>
  <si>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</si>
  <si>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</si>
  <si>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</si>
  <si>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</si>
  <si>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</si>
  <si>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</si>
  <si>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</si>
  <si>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</si>
  <si>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</si>
  <si>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</si>
  <si>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</si>
  <si>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</si>
  <si>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</si>
  <si>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</si>
  <si>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</si>
  <si>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</si>
  <si>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</si>
  <si>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</si>
  <si>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</si>
  <si>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</si>
  <si>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</si>
  <si>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</si>
  <si>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</si>
  <si>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</si>
  <si>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</si>
  <si>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</si>
  <si>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</si>
  <si>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</si>
  <si>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</si>
  <si>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</si>
  <si>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</si>
  <si>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</si>
  <si>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</si>
  <si>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</si>
  <si>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</si>
  <si>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</si>
  <si>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</si>
  <si>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</si>
  <si>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</si>
  <si>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</si>
  <si>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</si>
  <si>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</si>
  <si>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</si>
  <si>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</si>
  <si>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</si>
  <si>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</si>
  <si>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</si>
  <si>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</si>
  <si>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</si>
  <si>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</si>
  <si>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</si>
  <si>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</si>
  <si>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</si>
  <si>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</si>
  <si>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</si>
  <si>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</si>
  <si>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</si>
  <si>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</si>
  <si>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</si>
  <si>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</si>
  <si>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</si>
  <si>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</si>
  <si>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</si>
  <si>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</si>
  <si>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</si>
  <si>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</si>
  <si>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</si>
  <si>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</si>
  <si>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</si>
  <si>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</si>
  <si>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</si>
  <si>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</si>
  <si>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</si>
  <si>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</si>
  <si>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</si>
  <si>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</si>
  <si>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</si>
  <si>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</si>
  <si>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</si>
  <si>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</si>
  <si>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</si>
  <si>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</si>
  <si>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</si>
  <si>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</si>
  <si>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</si>
  <si>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</si>
  <si>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</si>
  <si>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</si>
  <si>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</si>
  <si>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</si>
  <si>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</si>
  <si>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</si>
  <si>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</si>
  <si>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</si>
  <si>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</si>
  <si>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</si>
  <si>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</si>
  <si>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</si>
  <si>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</si>
  <si>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</si>
  <si>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</si>
  <si>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</si>
  <si>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</si>
  <si>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</si>
  <si>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</si>
  <si>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</si>
  <si>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</si>
  <si>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</si>
  <si>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</si>
  <si>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</si>
  <si>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</si>
  <si>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</si>
  <si>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</si>
  <si>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</si>
  <si>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</si>
  <si>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</si>
  <si>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</si>
  <si>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</si>
  <si>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</si>
  <si>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</si>
  <si>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</si>
  <si>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</si>
  <si>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</si>
  <si>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</si>
  <si>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</si>
  <si>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</si>
  <si>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</si>
  <si>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</si>
  <si>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</si>
  <si>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</si>
  <si>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</si>
  <si>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</si>
  <si>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</si>
  <si>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</si>
  <si>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</si>
  <si>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</si>
  <si>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</si>
  <si>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</si>
  <si>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</si>
  <si>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</si>
  <si>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</si>
  <si>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</si>
  <si>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</si>
  <si>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</si>
  <si>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</si>
  <si>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</si>
  <si>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</si>
  <si>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</si>
  <si>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</si>
  <si>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</si>
  <si>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</si>
  <si>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</si>
  <si>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</si>
  <si>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</si>
  <si>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</si>
  <si>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</si>
  <si>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</si>
  <si>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</si>
  <si>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</si>
  <si>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</si>
  <si>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</si>
  <si>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</si>
  <si>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</si>
  <si>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</si>
  <si>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</si>
  <si>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</si>
  <si>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</si>
  <si>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</si>
  <si>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</si>
  <si>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</si>
  <si>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</si>
  <si>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</si>
  <si>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</si>
  <si>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</si>
  <si>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</si>
  <si>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</si>
  <si>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</si>
  <si>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</si>
  <si>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</si>
  <si>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</si>
  <si>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</si>
  <si>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</si>
  <si>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</si>
  <si>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</si>
  <si>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</si>
  <si>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</si>
  <si>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</si>
  <si>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</si>
  <si>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</si>
  <si>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</si>
  <si>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</si>
  <si>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</si>
  <si>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</si>
  <si>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</si>
  <si>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</si>
  <si>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</si>
  <si>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</si>
  <si>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</si>
  <si>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</si>
  <si>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</si>
  <si>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</si>
  <si>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</si>
  <si>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</si>
  <si>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</si>
  <si>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</si>
  <si>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</si>
  <si>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</si>
  <si>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</si>
  <si>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</si>
  <si>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</si>
  <si>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</si>
  <si>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</si>
  <si>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</si>
  <si>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</si>
  <si>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</si>
  <si>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</si>
  <si>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</si>
  <si>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</si>
  <si>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</si>
  <si>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</si>
  <si>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</si>
  <si>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</si>
  <si>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</si>
  <si>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</si>
  <si>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</si>
  <si>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</si>
  <si>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</si>
  <si>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</si>
  <si>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</si>
  <si>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</si>
  <si>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</si>
  <si>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</si>
  <si>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</si>
  <si>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</si>
  <si>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</si>
  <si>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</si>
  <si>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</si>
  <si>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</si>
  <si>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</si>
  <si>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</si>
  <si>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</si>
  <si>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</si>
  <si>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</si>
  <si>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</si>
  <si>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</si>
  <si>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</si>
  <si>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</si>
  <si>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</si>
  <si>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</si>
  <si>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</si>
  <si>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</si>
  <si>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</si>
  <si>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</si>
  <si>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</si>
  <si>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</si>
  <si>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</si>
  <si>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</si>
  <si>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</si>
  <si>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</si>
  <si>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</si>
  <si>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</si>
  <si>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</si>
  <si>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</si>
  <si>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</si>
  <si>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</si>
  <si>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</si>
  <si>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</si>
  <si>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</si>
  <si>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</si>
  <si>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</si>
  <si>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</si>
  <si>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</si>
  <si>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</si>
  <si>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</si>
  <si>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</si>
  <si>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</si>
  <si>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</si>
  <si>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</si>
  <si>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</si>
  <si>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</si>
  <si>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</si>
  <si>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</si>
  <si>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</si>
  <si>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</si>
  <si>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</si>
  <si>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</si>
  <si>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</si>
  <si>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</si>
  <si>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</si>
  <si>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</si>
  <si>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</si>
  <si>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</si>
  <si>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</si>
  <si>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</si>
  <si>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</si>
  <si>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</si>
  <si>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</si>
  <si>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</si>
  <si>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</si>
  <si>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</si>
  <si>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</si>
  <si>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</si>
  <si>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</si>
  <si>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</si>
  <si>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</si>
  <si>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</si>
  <si>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</si>
  <si>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</si>
  <si>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</si>
  <si>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</si>
  <si>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</si>
  <si>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</si>
  <si>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</si>
  <si>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</si>
  <si>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</si>
  <si>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</si>
  <si>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</si>
  <si>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</si>
  <si>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</si>
  <si>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</si>
  <si>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</si>
  <si>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</si>
  <si>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</si>
  <si>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</si>
  <si>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</si>
  <si>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</si>
  <si>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</si>
  <si>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</si>
  <si>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</si>
  <si>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</si>
  <si>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</si>
  <si>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</si>
  <si>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</si>
  <si>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</si>
  <si>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</si>
  <si>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</si>
  <si>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</si>
  <si>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</si>
  <si>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</si>
  <si>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</si>
  <si>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</si>
  <si>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</si>
  <si>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</si>
  <si>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</si>
  <si>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</si>
  <si>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</si>
  <si>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</si>
  <si>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</si>
  <si>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</si>
  <si>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</si>
  <si>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</si>
  <si>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</si>
  <si>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</si>
  <si>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</si>
  <si>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</si>
  <si>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</si>
  <si>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</si>
  <si>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</si>
  <si>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</si>
  <si>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</si>
  <si>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</si>
  <si>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</si>
  <si>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</si>
  <si>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</si>
  <si>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</si>
  <si>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</si>
  <si>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</si>
  <si>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</si>
  <si>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</si>
  <si>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</si>
  <si>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</si>
  <si>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</si>
  <si>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</si>
  <si>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</si>
  <si>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</si>
  <si>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</si>
  <si>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</si>
  <si>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</si>
  <si>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</si>
  <si>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</si>
  <si>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</si>
  <si>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</si>
  <si>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</si>
  <si>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</si>
  <si>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</si>
  <si>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</si>
  <si>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</si>
  <si>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</si>
  <si>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</si>
  <si>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</si>
  <si>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</si>
  <si>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</si>
  <si>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</si>
  <si>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</si>
  <si>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</si>
  <si>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</si>
  <si>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</si>
  <si>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</si>
  <si>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</si>
  <si>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</si>
  <si>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</si>
  <si>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</si>
  <si>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</si>
  <si>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</si>
  <si>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</si>
  <si>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</si>
  <si>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</si>
  <si>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</si>
  <si>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</si>
  <si>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</si>
  <si>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</si>
  <si>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</si>
  <si>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</si>
  <si>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</si>
  <si>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</si>
  <si>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</si>
  <si>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</si>
  <si>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</si>
  <si>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</si>
  <si>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</si>
  <si>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</si>
  <si>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</si>
  <si>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</si>
  <si>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</si>
  <si>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</si>
  <si>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</si>
  <si>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</si>
  <si>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</si>
  <si>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</si>
  <si>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</si>
  <si>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</si>
  <si>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</si>
  <si>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</si>
  <si>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</si>
  <si>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</si>
  <si>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</si>
  <si>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</si>
  <si>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</si>
  <si>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</si>
  <si>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</si>
  <si>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</si>
  <si>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</si>
  <si>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</si>
  <si>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</si>
  <si>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</si>
  <si>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</si>
  <si>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</si>
  <si>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</si>
  <si>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</si>
  <si>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</si>
  <si>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</si>
  <si>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</si>
  <si>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</si>
  <si>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</si>
  <si>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</si>
  <si>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</si>
  <si>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</si>
  <si>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</si>
  <si>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</si>
  <si>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</si>
  <si>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</si>
  <si>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</si>
  <si>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</si>
  <si>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</si>
  <si>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</si>
  <si>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</si>
  <si>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</si>
  <si>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</si>
  <si>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</si>
  <si>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</si>
  <si>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</si>
  <si>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</si>
  <si>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</si>
  <si>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</si>
  <si>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</si>
  <si>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</si>
  <si>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</si>
  <si>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</si>
  <si>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</si>
  <si>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</si>
  <si>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</si>
  <si>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</si>
  <si>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</si>
  <si>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</si>
  <si>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</si>
  <si>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</si>
  <si>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</si>
  <si>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</si>
  <si>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</si>
  <si>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</si>
  <si>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</si>
  <si>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</si>
  <si>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</si>
  <si>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</si>
  <si>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</si>
  <si>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</si>
  <si>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</si>
  <si>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</si>
  <si>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</si>
  <si>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</si>
  <si>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</si>
  <si>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</si>
  <si>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</si>
  <si>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</si>
  <si>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</si>
  <si>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</si>
  <si>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</si>
  <si>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</si>
  <si>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</si>
  <si>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</si>
  <si>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</si>
  <si>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</si>
  <si>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</si>
  <si>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</si>
  <si>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</si>
  <si>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</si>
  <si>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</si>
  <si>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</si>
  <si>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</si>
  <si>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</si>
  <si>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</si>
  <si>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</si>
  <si>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</si>
  <si>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</si>
  <si>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</si>
  <si>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</si>
  <si>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</si>
  <si>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</si>
  <si>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</si>
  <si>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</si>
  <si>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</si>
  <si>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</si>
  <si>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</si>
  <si>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</si>
  <si>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</si>
  <si>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</si>
  <si>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</si>
  <si>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</si>
  <si>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</si>
  <si>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</si>
  <si>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</si>
  <si>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</si>
  <si>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</si>
  <si>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</si>
  <si>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</si>
  <si>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</si>
  <si>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</si>
  <si>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</si>
  <si>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</si>
  <si>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</si>
  <si>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</si>
  <si>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</si>
  <si>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</si>
  <si>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</si>
  <si>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</si>
  <si>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</si>
  <si>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</si>
  <si>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</si>
  <si>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</si>
  <si>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</si>
  <si>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</si>
  <si>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</si>
  <si>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</si>
  <si>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</si>
  <si>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</si>
  <si>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</si>
  <si>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</si>
  <si>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</si>
  <si>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</si>
  <si>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</si>
  <si>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</si>
  <si>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</si>
  <si>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</si>
  <si>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</si>
  <si>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</si>
  <si>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</si>
  <si>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</si>
  <si>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</si>
  <si>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</si>
  <si>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</si>
  <si>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</si>
  <si>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</si>
  <si>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</si>
  <si>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</si>
  <si>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</si>
  <si>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</si>
  <si>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</si>
  <si>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</si>
  <si>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</si>
  <si>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</si>
  <si>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</si>
  <si>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</si>
  <si>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</si>
  <si>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</si>
  <si>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</si>
  <si>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</si>
  <si>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</si>
  <si>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</si>
  <si>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</si>
  <si>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</si>
  <si>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</si>
  <si>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</si>
  <si>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</si>
  <si>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</si>
  <si>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</si>
  <si>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</si>
  <si>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</si>
  <si>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</si>
  <si>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</si>
  <si>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</si>
  <si>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</si>
  <si>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</si>
  <si>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</si>
  <si>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</si>
  <si>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</si>
  <si>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</si>
  <si>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</si>
  <si>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</si>
  <si>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</si>
  <si>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</si>
  <si>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</si>
  <si>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</si>
  <si>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</si>
  <si>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</si>
  <si>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</si>
  <si>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</si>
  <si>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</si>
  <si>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</si>
  <si>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</si>
  <si>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</si>
  <si>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</si>
  <si>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</si>
  <si>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</si>
  <si>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</si>
  <si>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</si>
  <si>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</si>
  <si>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</si>
  <si>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</si>
  <si>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</si>
  <si>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</si>
  <si>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</si>
  <si>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</si>
  <si>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</si>
  <si>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</si>
  <si>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</si>
  <si>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</si>
  <si>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</si>
  <si>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</si>
  <si>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</si>
  <si>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</si>
  <si>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</si>
  <si>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</si>
  <si>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</si>
  <si>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</si>
  <si>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</si>
  <si>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</si>
  <si>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</si>
  <si>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</si>
  <si>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</si>
  <si>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</si>
  <si>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</si>
  <si>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</si>
  <si>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</si>
  <si>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</si>
  <si>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</si>
  <si>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</si>
  <si>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</si>
  <si>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</si>
  <si>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</si>
  <si>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</si>
  <si>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</si>
  <si>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</si>
  <si>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</si>
  <si>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</si>
  <si>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</si>
  <si>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</si>
  <si>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</si>
  <si>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</si>
  <si>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</si>
  <si>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</si>
  <si>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</si>
  <si>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</si>
  <si>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</si>
  <si>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</si>
  <si>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</si>
  <si>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</si>
  <si>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</si>
  <si>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</si>
  <si>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</si>
  <si>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</si>
  <si>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</si>
  <si>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</si>
  <si>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</si>
  <si>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</si>
  <si>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</si>
  <si>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</si>
  <si>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</si>
  <si>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</si>
  <si>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</si>
  <si>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</si>
  <si>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</si>
  <si>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</si>
  <si>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</si>
  <si>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</si>
  <si>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</si>
  <si>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</si>
  <si>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</si>
  <si>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</si>
  <si>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</si>
  <si>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</si>
  <si>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</si>
  <si>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</si>
  <si>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</si>
  <si>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</si>
  <si>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</si>
  <si>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</si>
  <si>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</si>
  <si>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</si>
  <si>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</si>
  <si>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</si>
  <si>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</si>
  <si>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</si>
  <si>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</si>
  <si>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</si>
  <si>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</si>
  <si>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</si>
  <si>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</si>
  <si>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</si>
  <si>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</si>
  <si>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</si>
  <si>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</si>
  <si>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</si>
  <si>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</si>
  <si>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</si>
  <si>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</si>
  <si>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</si>
  <si>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</si>
  <si>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</si>
  <si>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</si>
  <si>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</si>
  <si>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</si>
  <si>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</si>
  <si>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</si>
  <si>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</si>
  <si>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</si>
  <si>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</si>
  <si>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</si>
  <si>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</si>
  <si>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</si>
  <si>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</si>
  <si>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</si>
  <si>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</si>
  <si>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</si>
  <si>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</si>
  <si>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</si>
  <si>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</si>
  <si>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</si>
  <si>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</si>
  <si>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</si>
  <si>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</si>
  <si>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</si>
  <si>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</si>
  <si>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</si>
  <si>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</si>
  <si>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</si>
  <si>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</si>
  <si>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</si>
  <si>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</si>
  <si>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</si>
  <si>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</si>
  <si>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</si>
  <si>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</si>
  <si>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</si>
  <si>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</si>
  <si>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</si>
  <si>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</si>
  <si>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</si>
  <si>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</si>
  <si>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</si>
  <si>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</si>
  <si>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</si>
  <si>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</si>
  <si>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</si>
  <si>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</si>
  <si>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</si>
  <si>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</si>
  <si>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</si>
  <si>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</si>
  <si>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</si>
  <si>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</si>
  <si>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</si>
  <si>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</si>
  <si>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</si>
  <si>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</si>
  <si>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</si>
  <si>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</si>
  <si>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</si>
  <si>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</si>
  <si>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</si>
  <si>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</si>
  <si>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</si>
  <si>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</si>
  <si>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</si>
  <si>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</si>
  <si>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</si>
  <si>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</si>
  <si>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</si>
  <si>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</si>
  <si>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</si>
  <si>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</si>
  <si>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</si>
  <si>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</si>
  <si>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</si>
  <si>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</si>
  <si>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</si>
  <si>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</si>
  <si>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</si>
  <si>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</si>
  <si>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</si>
  <si>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</si>
  <si>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</si>
  <si>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</si>
  <si>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</si>
  <si>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</si>
  <si>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</si>
  <si>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</si>
  <si>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</si>
  <si>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</si>
  <si>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</si>
  <si>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</si>
  <si>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</si>
  <si>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</si>
  <si>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</si>
  <si>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</si>
  <si>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</si>
  <si>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</si>
  <si>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</si>
  <si>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</si>
  <si>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</si>
  <si>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</si>
  <si>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</si>
  <si>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</si>
  <si>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</si>
  <si>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</si>
  <si>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</si>
  <si>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</si>
  <si>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</si>
  <si>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</si>
  <si>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</si>
  <si>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</si>
  <si>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</si>
  <si>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</si>
  <si>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</si>
  <si>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</si>
  <si>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</si>
  <si>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</si>
  <si>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</si>
  <si>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</si>
  <si>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</si>
  <si>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</si>
  <si>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</si>
  <si>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</si>
  <si>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</si>
  <si>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</si>
  <si>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</si>
  <si>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</si>
  <si>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</si>
  <si>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</si>
  <si>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</si>
  <si>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</si>
  <si>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</si>
  <si>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</si>
  <si>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</si>
  <si>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</si>
  <si>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</si>
  <si>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</si>
  <si>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</si>
  <si>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</si>
  <si>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</si>
  <si>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</si>
  <si>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</si>
  <si>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</si>
  <si>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</si>
  <si>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</si>
  <si>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</si>
  <si>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</si>
  <si>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</si>
  <si>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</si>
  <si>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</si>
  <si>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</si>
  <si>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</si>
  <si>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</si>
  <si>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</si>
  <si>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</si>
  <si>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</si>
  <si>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</si>
  <si>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</si>
  <si>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</si>
  <si>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</si>
  <si>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</si>
  <si>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</si>
  <si>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</si>
  <si>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</si>
  <si>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</si>
  <si>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</si>
  <si>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</si>
  <si>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</si>
  <si>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</si>
  <si>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</si>
  <si>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</si>
  <si>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</si>
  <si>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</si>
  <si>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</si>
  <si>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</si>
  <si>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</si>
  <si>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</si>
  <si>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</si>
  <si>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</si>
  <si>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</si>
  <si>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</si>
  <si>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</si>
  <si>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</si>
  <si>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</si>
  <si>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</si>
  <si>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</si>
  <si>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</si>
  <si>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</si>
  <si>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</si>
  <si>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</si>
  <si>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</si>
  <si>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</si>
  <si>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</si>
  <si>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</si>
  <si>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</si>
  <si>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</si>
  <si>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</si>
  <si>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</si>
  <si>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</si>
  <si>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</si>
  <si>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</si>
  <si>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</si>
  <si>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</si>
  <si>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</si>
  <si>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</si>
  <si>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</si>
  <si>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</si>
  <si>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</si>
  <si>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</si>
  <si>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</si>
  <si>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</si>
  <si>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</si>
  <si>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</si>
  <si>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</si>
  <si>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</si>
  <si>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</si>
  <si>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</si>
  <si>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</si>
  <si>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</si>
  <si>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</si>
  <si>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</si>
  <si>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</si>
  <si>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</si>
  <si>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</si>
  <si>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</si>
  <si>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</si>
  <si>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</si>
  <si>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</si>
  <si>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</si>
  <si>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</si>
  <si>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</si>
  <si>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</si>
  <si>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</si>
  <si>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</si>
  <si>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</si>
  <si>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</si>
  <si>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</si>
  <si>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</si>
  <si>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</si>
  <si>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</si>
  <si>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</si>
  <si>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</si>
  <si>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</si>
  <si>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</si>
  <si>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</si>
  <si>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</si>
  <si>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</si>
  <si>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</si>
  <si>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</si>
  <si>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</si>
  <si>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</si>
  <si>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</si>
  <si>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</si>
  <si>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</si>
  <si>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</si>
  <si>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</si>
  <si>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</si>
  <si>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</si>
  <si>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</si>
  <si>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</si>
  <si>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</si>
  <si>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</si>
  <si>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</si>
  <si>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</si>
  <si>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</si>
  <si>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</si>
  <si>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</si>
  <si>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</si>
  <si>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</si>
  <si>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</si>
  <si>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</si>
  <si>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</si>
  <si>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</si>
  <si>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</si>
  <si>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</si>
  <si>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</si>
  <si>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</si>
  <si>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</si>
  <si>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</si>
  <si>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</si>
  <si>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</si>
  <si>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</si>
  <si>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</si>
  <si>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</si>
  <si>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</si>
  <si>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</si>
  <si>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</si>
  <si>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</si>
  <si>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</si>
  <si>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</si>
  <si>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</si>
  <si>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</si>
  <si>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</si>
  <si>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</si>
  <si>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</si>
  <si>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</si>
  <si>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</si>
  <si>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</si>
  <si>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</si>
  <si>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</si>
  <si>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</si>
  <si>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</si>
  <si>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</si>
  <si>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</si>
  <si>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</si>
  <si>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</si>
  <si>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</si>
  <si>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</si>
  <si>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</si>
  <si>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</si>
  <si>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</si>
  <si>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</si>
  <si>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</si>
  <si>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</si>
  <si>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</si>
  <si>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</si>
  <si>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</si>
  <si>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</si>
  <si>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</si>
  <si>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</si>
  <si>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</si>
  <si>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</si>
  <si>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</si>
  <si>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</si>
  <si>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</si>
  <si>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</si>
  <si>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</si>
  <si>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</si>
  <si>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</si>
  <si>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</si>
  <si>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</si>
  <si>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</si>
  <si>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</si>
  <si>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</si>
  <si>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</si>
  <si>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</si>
  <si>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</si>
  <si>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</si>
  <si>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</si>
  <si>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</si>
  <si>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</si>
  <si>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</si>
  <si>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</si>
  <si>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</si>
  <si>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</si>
  <si>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</si>
  <si>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</si>
  <si>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</si>
  <si>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</si>
  <si>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</si>
  <si>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</si>
  <si>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</si>
  <si>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</si>
  <si>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</si>
  <si>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</si>
  <si>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</si>
  <si>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</si>
  <si>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</si>
  <si>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</si>
  <si>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</si>
  <si>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</si>
  <si>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</si>
  <si>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</si>
  <si>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</si>
  <si>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</si>
  <si>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</si>
  <si>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</si>
  <si>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</si>
  <si>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</si>
  <si>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</si>
  <si>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</si>
  <si>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</si>
  <si>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</si>
  <si>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</si>
  <si>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</si>
  <si>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</si>
  <si>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</si>
  <si>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</si>
  <si>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</si>
  <si>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</si>
  <si>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</si>
  <si>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</si>
  <si>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</si>
  <si>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</si>
  <si>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</si>
  <si>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</si>
  <si>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</si>
  <si>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</si>
  <si>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</si>
  <si>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</si>
  <si>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</si>
  <si>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</si>
  <si>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</si>
  <si>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</si>
  <si>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</si>
  <si>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</si>
  <si>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</si>
  <si>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</si>
  <si>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</si>
  <si>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</si>
  <si>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</si>
  <si>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</si>
  <si>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</si>
  <si>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</si>
  <si>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</si>
  <si>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</si>
  <si>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</si>
  <si>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</si>
  <si>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</si>
  <si>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</si>
  <si>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</si>
  <si>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</si>
  <si>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</si>
  <si>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</si>
  <si>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</si>
  <si>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</si>
  <si>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</si>
  <si>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</si>
  <si>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</si>
  <si>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</si>
  <si>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</si>
  <si>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</si>
  <si>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</si>
  <si>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</si>
  <si>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</si>
  <si>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</si>
  <si>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</si>
  <si>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</si>
  <si>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</si>
  <si>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</si>
  <si>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</si>
  <si>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</si>
  <si>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</si>
  <si>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</si>
  <si>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</si>
  <si>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</si>
  <si>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</si>
  <si>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</si>
  <si>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</si>
  <si>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</si>
  <si>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</si>
  <si>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</si>
  <si>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</si>
  <si>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</si>
  <si>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</si>
  <si>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</si>
  <si>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</si>
  <si>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</si>
  <si>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</si>
  <si>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</si>
  <si>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</si>
  <si>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</si>
  <si>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</si>
  <si>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</si>
  <si>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</si>
  <si>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</si>
  <si>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</si>
  <si>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</si>
  <si>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</si>
  <si>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</si>
  <si>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</si>
  <si>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</si>
  <si>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</si>
  <si>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</si>
  <si>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</si>
  <si>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</si>
  <si>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</si>
  <si>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</si>
  <si>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</si>
  <si>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</si>
  <si>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</si>
  <si>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</si>
  <si>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</si>
  <si>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</si>
  <si>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</si>
  <si>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</si>
  <si>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</si>
  <si>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</si>
  <si>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</si>
  <si>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</si>
  <si>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</si>
  <si>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</si>
  <si>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</si>
  <si>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</si>
  <si>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</si>
  <si>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</si>
  <si>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</si>
  <si>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</si>
  <si>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</si>
  <si>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</si>
  <si>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</si>
  <si>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</si>
  <si>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</si>
  <si>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</si>
  <si>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</si>
  <si>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</si>
  <si>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</si>
  <si>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</si>
  <si>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</si>
  <si>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</si>
  <si>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</si>
  <si>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</si>
  <si>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</si>
  <si>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</si>
  <si>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</si>
  <si>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</si>
  <si>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</si>
  <si>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</si>
  <si>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</si>
  <si>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</si>
  <si>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</si>
  <si>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</si>
  <si>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</si>
  <si>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</si>
  <si>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</si>
  <si>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</si>
  <si>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</si>
  <si>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</si>
  <si>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</si>
  <si>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</si>
  <si>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</si>
  <si>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</si>
  <si>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</si>
  <si>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</si>
  <si>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</si>
  <si>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</si>
  <si>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</si>
  <si>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</si>
  <si>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</si>
  <si>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</si>
  <si>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</si>
  <si>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</si>
  <si>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</si>
  <si>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</si>
  <si>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</si>
  <si>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</si>
  <si>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</si>
  <si>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</si>
  <si>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</si>
  <si>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</si>
  <si>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</si>
  <si>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</si>
  <si>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</si>
  <si>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</si>
  <si>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</si>
  <si>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</si>
  <si>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</si>
  <si>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</si>
  <si>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</si>
  <si>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</si>
  <si>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</si>
  <si>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</si>
  <si>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</si>
  <si>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</si>
  <si>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</si>
  <si>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</si>
  <si>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</si>
  <si>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</si>
  <si>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</si>
  <si>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</si>
  <si>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</si>
  <si>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</si>
  <si>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</si>
  <si>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</si>
  <si>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</si>
  <si>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</si>
  <si>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</si>
  <si>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</si>
  <si>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</si>
  <si>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</si>
  <si>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</si>
  <si>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</si>
  <si>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</si>
  <si>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</si>
  <si>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</si>
  <si>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</si>
  <si>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</si>
  <si>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</si>
  <si>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</si>
  <si>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</si>
  <si>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</si>
  <si>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</si>
  <si>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</si>
  <si>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</si>
  <si>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</si>
  <si>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</si>
  <si>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</si>
  <si>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</si>
  <si>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</si>
  <si>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</si>
  <si>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</si>
  <si>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</si>
  <si>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</si>
  <si>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</si>
  <si>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</si>
  <si>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</si>
  <si>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</si>
  <si>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</si>
  <si>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</si>
  <si>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</si>
  <si>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</si>
  <si>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</si>
  <si>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</si>
  <si>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</si>
  <si>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</si>
  <si>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</si>
  <si>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</si>
  <si>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</si>
  <si>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</si>
  <si>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</si>
  <si>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</si>
  <si>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</si>
  <si>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</si>
  <si>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</si>
  <si>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</si>
  <si>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</si>
  <si>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</si>
  <si>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</si>
  <si>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</si>
  <si>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</si>
  <si>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</si>
  <si>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</si>
  <si>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</si>
  <si>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</si>
  <si>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</si>
  <si>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</si>
  <si>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</si>
  <si>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</si>
  <si>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</si>
  <si>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</si>
  <si>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</si>
  <si>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</si>
  <si>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</si>
  <si>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</si>
  <si>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</si>
  <si>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</si>
  <si>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</si>
  <si>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</si>
  <si>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</si>
  <si>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</si>
  <si>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</si>
  <si>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</si>
  <si>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</si>
  <si>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</si>
  <si>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</si>
  <si>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</si>
  <si>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</si>
  <si>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</si>
  <si>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</si>
  <si>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</si>
  <si>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</si>
  <si>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</si>
  <si>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</si>
  <si>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</si>
  <si>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</si>
  <si>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</si>
  <si>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</si>
  <si>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</si>
  <si>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</si>
  <si>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</si>
  <si>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</si>
  <si>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</si>
  <si>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</si>
  <si>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</si>
  <si>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</si>
  <si>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</si>
  <si>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</si>
  <si>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</si>
  <si>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</si>
  <si>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</si>
  <si>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</si>
  <si>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</si>
  <si>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</si>
  <si>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</si>
  <si>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</si>
  <si>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</si>
  <si>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</si>
  <si>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</si>
  <si>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</si>
  <si>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</si>
  <si>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</si>
  <si>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</si>
  <si>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</si>
  <si>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</si>
  <si>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</si>
  <si>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</si>
  <si>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</si>
  <si>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</si>
  <si>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</si>
  <si>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</si>
  <si>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</si>
  <si>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</si>
  <si>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</si>
  <si>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</si>
  <si>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</si>
  <si>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</si>
  <si>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</si>
  <si>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</si>
  <si>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</si>
  <si>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</si>
  <si>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</si>
  <si>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</si>
  <si>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</si>
  <si>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</si>
  <si>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</si>
  <si>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</si>
  <si>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</si>
  <si>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</si>
  <si>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</si>
  <si>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</si>
  <si>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</si>
  <si>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</si>
  <si>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</si>
  <si>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</si>
  <si>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</si>
  <si>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</si>
  <si>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</si>
  <si>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</si>
  <si>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</si>
  <si>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</si>
  <si>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</si>
  <si>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</si>
  <si>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</si>
  <si>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</si>
  <si>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</si>
  <si>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</si>
  <si>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</si>
  <si>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</si>
  <si>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</si>
  <si>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</si>
  <si>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</si>
  <si>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</si>
  <si>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</si>
  <si>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</si>
  <si>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</si>
  <si>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</si>
  <si>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</si>
  <si>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</si>
  <si>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</si>
  <si>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</si>
  <si>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</si>
  <si>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</si>
  <si>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</si>
  <si>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</si>
  <si>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</si>
  <si>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</si>
  <si>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</si>
  <si>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</si>
  <si>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</si>
  <si>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</si>
  <si>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</si>
  <si>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</si>
  <si>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</si>
  <si>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</si>
  <si>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</si>
  <si>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</si>
  <si>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</si>
  <si>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</si>
  <si>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</si>
  <si>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</si>
  <si>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</si>
  <si>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</si>
  <si>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</si>
  <si>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</si>
  <si>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</si>
  <si>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</si>
  <si>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</si>
  <si>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</si>
  <si>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</si>
  <si>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</si>
  <si>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</si>
  <si>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</si>
  <si>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</si>
  <si>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</si>
  <si>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</si>
  <si>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</si>
  <si>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</si>
  <si>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</si>
  <si>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</si>
  <si>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</si>
  <si>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</si>
  <si>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</si>
  <si>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</si>
  <si>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</si>
  <si>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</si>
  <si>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</si>
  <si>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</si>
  <si>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</si>
  <si>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</si>
  <si>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</si>
  <si>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</si>
  <si>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</si>
  <si>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</si>
  <si>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</si>
  <si>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</si>
  <si>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</si>
  <si>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</si>
  <si>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</si>
  <si>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</si>
  <si>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</si>
  <si>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</si>
  <si>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</si>
  <si>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</si>
  <si>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</si>
  <si>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</si>
  <si>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</si>
  <si>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</si>
  <si>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</si>
  <si>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</si>
  <si>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</si>
  <si>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</si>
  <si>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</si>
  <si>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</si>
  <si>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</si>
  <si>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</si>
  <si>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</si>
  <si>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</si>
  <si>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</si>
  <si>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</si>
  <si>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</si>
  <si>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</si>
  <si>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</si>
  <si>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</si>
  <si>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</si>
  <si>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</si>
  <si>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</si>
  <si>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</si>
  <si>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</si>
  <si>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</si>
  <si>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</si>
  <si>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</si>
  <si>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</si>
  <si>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</si>
  <si>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</si>
  <si>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</si>
  <si>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</si>
  <si>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</si>
  <si>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</si>
  <si>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</si>
  <si>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</si>
  <si>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</si>
  <si>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</si>
  <si>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</si>
  <si>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</si>
  <si>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</si>
  <si>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</si>
  <si>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</si>
  <si>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</si>
  <si>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</si>
  <si>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</si>
  <si>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</si>
  <si>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</si>
  <si>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</si>
  <si>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</si>
  <si>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</si>
  <si>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</si>
  <si>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</si>
  <si>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</si>
  <si>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</si>
  <si>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</si>
  <si>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</si>
  <si>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</si>
  <si>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</si>
  <si>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</si>
  <si>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</si>
  <si>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</si>
  <si>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</si>
  <si>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</si>
  <si>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</si>
  <si>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</si>
  <si>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</si>
  <si>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</si>
  <si>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</si>
  <si>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</si>
  <si>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</si>
  <si>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</si>
  <si>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</si>
  <si>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</si>
  <si>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</si>
  <si>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</si>
  <si>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</si>
  <si>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</si>
  <si>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</si>
  <si>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</si>
  <si>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</si>
  <si>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</si>
  <si>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</si>
  <si>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</si>
  <si>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</si>
  <si>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</si>
  <si>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</si>
  <si>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</si>
  <si>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</si>
  <si>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</si>
  <si>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</si>
  <si>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</si>
  <si>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</si>
  <si>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</si>
  <si>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</si>
  <si>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</si>
  <si>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</si>
  <si>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</si>
  <si>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</si>
  <si>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</si>
  <si>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</si>
  <si>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</si>
  <si>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</si>
  <si>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</si>
  <si>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</si>
  <si>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</si>
  <si>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</si>
  <si>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</si>
  <si>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</si>
  <si>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</si>
  <si>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</si>
  <si>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</si>
  <si>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</si>
  <si>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</si>
  <si>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</si>
  <si>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</si>
  <si>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</si>
  <si>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</si>
  <si>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</si>
  <si>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</si>
  <si>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</si>
  <si>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</si>
  <si>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</si>
  <si>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</si>
  <si>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</si>
  <si>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</si>
  <si>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</si>
  <si>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</si>
  <si>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</si>
  <si>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</si>
  <si>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</si>
  <si>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</si>
  <si>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</si>
  <si>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</si>
  <si>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</si>
  <si>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</si>
  <si>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</si>
  <si>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</si>
  <si>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</si>
  <si>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</si>
  <si>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</si>
  <si>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</si>
  <si>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</si>
  <si>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</si>
  <si>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</si>
  <si>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</si>
  <si>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</si>
  <si>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</si>
  <si>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</si>
  <si>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</si>
  <si>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</si>
  <si>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</si>
  <si>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</si>
  <si>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</si>
  <si>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</si>
  <si>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</si>
  <si>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</si>
  <si>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</si>
  <si>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</si>
  <si>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</si>
  <si>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</si>
  <si>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</si>
  <si>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</si>
  <si>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</si>
  <si>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</si>
  <si>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</si>
  <si>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</si>
  <si>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</si>
  <si>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</si>
  <si>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</si>
  <si>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</si>
  <si>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</si>
  <si>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</si>
  <si>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</si>
  <si>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</si>
  <si>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</si>
  <si>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</si>
  <si>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</si>
  <si>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</si>
  <si>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</si>
  <si>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</si>
  <si>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</si>
  <si>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</si>
  <si>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</si>
  <si>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</si>
  <si>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</si>
  <si>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</si>
  <si>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</si>
  <si>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</si>
  <si>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</si>
  <si>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</si>
  <si>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</si>
  <si>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</si>
  <si>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</si>
  <si>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</si>
  <si>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</si>
  <si>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</si>
  <si>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</si>
  <si>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</si>
  <si>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</si>
  <si>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</si>
  <si>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</si>
  <si>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</si>
  <si>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</si>
  <si>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</si>
  <si>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</si>
  <si>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</si>
  <si>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</si>
  <si>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</si>
  <si>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</si>
  <si>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</si>
  <si>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</si>
  <si>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</si>
  <si>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</si>
  <si>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</si>
  <si>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</si>
  <si>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</si>
  <si>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</si>
  <si>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</si>
  <si>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</si>
  <si>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</si>
  <si>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</si>
  <si>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</si>
  <si>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</si>
  <si>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</si>
  <si>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</si>
  <si>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</si>
  <si>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</si>
  <si>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</si>
  <si>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</si>
  <si>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</si>
  <si>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</si>
  <si>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</si>
  <si>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</si>
  <si>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</si>
  <si>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</si>
  <si>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</si>
  <si>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</si>
  <si>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</si>
  <si>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</si>
  <si>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</si>
  <si>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</si>
  <si>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</si>
  <si>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</si>
  <si>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</si>
  <si>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</si>
  <si>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</si>
  <si>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</si>
  <si>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</si>
  <si>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</si>
  <si>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</si>
  <si>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</si>
  <si>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</si>
  <si>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</si>
  <si>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</si>
  <si>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</si>
  <si>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</si>
  <si>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</si>
  <si>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</si>
  <si>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</si>
  <si>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</si>
  <si>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</si>
  <si>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</si>
  <si>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</si>
  <si>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</si>
  <si>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</si>
  <si>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</si>
  <si>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</si>
  <si>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</si>
  <si>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</si>
  <si>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</si>
  <si>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</si>
  <si>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</si>
  <si>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</si>
  <si>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</si>
  <si>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</si>
  <si>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</si>
  <si>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</si>
  <si>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</si>
  <si>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</si>
  <si>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</si>
  <si>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</si>
  <si>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</si>
  <si>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</si>
  <si>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</si>
  <si>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</si>
  <si>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</si>
  <si>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</si>
  <si>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</si>
  <si>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</si>
  <si>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</si>
  <si>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</si>
  <si>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</si>
  <si>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</si>
  <si>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</si>
  <si>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</si>
  <si>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</si>
  <si>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</si>
  <si>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</si>
  <si>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</si>
  <si>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</si>
  <si>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</si>
  <si>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</si>
  <si>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</si>
  <si>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</si>
  <si>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</si>
  <si>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</si>
  <si>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</si>
  <si>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</si>
  <si>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</si>
  <si>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</si>
  <si>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</si>
  <si>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</si>
  <si>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</si>
  <si>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</si>
  <si>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</si>
  <si>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</si>
  <si>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</si>
  <si>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</si>
  <si>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</si>
  <si>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</si>
  <si>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</si>
  <si>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</si>
  <si>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</si>
  <si>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</si>
  <si>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</si>
  <si>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</si>
  <si>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</si>
  <si>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</si>
  <si>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</si>
  <si>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</si>
  <si>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</si>
  <si>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</si>
  <si>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</si>
  <si>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</si>
  <si>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</si>
  <si>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</si>
  <si>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</si>
  <si>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</si>
  <si>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</si>
  <si>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</si>
  <si>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</si>
  <si>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</si>
  <si>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</si>
  <si>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</si>
  <si>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</si>
  <si>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</si>
  <si>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</si>
  <si>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</si>
  <si>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</si>
  <si>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</si>
  <si>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</si>
  <si>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</si>
  <si>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</si>
  <si>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</si>
  <si>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</si>
  <si>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</si>
  <si>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</si>
  <si>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</si>
  <si>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</si>
  <si>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</si>
  <si>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</si>
  <si>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</si>
  <si>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</si>
  <si>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</si>
  <si>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</si>
  <si>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</si>
  <si>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</si>
  <si>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</si>
  <si>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</si>
  <si>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</si>
  <si>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</si>
  <si>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</si>
  <si>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</si>
  <si>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</si>
  <si>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</si>
  <si>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</si>
  <si>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</si>
  <si>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</si>
  <si>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</si>
  <si>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</si>
  <si>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</si>
  <si>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</si>
  <si>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</si>
  <si>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</si>
  <si>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</si>
  <si>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</si>
  <si>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</si>
  <si>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</si>
  <si>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</si>
  <si>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</si>
  <si>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</si>
  <si>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</si>
  <si>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</si>
  <si>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</si>
  <si>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</si>
  <si>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</si>
  <si>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</si>
  <si>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</si>
  <si>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</si>
  <si>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</si>
  <si>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</si>
  <si>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</si>
  <si>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</si>
  <si>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</si>
  <si>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</si>
  <si>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</si>
  <si>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</si>
  <si>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</si>
  <si>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</si>
  <si>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</si>
  <si>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</si>
  <si>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</si>
  <si>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</si>
  <si>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</si>
  <si>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</si>
  <si>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</si>
  <si>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</si>
  <si>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</si>
  <si>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</si>
  <si>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</si>
  <si>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</si>
  <si>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</si>
  <si>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</si>
  <si>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</si>
  <si>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</si>
  <si>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</si>
  <si>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</si>
  <si>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</si>
  <si>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</si>
  <si>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</si>
  <si>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</si>
  <si>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</si>
  <si>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</si>
  <si>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</si>
  <si>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</si>
  <si>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</si>
  <si>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</si>
  <si>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</si>
  <si>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</si>
  <si>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</si>
  <si>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</si>
  <si>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</si>
  <si>
    <t>Муниципальная программа "Предпринимательство"</t>
  </si>
  <si>
    <t>Основное мероприятие "Реализация механизмов муниципальной поддержки субъектов малого и среднего предпринимательства"</t>
  </si>
  <si>
    <t>Содействие развитию малого и среднего предпринимательства</t>
  </si>
  <si>
    <t>11 3 02 00750</t>
  </si>
  <si>
    <t>11 3 02 00000</t>
  </si>
  <si>
    <t>Подпрограмма "Развитие малого и среднего предпринимательства"</t>
  </si>
  <si>
    <t>11 3 00 00000</t>
  </si>
  <si>
    <t>11 0 00 00000</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</si>
  <si>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 "Ориент" Лыткарино")</t>
  </si>
  <si>
    <t>Капитальный ремонт, приобретение, монтаж и ввод в эксплуатацию объектов коммунальной инфраструктуры за счет средств местного бюджета(капитальный ремонт сетей теплоснабжения)</t>
  </si>
  <si>
    <t>10 3 02 70321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</si>
</sst>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93">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1" xfId="0" applyFont="1" applyFill="1" applyBorder="1" applyAlignment="1">
      <alignment horizontal="left" vertical="center" wrapText="1"/>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3" fillId="4" borderId="9" xfId="0" applyFont="1" applyFill="1" applyBorder="1" applyAlignment="1">
      <alignment horizontal="left" wrapText="1"/>
    </xf>
    <xf numFmtId="164" fontId="63" fillId="4" borderId="0" xfId="0" applyNumberFormat="1" applyFont="1" applyFill="1" applyAlignment="1"/>
    <xf numFmtId="0" fontId="60" fillId="0" borderId="15" xfId="0" applyFont="1" applyFill="1" applyBorder="1" applyAlignment="1">
      <alignment vertical="center" wrapText="1"/>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539</xdr:row>
      <xdr:rowOff>0</xdr:rowOff>
    </xdr:from>
    <xdr:to>
      <xdr:col>23</xdr:col>
      <xdr:colOff>304800</xdr:colOff>
      <xdr:row>540</xdr:row>
      <xdr:rowOff>94593</xdr:rowOff>
    </xdr:to>
    <xdr:sp macro="" textlink="">
      <xdr:nvSpPr>
        <xdr:cNvPr id="27649" name="AutoShape 1" descr="https://nsi.reb.mosreg.ru/application/resources/retools/img/lock-grayed-out.png"/>
        <xdr:cNvSpPr>
          <a:spLocks noChangeAspect="1" noChangeArrowheads="1"/>
        </xdr:cNvSpPr>
      </xdr:nvSpPr>
      <xdr:spPr bwMode="auto">
        <a:xfrm>
          <a:off x="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539</xdr:row>
      <xdr:rowOff>0</xdr:rowOff>
    </xdr:from>
    <xdr:to>
      <xdr:col>24</xdr:col>
      <xdr:colOff>304800</xdr:colOff>
      <xdr:row>540</xdr:row>
      <xdr:rowOff>94593</xdr:rowOff>
    </xdr:to>
    <xdr:sp macro="" textlink="">
      <xdr:nvSpPr>
        <xdr:cNvPr id="27650" name="AutoShape 2" descr="https://nsi.reb.mosreg.ru/application/resources/core/style/img/protocol/IGNORED.png"/>
        <xdr:cNvSpPr>
          <a:spLocks noChangeAspect="1" noChangeArrowheads="1"/>
        </xdr:cNvSpPr>
      </xdr:nvSpPr>
      <xdr:spPr bwMode="auto">
        <a:xfrm>
          <a:off x="640080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36</xdr:col>
      <xdr:colOff>563880</xdr:colOff>
      <xdr:row>539</xdr:row>
      <xdr:rowOff>0</xdr:rowOff>
    </xdr:from>
    <xdr:to>
      <xdr:col>37</xdr:col>
      <xdr:colOff>228600</xdr:colOff>
      <xdr:row>540</xdr:row>
      <xdr:rowOff>92578</xdr:rowOff>
    </xdr:to>
    <xdr:sp macro="" textlink="">
      <xdr:nvSpPr>
        <xdr:cNvPr id="27662" name="AutoShape 14" descr="Выбор даты"/>
        <xdr:cNvSpPr>
          <a:spLocks noChangeAspect="1" noChangeArrowheads="1"/>
        </xdr:cNvSpPr>
      </xdr:nvSpPr>
      <xdr:spPr bwMode="auto">
        <a:xfrm>
          <a:off x="1696212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563880</xdr:colOff>
      <xdr:row>539</xdr:row>
      <xdr:rowOff>0</xdr:rowOff>
    </xdr:from>
    <xdr:to>
      <xdr:col>38</xdr:col>
      <xdr:colOff>228600</xdr:colOff>
      <xdr:row>540</xdr:row>
      <xdr:rowOff>92578</xdr:rowOff>
    </xdr:to>
    <xdr:sp macro="" textlink="">
      <xdr:nvSpPr>
        <xdr:cNvPr id="27664" name="AutoShape 16" descr="Выбор даты"/>
        <xdr:cNvSpPr>
          <a:spLocks noChangeAspect="1" noChangeArrowheads="1"/>
        </xdr:cNvSpPr>
      </xdr:nvSpPr>
      <xdr:spPr bwMode="auto">
        <a:xfrm>
          <a:off x="176022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42</xdr:col>
      <xdr:colOff>563880</xdr:colOff>
      <xdr:row>539</xdr:row>
      <xdr:rowOff>0</xdr:rowOff>
    </xdr:from>
    <xdr:to>
      <xdr:col>43</xdr:col>
      <xdr:colOff>228600</xdr:colOff>
      <xdr:row>540</xdr:row>
      <xdr:rowOff>92578</xdr:rowOff>
    </xdr:to>
    <xdr:sp macro="" textlink="">
      <xdr:nvSpPr>
        <xdr:cNvPr id="27666" name="AutoShape 18" descr="Выбор даты"/>
        <xdr:cNvSpPr>
          <a:spLocks noChangeAspect="1" noChangeArrowheads="1"/>
        </xdr:cNvSpPr>
      </xdr:nvSpPr>
      <xdr:spPr bwMode="auto">
        <a:xfrm>
          <a:off x="208026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44</xdr:col>
      <xdr:colOff>563880</xdr:colOff>
      <xdr:row>539</xdr:row>
      <xdr:rowOff>0</xdr:rowOff>
    </xdr:from>
    <xdr:to>
      <xdr:col>45</xdr:col>
      <xdr:colOff>228600</xdr:colOff>
      <xdr:row>540</xdr:row>
      <xdr:rowOff>92578</xdr:rowOff>
    </xdr:to>
    <xdr:sp macro="" textlink="">
      <xdr:nvSpPr>
        <xdr:cNvPr id="27669" name="AutoShape 21" descr="Выбор даты"/>
        <xdr:cNvSpPr>
          <a:spLocks noChangeAspect="1" noChangeArrowheads="1"/>
        </xdr:cNvSpPr>
      </xdr:nvSpPr>
      <xdr:spPr bwMode="auto">
        <a:xfrm>
          <a:off x="2208276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53</xdr:col>
      <xdr:colOff>563880</xdr:colOff>
      <xdr:row>539</xdr:row>
      <xdr:rowOff>0</xdr:rowOff>
    </xdr:from>
    <xdr:to>
      <xdr:col>54</xdr:col>
      <xdr:colOff>228600</xdr:colOff>
      <xdr:row>540</xdr:row>
      <xdr:rowOff>91440</xdr:rowOff>
    </xdr:to>
    <xdr:sp macro="" textlink="">
      <xdr:nvSpPr>
        <xdr:cNvPr id="27678" name="AutoShape 30" descr="Выбор даты"/>
        <xdr:cNvSpPr>
          <a:spLocks noChangeAspect="1" noChangeArrowheads="1"/>
        </xdr:cNvSpPr>
      </xdr:nvSpPr>
      <xdr:spPr bwMode="auto">
        <a:xfrm>
          <a:off x="278434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54</xdr:col>
      <xdr:colOff>563880</xdr:colOff>
      <xdr:row>539</xdr:row>
      <xdr:rowOff>0</xdr:rowOff>
    </xdr:from>
    <xdr:to>
      <xdr:col>55</xdr:col>
      <xdr:colOff>228600</xdr:colOff>
      <xdr:row>540</xdr:row>
      <xdr:rowOff>91440</xdr:rowOff>
    </xdr:to>
    <xdr:sp macro="" textlink="">
      <xdr:nvSpPr>
        <xdr:cNvPr id="27680" name="AutoShape 32" descr="Выбор даты"/>
        <xdr:cNvSpPr>
          <a:spLocks noChangeAspect="1" noChangeArrowheads="1"/>
        </xdr:cNvSpPr>
      </xdr:nvSpPr>
      <xdr:spPr bwMode="auto">
        <a:xfrm>
          <a:off x="2848356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63</xdr:col>
      <xdr:colOff>563880</xdr:colOff>
      <xdr:row>539</xdr:row>
      <xdr:rowOff>0</xdr:rowOff>
    </xdr:from>
    <xdr:to>
      <xdr:col>64</xdr:col>
      <xdr:colOff>228600</xdr:colOff>
      <xdr:row>540</xdr:row>
      <xdr:rowOff>91440</xdr:rowOff>
    </xdr:to>
    <xdr:sp macro="" textlink="">
      <xdr:nvSpPr>
        <xdr:cNvPr id="27689" name="AutoShape 41" descr="Выбор даты"/>
        <xdr:cNvSpPr>
          <a:spLocks noChangeAspect="1" noChangeArrowheads="1"/>
        </xdr:cNvSpPr>
      </xdr:nvSpPr>
      <xdr:spPr bwMode="auto">
        <a:xfrm>
          <a:off x="342442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6" t="s">
        <v>255</v>
      </c>
      <c r="C11" s="846"/>
      <c r="D11" s="846"/>
      <c r="E11" s="846"/>
      <c r="F11" s="846"/>
      <c r="G11" s="846"/>
      <c r="H11" s="846"/>
    </row>
    <row r="12" spans="1:8" x14ac:dyDescent="0.25">
      <c r="B12" s="846" t="s">
        <v>440</v>
      </c>
      <c r="C12" s="846"/>
      <c r="D12" s="846"/>
      <c r="E12" s="846"/>
      <c r="F12" s="846"/>
      <c r="G12" s="846"/>
      <c r="H12" s="846"/>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45" t="s">
        <v>108</v>
      </c>
      <c r="C2622" s="845"/>
      <c r="D2622" s="845"/>
      <c r="E2622" s="845"/>
      <c r="F2622" s="845"/>
      <c r="G2622" s="845"/>
      <c r="H2622" s="845"/>
    </row>
    <row r="2623" spans="1:9" s="52" customFormat="1" ht="22.5" customHeight="1" x14ac:dyDescent="0.25">
      <c r="A2623" s="29"/>
      <c r="B2623" s="845" t="s">
        <v>548</v>
      </c>
      <c r="C2623" s="845"/>
      <c r="D2623" s="845"/>
      <c r="E2623" s="845"/>
      <c r="F2623" s="845"/>
      <c r="G2623" s="845"/>
      <c r="H2623" s="845"/>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t="e">
        <f>C15-'ведом. 2021-2023'!#REF!</f>
        <v>#REF!</v>
      </c>
    </row>
    <row r="16" spans="1:5" x14ac:dyDescent="0.2">
      <c r="A16" s="139" t="s">
        <v>1450</v>
      </c>
      <c r="B16" s="103" t="s">
        <v>39</v>
      </c>
      <c r="C16" s="113">
        <f>1500000+55107</f>
        <v>1555107</v>
      </c>
      <c r="D16" s="130">
        <f>C16-'ведом. 2021-2023'!G71</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1453</v>
      </c>
      <c r="B20" s="99" t="s">
        <v>1460</v>
      </c>
      <c r="C20" s="112">
        <f>SUM(C21:C29)</f>
        <v>12972</v>
      </c>
      <c r="D20" s="129">
        <f>C20-'ведом. 2021-2023'!G157</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2021-2023'!G240</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2021-2023'!G373</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2021-2023'!G398</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2021-2023'!G429</f>
        <v>4620983</v>
      </c>
      <c r="E86" s="175">
        <f>C86-[1]свод!$E$210</f>
        <v>0</v>
      </c>
    </row>
    <row r="87" spans="1:5" x14ac:dyDescent="0.2">
      <c r="A87" s="138" t="s">
        <v>1061</v>
      </c>
      <c r="B87" s="96" t="s">
        <v>1062</v>
      </c>
      <c r="C87" s="113">
        <f>2049557+253950+3000</f>
        <v>2306507</v>
      </c>
      <c r="D87" s="130">
        <f>C87-'ведом. 2021-2023'!G430</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2021-2023'!G490</f>
        <v>43410314</v>
      </c>
      <c r="E106" s="175">
        <f>C106-[1]свод!$E$212</f>
        <v>0</v>
      </c>
    </row>
    <row r="107" spans="1:5" x14ac:dyDescent="0.2">
      <c r="A107" s="138" t="s">
        <v>881</v>
      </c>
      <c r="B107" s="97" t="s">
        <v>1313</v>
      </c>
      <c r="C107" s="113">
        <v>142633</v>
      </c>
      <c r="D107" s="130">
        <f>C107-'ведом. 2021-2023'!G491</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2021-2023'!G497</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0"/>
  <sheetViews>
    <sheetView view="pageBreakPreview" topLeftCell="A553" zoomScale="87" zoomScaleNormal="100" zoomScaleSheetLayoutView="87" zoomScalePageLayoutView="80" workbookViewId="0">
      <selection activeCell="A573" sqref="A573"/>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7"/>
      <c r="H1" s="848"/>
      <c r="I1" s="848"/>
      <c r="J1" s="739"/>
      <c r="K1" s="739" t="s">
        <v>2386</v>
      </c>
    </row>
    <row r="2" spans="1:15" x14ac:dyDescent="0.25">
      <c r="G2" s="738"/>
      <c r="H2" s="739"/>
      <c r="I2" s="739"/>
      <c r="J2" s="849" t="s">
        <v>2387</v>
      </c>
      <c r="K2" s="850"/>
    </row>
    <row r="3" spans="1:15" x14ac:dyDescent="0.25">
      <c r="G3" s="664"/>
      <c r="H3" s="738"/>
      <c r="I3" s="849" t="s">
        <v>2317</v>
      </c>
      <c r="J3" s="851"/>
      <c r="K3" s="851"/>
    </row>
    <row r="4" spans="1:15" x14ac:dyDescent="0.25">
      <c r="G4" s="849" t="s">
        <v>2318</v>
      </c>
      <c r="H4" s="851"/>
      <c r="I4" s="851"/>
      <c r="J4" s="851"/>
      <c r="K4" s="851"/>
    </row>
    <row r="5" spans="1:15" x14ac:dyDescent="0.25">
      <c r="G5" s="740"/>
      <c r="H5" s="741"/>
      <c r="I5" s="741"/>
      <c r="J5" s="741"/>
      <c r="K5" s="741"/>
    </row>
    <row r="6" spans="1:15" s="306" customFormat="1" ht="15.75" x14ac:dyDescent="0.25">
      <c r="A6" s="503"/>
      <c r="B6" s="539"/>
      <c r="C6" s="539"/>
      <c r="D6" s="856"/>
      <c r="E6" s="856"/>
      <c r="F6" s="857" t="s">
        <v>2390</v>
      </c>
      <c r="G6" s="858"/>
      <c r="H6" s="858"/>
      <c r="I6" s="858"/>
      <c r="J6" s="858"/>
      <c r="K6" s="855"/>
    </row>
    <row r="7" spans="1:15" s="306" customFormat="1" ht="15.75" x14ac:dyDescent="0.25">
      <c r="A7" s="503"/>
      <c r="B7" s="539"/>
      <c r="C7" s="539"/>
      <c r="D7" s="268"/>
      <c r="E7" s="503"/>
      <c r="F7" s="734"/>
      <c r="G7" s="728"/>
      <c r="H7" s="849" t="s">
        <v>2317</v>
      </c>
      <c r="I7" s="859"/>
      <c r="J7" s="859"/>
      <c r="K7" s="855"/>
    </row>
    <row r="8" spans="1:15" ht="15.75" x14ac:dyDescent="0.25">
      <c r="B8" s="245"/>
      <c r="C8" s="245"/>
      <c r="F8" s="860" t="s">
        <v>2391</v>
      </c>
      <c r="G8" s="861"/>
      <c r="H8" s="861"/>
      <c r="I8" s="861"/>
      <c r="J8" s="855"/>
      <c r="K8" s="855"/>
    </row>
    <row r="9" spans="1:15" ht="15.75" x14ac:dyDescent="0.25">
      <c r="B9" s="245"/>
      <c r="C9" s="245"/>
      <c r="F9" s="730"/>
      <c r="G9" s="733"/>
      <c r="H9" s="733"/>
      <c r="I9" s="733"/>
      <c r="J9" s="729"/>
      <c r="K9" s="729"/>
    </row>
    <row r="10" spans="1:15" ht="15.75" x14ac:dyDescent="0.25">
      <c r="B10" s="245"/>
      <c r="C10" s="245"/>
      <c r="F10" s="540"/>
      <c r="G10" s="434"/>
      <c r="H10" s="434"/>
      <c r="I10" s="434"/>
      <c r="J10" s="306"/>
    </row>
    <row r="11" spans="1:15" ht="116.45" customHeight="1" x14ac:dyDescent="0.2">
      <c r="A11" s="852" t="s">
        <v>2330</v>
      </c>
      <c r="B11" s="853"/>
      <c r="C11" s="853"/>
      <c r="D11" s="853"/>
      <c r="E11" s="853"/>
      <c r="F11" s="854"/>
      <c r="G11" s="854"/>
      <c r="H11" s="854"/>
      <c r="I11" s="854"/>
      <c r="J11" s="855"/>
      <c r="K11" s="855"/>
    </row>
    <row r="12" spans="1:15" ht="22.9" customHeight="1" thickBot="1" x14ac:dyDescent="0.3">
      <c r="K12" s="251" t="s">
        <v>1833</v>
      </c>
    </row>
    <row r="13" spans="1:15" ht="100.5" thickBot="1" x14ac:dyDescent="0.25">
      <c r="A13" s="509" t="s">
        <v>1601</v>
      </c>
      <c r="B13" s="536" t="s">
        <v>37</v>
      </c>
      <c r="C13" s="510" t="s">
        <v>391</v>
      </c>
      <c r="D13" s="510" t="s">
        <v>38</v>
      </c>
      <c r="E13" s="511" t="s">
        <v>1393</v>
      </c>
      <c r="F13" s="513" t="s">
        <v>2218</v>
      </c>
      <c r="G13" s="512" t="s">
        <v>2304</v>
      </c>
      <c r="H13" s="513" t="s">
        <v>2219</v>
      </c>
      <c r="I13" s="512" t="s">
        <v>2304</v>
      </c>
      <c r="J13" s="513" t="s">
        <v>2306</v>
      </c>
      <c r="K13" s="512" t="s">
        <v>2304</v>
      </c>
    </row>
    <row r="14" spans="1:15" thickBot="1" x14ac:dyDescent="0.3">
      <c r="A14" s="557">
        <v>1</v>
      </c>
      <c r="B14" s="666">
        <v>2</v>
      </c>
      <c r="C14" s="667">
        <v>3</v>
      </c>
      <c r="D14" s="667">
        <v>4</v>
      </c>
      <c r="E14" s="668">
        <v>5</v>
      </c>
      <c r="F14" s="496">
        <v>6</v>
      </c>
      <c r="G14" s="474">
        <v>7</v>
      </c>
      <c r="H14" s="496">
        <v>8</v>
      </c>
      <c r="I14" s="474">
        <v>9</v>
      </c>
      <c r="J14" s="496">
        <v>10</v>
      </c>
      <c r="K14" s="474">
        <v>11</v>
      </c>
    </row>
    <row r="15" spans="1:15" s="442" customFormat="1" x14ac:dyDescent="0.25">
      <c r="A15" s="665" t="s">
        <v>482</v>
      </c>
      <c r="B15" s="755" t="s">
        <v>566</v>
      </c>
      <c r="C15" s="756"/>
      <c r="D15" s="757"/>
      <c r="E15" s="758"/>
      <c r="F15" s="750">
        <f t="shared" ref="F15:K15" si="0">F16+F23+F56+F100+F144+F162+F170</f>
        <v>271199.3</v>
      </c>
      <c r="G15" s="475">
        <f t="shared" si="0"/>
        <v>5240</v>
      </c>
      <c r="H15" s="475">
        <f t="shared" si="0"/>
        <v>223800.00000000003</v>
      </c>
      <c r="I15" s="475">
        <f t="shared" si="0"/>
        <v>4712</v>
      </c>
      <c r="J15" s="475">
        <f t="shared" si="0"/>
        <v>213096.7</v>
      </c>
      <c r="K15" s="475">
        <f t="shared" si="0"/>
        <v>4329</v>
      </c>
      <c r="L15" s="466"/>
      <c r="N15" s="466"/>
      <c r="O15" s="466"/>
    </row>
    <row r="16" spans="1:15" s="442" customFormat="1" ht="31.5" x14ac:dyDescent="0.25">
      <c r="A16" s="524" t="s">
        <v>249</v>
      </c>
      <c r="B16" s="615" t="s">
        <v>566</v>
      </c>
      <c r="C16" s="235" t="s">
        <v>567</v>
      </c>
      <c r="D16" s="249"/>
      <c r="E16" s="577"/>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1" t="s">
        <v>1899</v>
      </c>
      <c r="B17" s="615" t="s">
        <v>566</v>
      </c>
      <c r="C17" s="235" t="s">
        <v>567</v>
      </c>
      <c r="D17" s="443" t="s">
        <v>1772</v>
      </c>
      <c r="E17" s="577"/>
      <c r="F17" s="292">
        <f>F18</f>
        <v>2587.8000000000002</v>
      </c>
      <c r="G17" s="476"/>
      <c r="H17" s="476">
        <f>H18</f>
        <v>2587.8000000000002</v>
      </c>
      <c r="I17" s="476"/>
      <c r="J17" s="476">
        <f t="shared" si="1"/>
        <v>2587.8000000000002</v>
      </c>
      <c r="K17" s="476"/>
      <c r="L17" s="466"/>
      <c r="N17" s="466"/>
      <c r="O17" s="466"/>
    </row>
    <row r="18" spans="1:15" s="442" customFormat="1" x14ac:dyDescent="0.25">
      <c r="A18" s="521" t="s">
        <v>1908</v>
      </c>
      <c r="B18" s="615" t="s">
        <v>566</v>
      </c>
      <c r="C18" s="235" t="s">
        <v>567</v>
      </c>
      <c r="D18" s="443" t="s">
        <v>1909</v>
      </c>
      <c r="E18" s="577"/>
      <c r="F18" s="292">
        <f>F19</f>
        <v>2587.8000000000002</v>
      </c>
      <c r="G18" s="476"/>
      <c r="H18" s="476">
        <f>H19</f>
        <v>2587.8000000000002</v>
      </c>
      <c r="I18" s="476"/>
      <c r="J18" s="476">
        <f t="shared" si="1"/>
        <v>2587.8000000000002</v>
      </c>
      <c r="K18" s="476"/>
      <c r="L18" s="466"/>
      <c r="N18" s="466"/>
      <c r="O18" s="466"/>
    </row>
    <row r="19" spans="1:15" s="442" customFormat="1" ht="31.5" x14ac:dyDescent="0.25">
      <c r="A19" s="521" t="s">
        <v>1910</v>
      </c>
      <c r="B19" s="615" t="s">
        <v>566</v>
      </c>
      <c r="C19" s="235" t="s">
        <v>567</v>
      </c>
      <c r="D19" s="443" t="s">
        <v>1911</v>
      </c>
      <c r="E19" s="577"/>
      <c r="F19" s="292">
        <f>F20</f>
        <v>2587.8000000000002</v>
      </c>
      <c r="G19" s="476"/>
      <c r="H19" s="476">
        <f>H20</f>
        <v>2587.8000000000002</v>
      </c>
      <c r="I19" s="476"/>
      <c r="J19" s="476">
        <f t="shared" si="1"/>
        <v>2587.8000000000002</v>
      </c>
      <c r="K19" s="476"/>
      <c r="L19" s="466"/>
      <c r="N19" s="466"/>
      <c r="O19" s="466"/>
    </row>
    <row r="20" spans="1:15" s="442" customFormat="1" x14ac:dyDescent="0.25">
      <c r="A20" s="521" t="s">
        <v>1912</v>
      </c>
      <c r="B20" s="615" t="s">
        <v>566</v>
      </c>
      <c r="C20" s="235" t="s">
        <v>567</v>
      </c>
      <c r="D20" s="443" t="s">
        <v>1913</v>
      </c>
      <c r="E20" s="577"/>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4" t="s">
        <v>922</v>
      </c>
      <c r="B21" s="615" t="s">
        <v>566</v>
      </c>
      <c r="C21" s="235" t="s">
        <v>567</v>
      </c>
      <c r="D21" s="443" t="s">
        <v>1913</v>
      </c>
      <c r="E21" s="577">
        <v>100</v>
      </c>
      <c r="F21" s="292">
        <f>F22</f>
        <v>2587.8000000000002</v>
      </c>
      <c r="G21" s="476"/>
      <c r="H21" s="476">
        <f>H22</f>
        <v>2587.8000000000002</v>
      </c>
      <c r="I21" s="476"/>
      <c r="J21" s="476">
        <f t="shared" si="1"/>
        <v>2587.8000000000002</v>
      </c>
      <c r="K21" s="476"/>
      <c r="L21" s="466"/>
      <c r="N21" s="466"/>
      <c r="O21" s="466"/>
    </row>
    <row r="22" spans="1:15" s="442" customFormat="1" x14ac:dyDescent="0.25">
      <c r="A22" s="524" t="s">
        <v>1748</v>
      </c>
      <c r="B22" s="615" t="s">
        <v>566</v>
      </c>
      <c r="C22" s="235" t="s">
        <v>567</v>
      </c>
      <c r="D22" s="443" t="s">
        <v>1913</v>
      </c>
      <c r="E22" s="577">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4" t="s">
        <v>560</v>
      </c>
      <c r="B23" s="615" t="s">
        <v>566</v>
      </c>
      <c r="C23" s="235" t="s">
        <v>193</v>
      </c>
      <c r="D23" s="541"/>
      <c r="E23" s="577"/>
      <c r="F23" s="292">
        <f>F31+F37+F24</f>
        <v>12037.1</v>
      </c>
      <c r="G23" s="292"/>
      <c r="H23" s="292">
        <f>H31+H37+H24</f>
        <v>10588.1</v>
      </c>
      <c r="I23" s="292"/>
      <c r="J23" s="292">
        <f>J31+J37+J24</f>
        <v>10588.1</v>
      </c>
      <c r="K23" s="292"/>
      <c r="L23" s="466"/>
      <c r="N23" s="466"/>
      <c r="O23" s="466"/>
    </row>
    <row r="24" spans="1:15" s="514" customFormat="1" ht="31.5" x14ac:dyDescent="0.25">
      <c r="A24" s="520" t="s">
        <v>560</v>
      </c>
      <c r="B24" s="235" t="s">
        <v>566</v>
      </c>
      <c r="C24" s="235" t="s">
        <v>193</v>
      </c>
      <c r="D24" s="271"/>
      <c r="E24" s="577"/>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1" t="s">
        <v>1999</v>
      </c>
      <c r="B25" s="235" t="s">
        <v>566</v>
      </c>
      <c r="C25" s="235" t="s">
        <v>193</v>
      </c>
      <c r="D25" s="443" t="s">
        <v>1775</v>
      </c>
      <c r="E25" s="577"/>
      <c r="F25" s="292">
        <f t="shared" si="2"/>
        <v>249</v>
      </c>
      <c r="G25" s="292"/>
      <c r="H25" s="292">
        <f t="shared" si="3"/>
        <v>0</v>
      </c>
      <c r="I25" s="292"/>
      <c r="J25" s="292">
        <f t="shared" si="4"/>
        <v>0</v>
      </c>
      <c r="K25" s="476"/>
      <c r="L25" s="466"/>
      <c r="N25" s="466"/>
      <c r="O25" s="466"/>
    </row>
    <row r="26" spans="1:15" s="514" customFormat="1" x14ac:dyDescent="0.25">
      <c r="A26" s="518" t="s">
        <v>2340</v>
      </c>
      <c r="B26" s="235" t="s">
        <v>566</v>
      </c>
      <c r="C26" s="235" t="s">
        <v>193</v>
      </c>
      <c r="D26" s="443" t="s">
        <v>1802</v>
      </c>
      <c r="E26" s="577"/>
      <c r="F26" s="292">
        <f t="shared" si="2"/>
        <v>249</v>
      </c>
      <c r="G26" s="292"/>
      <c r="H26" s="292">
        <f t="shared" si="3"/>
        <v>0</v>
      </c>
      <c r="I26" s="292"/>
      <c r="J26" s="292">
        <f t="shared" si="4"/>
        <v>0</v>
      </c>
      <c r="K26" s="476"/>
      <c r="L26" s="466"/>
      <c r="N26" s="466"/>
      <c r="O26" s="466"/>
    </row>
    <row r="27" spans="1:15" s="514" customFormat="1" ht="31.5" x14ac:dyDescent="0.25">
      <c r="A27" s="522" t="s">
        <v>2015</v>
      </c>
      <c r="B27" s="235" t="s">
        <v>566</v>
      </c>
      <c r="C27" s="235" t="s">
        <v>193</v>
      </c>
      <c r="D27" s="443" t="s">
        <v>1803</v>
      </c>
      <c r="E27" s="577"/>
      <c r="F27" s="292">
        <f t="shared" si="2"/>
        <v>249</v>
      </c>
      <c r="G27" s="292"/>
      <c r="H27" s="292">
        <f t="shared" si="3"/>
        <v>0</v>
      </c>
      <c r="I27" s="292"/>
      <c r="J27" s="292">
        <f t="shared" si="4"/>
        <v>0</v>
      </c>
      <c r="K27" s="476"/>
      <c r="L27" s="466"/>
      <c r="N27" s="466"/>
      <c r="O27" s="466"/>
    </row>
    <row r="28" spans="1:15" s="514" customFormat="1" x14ac:dyDescent="0.25">
      <c r="A28" s="522" t="s">
        <v>2016</v>
      </c>
      <c r="B28" s="235" t="s">
        <v>566</v>
      </c>
      <c r="C28" s="235" t="s">
        <v>193</v>
      </c>
      <c r="D28" s="443" t="s">
        <v>2017</v>
      </c>
      <c r="E28" s="577"/>
      <c r="F28" s="292">
        <f t="shared" si="2"/>
        <v>249</v>
      </c>
      <c r="G28" s="292"/>
      <c r="H28" s="292">
        <f t="shared" si="3"/>
        <v>0</v>
      </c>
      <c r="I28" s="292"/>
      <c r="J28" s="292">
        <f t="shared" si="4"/>
        <v>0</v>
      </c>
      <c r="K28" s="476"/>
      <c r="L28" s="466"/>
      <c r="N28" s="466"/>
      <c r="O28" s="466"/>
    </row>
    <row r="29" spans="1:15" s="514" customFormat="1" x14ac:dyDescent="0.25">
      <c r="A29" s="520" t="s">
        <v>1782</v>
      </c>
      <c r="B29" s="235" t="s">
        <v>566</v>
      </c>
      <c r="C29" s="235" t="s">
        <v>193</v>
      </c>
      <c r="D29" s="443" t="s">
        <v>2017</v>
      </c>
      <c r="E29" s="238">
        <v>200</v>
      </c>
      <c r="F29" s="292">
        <f t="shared" si="2"/>
        <v>249</v>
      </c>
      <c r="G29" s="292"/>
      <c r="H29" s="292">
        <f t="shared" si="3"/>
        <v>0</v>
      </c>
      <c r="I29" s="292"/>
      <c r="J29" s="292">
        <f t="shared" si="4"/>
        <v>0</v>
      </c>
      <c r="K29" s="476"/>
      <c r="L29" s="466"/>
      <c r="N29" s="466"/>
      <c r="O29" s="466"/>
    </row>
    <row r="30" spans="1:15" s="514" customFormat="1" ht="31.5" x14ac:dyDescent="0.25">
      <c r="A30" s="520" t="s">
        <v>1274</v>
      </c>
      <c r="B30" s="235" t="s">
        <v>566</v>
      </c>
      <c r="C30" s="235" t="s">
        <v>193</v>
      </c>
      <c r="D30" s="443" t="s">
        <v>2017</v>
      </c>
      <c r="E30" s="577">
        <v>240</v>
      </c>
      <c r="F30" s="292">
        <f>'ведом. 2021-2023'!AD550</f>
        <v>249</v>
      </c>
      <c r="G30" s="476"/>
      <c r="H30" s="476">
        <f>'ведом. 2021-2023'!AE550</f>
        <v>0</v>
      </c>
      <c r="I30" s="476"/>
      <c r="J30" s="476">
        <f>'ведом. 2021-2023'!AF550</f>
        <v>0</v>
      </c>
      <c r="K30" s="476"/>
      <c r="L30" s="466"/>
      <c r="N30" s="466"/>
      <c r="O30" s="466"/>
    </row>
    <row r="31" spans="1:15" s="442" customFormat="1" ht="31.5" x14ac:dyDescent="0.25">
      <c r="A31" s="521" t="s">
        <v>2104</v>
      </c>
      <c r="B31" s="615" t="s">
        <v>566</v>
      </c>
      <c r="C31" s="235" t="s">
        <v>193</v>
      </c>
      <c r="D31" s="443" t="s">
        <v>1806</v>
      </c>
      <c r="E31" s="238"/>
      <c r="F31" s="751">
        <f>F32</f>
        <v>10</v>
      </c>
      <c r="G31" s="476"/>
      <c r="H31" s="477">
        <f>H32</f>
        <v>10</v>
      </c>
      <c r="I31" s="476"/>
      <c r="J31" s="477">
        <f>J32</f>
        <v>10</v>
      </c>
      <c r="K31" s="476"/>
      <c r="L31" s="466"/>
      <c r="N31" s="466"/>
      <c r="O31" s="466"/>
    </row>
    <row r="32" spans="1:15" s="442" customFormat="1" ht="35.25" customHeight="1" x14ac:dyDescent="0.25">
      <c r="A32" s="521" t="s">
        <v>2105</v>
      </c>
      <c r="B32" s="615" t="s">
        <v>566</v>
      </c>
      <c r="C32" s="235" t="s">
        <v>193</v>
      </c>
      <c r="D32" s="443" t="s">
        <v>2106</v>
      </c>
      <c r="E32" s="238"/>
      <c r="F32" s="751">
        <f>F33</f>
        <v>10</v>
      </c>
      <c r="G32" s="476"/>
      <c r="H32" s="477">
        <f>H33</f>
        <v>10</v>
      </c>
      <c r="I32" s="476"/>
      <c r="J32" s="477">
        <f>J33</f>
        <v>10</v>
      </c>
      <c r="K32" s="476"/>
      <c r="L32" s="466"/>
      <c r="N32" s="466"/>
      <c r="O32" s="466"/>
    </row>
    <row r="33" spans="1:15" s="442" customFormat="1" ht="31.5" x14ac:dyDescent="0.25">
      <c r="A33" s="529" t="s">
        <v>2107</v>
      </c>
      <c r="B33" s="615" t="s">
        <v>566</v>
      </c>
      <c r="C33" s="235" t="s">
        <v>193</v>
      </c>
      <c r="D33" s="443" t="s">
        <v>2108</v>
      </c>
      <c r="E33" s="238"/>
      <c r="F33" s="752">
        <f>F34</f>
        <v>10</v>
      </c>
      <c r="G33" s="478"/>
      <c r="H33" s="478">
        <f>H34</f>
        <v>10</v>
      </c>
      <c r="I33" s="478"/>
      <c r="J33" s="478">
        <f>J34</f>
        <v>10</v>
      </c>
      <c r="K33" s="476"/>
      <c r="L33" s="466"/>
      <c r="N33" s="466"/>
      <c r="O33" s="466"/>
    </row>
    <row r="34" spans="1:15" s="442" customFormat="1" ht="94.5" x14ac:dyDescent="0.25">
      <c r="A34" s="529" t="s">
        <v>2244</v>
      </c>
      <c r="B34" s="615" t="s">
        <v>566</v>
      </c>
      <c r="C34" s="235" t="s">
        <v>193</v>
      </c>
      <c r="D34" s="472" t="s">
        <v>2109</v>
      </c>
      <c r="E34" s="238"/>
      <c r="F34" s="752">
        <f>F35</f>
        <v>10</v>
      </c>
      <c r="G34" s="476"/>
      <c r="H34" s="478">
        <f>H35</f>
        <v>10</v>
      </c>
      <c r="I34" s="476"/>
      <c r="J34" s="478">
        <f>J35</f>
        <v>10</v>
      </c>
      <c r="K34" s="476"/>
      <c r="L34" s="466"/>
      <c r="N34" s="466"/>
      <c r="O34" s="466"/>
    </row>
    <row r="35" spans="1:15" s="442" customFormat="1" x14ac:dyDescent="0.25">
      <c r="A35" s="524" t="s">
        <v>1782</v>
      </c>
      <c r="B35" s="615" t="s">
        <v>566</v>
      </c>
      <c r="C35" s="235" t="s">
        <v>193</v>
      </c>
      <c r="D35" s="472" t="s">
        <v>2109</v>
      </c>
      <c r="E35" s="238">
        <v>200</v>
      </c>
      <c r="F35" s="752">
        <f>'ведом. 2021-2023'!AD555</f>
        <v>10</v>
      </c>
      <c r="G35" s="476"/>
      <c r="H35" s="478">
        <f>'ведом. 2021-2023'!AE555</f>
        <v>10</v>
      </c>
      <c r="I35" s="476"/>
      <c r="J35" s="478">
        <f>J36</f>
        <v>10</v>
      </c>
      <c r="K35" s="476"/>
      <c r="L35" s="466"/>
      <c r="N35" s="466"/>
      <c r="O35" s="466"/>
    </row>
    <row r="36" spans="1:15" s="442" customFormat="1" ht="31.5" x14ac:dyDescent="0.25">
      <c r="A36" s="524" t="s">
        <v>1274</v>
      </c>
      <c r="B36" s="615" t="s">
        <v>566</v>
      </c>
      <c r="C36" s="235" t="s">
        <v>193</v>
      </c>
      <c r="D36" s="472" t="s">
        <v>2109</v>
      </c>
      <c r="E36" s="238">
        <v>240</v>
      </c>
      <c r="F36" s="292">
        <f>'ведом. 2021-2023'!AD556</f>
        <v>10</v>
      </c>
      <c r="G36" s="476"/>
      <c r="H36" s="476">
        <f>'ведом. 2021-2023'!AE556</f>
        <v>10</v>
      </c>
      <c r="I36" s="476"/>
      <c r="J36" s="476">
        <f>'ведом. 2021-2023'!AF556</f>
        <v>10</v>
      </c>
      <c r="K36" s="476"/>
      <c r="L36" s="466"/>
      <c r="N36" s="466"/>
      <c r="O36" s="466"/>
    </row>
    <row r="37" spans="1:15" s="442" customFormat="1" ht="31.5" x14ac:dyDescent="0.25">
      <c r="A37" s="521" t="s">
        <v>2049</v>
      </c>
      <c r="B37" s="615" t="s">
        <v>566</v>
      </c>
      <c r="C37" s="235" t="s">
        <v>193</v>
      </c>
      <c r="D37" s="443" t="s">
        <v>1757</v>
      </c>
      <c r="E37" s="577"/>
      <c r="F37" s="292">
        <f>F38+F41+F44</f>
        <v>11778.1</v>
      </c>
      <c r="G37" s="476"/>
      <c r="H37" s="476">
        <f>H38+H41+H44</f>
        <v>10578.1</v>
      </c>
      <c r="I37" s="476"/>
      <c r="J37" s="476">
        <f>J38+J41+J44</f>
        <v>10578.1</v>
      </c>
      <c r="K37" s="476"/>
      <c r="L37" s="466"/>
      <c r="N37" s="466"/>
      <c r="O37" s="466"/>
    </row>
    <row r="38" spans="1:15" s="442" customFormat="1" x14ac:dyDescent="0.25">
      <c r="A38" s="606" t="s">
        <v>2064</v>
      </c>
      <c r="B38" s="615" t="s">
        <v>566</v>
      </c>
      <c r="C38" s="235" t="s">
        <v>193</v>
      </c>
      <c r="D38" s="443" t="s">
        <v>2067</v>
      </c>
      <c r="E38" s="238"/>
      <c r="F38" s="292">
        <f>F39</f>
        <v>2178.4</v>
      </c>
      <c r="G38" s="476"/>
      <c r="H38" s="476">
        <f>H39</f>
        <v>2178.4</v>
      </c>
      <c r="I38" s="476"/>
      <c r="J38" s="476">
        <f>J39</f>
        <v>2178.4</v>
      </c>
      <c r="K38" s="476"/>
      <c r="L38" s="466"/>
      <c r="N38" s="466"/>
      <c r="O38" s="466"/>
    </row>
    <row r="39" spans="1:15" s="442" customFormat="1" ht="47.25" x14ac:dyDescent="0.25">
      <c r="A39" s="524" t="s">
        <v>922</v>
      </c>
      <c r="B39" s="615" t="s">
        <v>566</v>
      </c>
      <c r="C39" s="235" t="s">
        <v>193</v>
      </c>
      <c r="D39" s="443" t="s">
        <v>2067</v>
      </c>
      <c r="E39" s="577">
        <v>100</v>
      </c>
      <c r="F39" s="292">
        <f>F40</f>
        <v>2178.4</v>
      </c>
      <c r="G39" s="476"/>
      <c r="H39" s="476">
        <f>H40</f>
        <v>2178.4</v>
      </c>
      <c r="I39" s="476"/>
      <c r="J39" s="476">
        <f>J40</f>
        <v>2178.4</v>
      </c>
      <c r="K39" s="476"/>
      <c r="L39" s="466"/>
      <c r="N39" s="466"/>
      <c r="O39" s="466"/>
    </row>
    <row r="40" spans="1:15" s="442" customFormat="1" x14ac:dyDescent="0.25">
      <c r="A40" s="524" t="s">
        <v>1748</v>
      </c>
      <c r="B40" s="615" t="s">
        <v>566</v>
      </c>
      <c r="C40" s="235" t="s">
        <v>193</v>
      </c>
      <c r="D40" s="443" t="s">
        <v>2067</v>
      </c>
      <c r="E40" s="238">
        <v>120</v>
      </c>
      <c r="F40" s="292">
        <f>'ведом. 2021-2023'!AD560</f>
        <v>2178.4</v>
      </c>
      <c r="G40" s="476"/>
      <c r="H40" s="476">
        <f>'ведом. 2021-2023'!AE560</f>
        <v>2178.4</v>
      </c>
      <c r="I40" s="476"/>
      <c r="J40" s="476">
        <f>'ведом. 2021-2023'!AF560</f>
        <v>2178.4</v>
      </c>
      <c r="K40" s="476"/>
      <c r="L40" s="466"/>
      <c r="N40" s="466"/>
      <c r="O40" s="466"/>
    </row>
    <row r="41" spans="1:15" s="442" customFormat="1" x14ac:dyDescent="0.25">
      <c r="A41" s="524" t="s">
        <v>2178</v>
      </c>
      <c r="B41" s="615" t="s">
        <v>566</v>
      </c>
      <c r="C41" s="235" t="s">
        <v>193</v>
      </c>
      <c r="D41" s="443" t="s">
        <v>2068</v>
      </c>
      <c r="E41" s="238"/>
      <c r="F41" s="292">
        <f>F43</f>
        <v>1765.1</v>
      </c>
      <c r="G41" s="476"/>
      <c r="H41" s="476">
        <f>H43</f>
        <v>1765.1</v>
      </c>
      <c r="I41" s="476"/>
      <c r="J41" s="476">
        <f>J43</f>
        <v>1765.1</v>
      </c>
      <c r="K41" s="476"/>
      <c r="L41" s="466"/>
      <c r="N41" s="466"/>
      <c r="O41" s="466"/>
    </row>
    <row r="42" spans="1:15" s="442" customFormat="1" ht="47.25" x14ac:dyDescent="0.25">
      <c r="A42" s="524" t="s">
        <v>922</v>
      </c>
      <c r="B42" s="615" t="s">
        <v>566</v>
      </c>
      <c r="C42" s="235" t="s">
        <v>193</v>
      </c>
      <c r="D42" s="443" t="s">
        <v>2068</v>
      </c>
      <c r="E42" s="577">
        <v>100</v>
      </c>
      <c r="F42" s="292">
        <f>F43</f>
        <v>1765.1</v>
      </c>
      <c r="G42" s="476"/>
      <c r="H42" s="476">
        <f>H43</f>
        <v>1765.1</v>
      </c>
      <c r="I42" s="476"/>
      <c r="J42" s="476">
        <f>J43</f>
        <v>1765.1</v>
      </c>
      <c r="K42" s="476"/>
      <c r="L42" s="466"/>
      <c r="N42" s="466"/>
      <c r="O42" s="466"/>
    </row>
    <row r="43" spans="1:15" s="442" customFormat="1" x14ac:dyDescent="0.25">
      <c r="A43" s="524" t="s">
        <v>1748</v>
      </c>
      <c r="B43" s="615" t="s">
        <v>566</v>
      </c>
      <c r="C43" s="235" t="s">
        <v>193</v>
      </c>
      <c r="D43" s="443" t="s">
        <v>2068</v>
      </c>
      <c r="E43" s="238">
        <v>120</v>
      </c>
      <c r="F43" s="292">
        <f>'ведом. 2021-2023'!AD563</f>
        <v>1765.1</v>
      </c>
      <c r="G43" s="476"/>
      <c r="H43" s="476">
        <f>'ведом. 2021-2023'!AE563</f>
        <v>1765.1</v>
      </c>
      <c r="I43" s="476"/>
      <c r="J43" s="476">
        <f>'ведом. 2021-2023'!AF563</f>
        <v>1765.1</v>
      </c>
      <c r="K43" s="476"/>
      <c r="L43" s="466"/>
      <c r="N43" s="466"/>
      <c r="O43" s="466"/>
    </row>
    <row r="44" spans="1:15" s="442" customFormat="1" x14ac:dyDescent="0.25">
      <c r="A44" s="529" t="s">
        <v>2065</v>
      </c>
      <c r="B44" s="615" t="s">
        <v>566</v>
      </c>
      <c r="C44" s="235" t="s">
        <v>193</v>
      </c>
      <c r="D44" s="443" t="s">
        <v>2066</v>
      </c>
      <c r="E44" s="238"/>
      <c r="F44" s="292">
        <f>F45+F50+F53</f>
        <v>7834.6</v>
      </c>
      <c r="G44" s="476"/>
      <c r="H44" s="476">
        <f>H45+H50+H53</f>
        <v>6634.6</v>
      </c>
      <c r="I44" s="476"/>
      <c r="J44" s="476">
        <f>J45+J50+J53</f>
        <v>6634.6</v>
      </c>
      <c r="K44" s="476"/>
      <c r="L44" s="466"/>
      <c r="N44" s="466"/>
      <c r="O44" s="466"/>
    </row>
    <row r="45" spans="1:15" s="442" customFormat="1" ht="31.5" x14ac:dyDescent="0.25">
      <c r="A45" s="524" t="s">
        <v>2069</v>
      </c>
      <c r="B45" s="615" t="s">
        <v>566</v>
      </c>
      <c r="C45" s="235" t="s">
        <v>193</v>
      </c>
      <c r="D45" s="443" t="s">
        <v>2070</v>
      </c>
      <c r="E45" s="238"/>
      <c r="F45" s="292">
        <f>F46+F48</f>
        <v>1518.1</v>
      </c>
      <c r="G45" s="292"/>
      <c r="H45" s="292">
        <f>H46+H48</f>
        <v>1518.1</v>
      </c>
      <c r="I45" s="292"/>
      <c r="J45" s="292">
        <f>J46+J48</f>
        <v>1518.1</v>
      </c>
      <c r="K45" s="476"/>
      <c r="L45" s="466"/>
      <c r="N45" s="466"/>
      <c r="O45" s="466"/>
    </row>
    <row r="46" spans="1:15" s="442" customFormat="1" x14ac:dyDescent="0.25">
      <c r="A46" s="524" t="s">
        <v>1782</v>
      </c>
      <c r="B46" s="615" t="s">
        <v>566</v>
      </c>
      <c r="C46" s="235" t="s">
        <v>193</v>
      </c>
      <c r="D46" s="443" t="s">
        <v>2070</v>
      </c>
      <c r="E46" s="238">
        <v>200</v>
      </c>
      <c r="F46" s="292">
        <f>F47</f>
        <v>1518</v>
      </c>
      <c r="G46" s="476"/>
      <c r="H46" s="476">
        <f>H47</f>
        <v>1518.1</v>
      </c>
      <c r="I46" s="476"/>
      <c r="J46" s="476">
        <f>J47</f>
        <v>1518.1</v>
      </c>
      <c r="K46" s="476"/>
      <c r="L46" s="466"/>
      <c r="N46" s="466"/>
      <c r="O46" s="466"/>
    </row>
    <row r="47" spans="1:15" s="442" customFormat="1" ht="31.5" x14ac:dyDescent="0.25">
      <c r="A47" s="524" t="s">
        <v>1274</v>
      </c>
      <c r="B47" s="615" t="s">
        <v>566</v>
      </c>
      <c r="C47" s="235" t="s">
        <v>193</v>
      </c>
      <c r="D47" s="443" t="s">
        <v>2070</v>
      </c>
      <c r="E47" s="238">
        <v>240</v>
      </c>
      <c r="F47" s="292">
        <f>'ведом. 2021-2023'!AD567</f>
        <v>1518</v>
      </c>
      <c r="G47" s="476"/>
      <c r="H47" s="476">
        <f>'ведом. 2021-2023'!AE567</f>
        <v>1518.1</v>
      </c>
      <c r="I47" s="476"/>
      <c r="J47" s="476">
        <f>'ведом. 2021-2023'!AF567</f>
        <v>1518.1</v>
      </c>
      <c r="K47" s="476"/>
      <c r="L47" s="466"/>
      <c r="N47" s="466"/>
      <c r="O47" s="466"/>
    </row>
    <row r="48" spans="1:15" s="514" customFormat="1" x14ac:dyDescent="0.25">
      <c r="A48" s="520" t="s">
        <v>924</v>
      </c>
      <c r="B48" s="615" t="s">
        <v>566</v>
      </c>
      <c r="C48" s="235" t="s">
        <v>193</v>
      </c>
      <c r="D48" s="443" t="s">
        <v>2070</v>
      </c>
      <c r="E48" s="238">
        <v>800</v>
      </c>
      <c r="F48" s="292">
        <f>F49</f>
        <v>0.1</v>
      </c>
      <c r="G48" s="292"/>
      <c r="H48" s="292">
        <f>H49</f>
        <v>0</v>
      </c>
      <c r="I48" s="292"/>
      <c r="J48" s="292">
        <f>J49</f>
        <v>0</v>
      </c>
      <c r="K48" s="476"/>
      <c r="L48" s="466"/>
      <c r="N48" s="466"/>
      <c r="O48" s="466"/>
    </row>
    <row r="49" spans="1:15" s="514" customFormat="1" x14ac:dyDescent="0.25">
      <c r="A49" s="520" t="s">
        <v>1320</v>
      </c>
      <c r="B49" s="615" t="s">
        <v>566</v>
      </c>
      <c r="C49" s="235" t="s">
        <v>193</v>
      </c>
      <c r="D49" s="443" t="s">
        <v>2070</v>
      </c>
      <c r="E49" s="238">
        <v>850</v>
      </c>
      <c r="F49" s="292">
        <f>'ведом. 2021-2023'!AD569</f>
        <v>0.1</v>
      </c>
      <c r="G49" s="476"/>
      <c r="H49" s="476">
        <f>'ведом. 2021-2023'!AE569</f>
        <v>0</v>
      </c>
      <c r="I49" s="476"/>
      <c r="J49" s="476">
        <f>'ведом. 2021-2023'!AF569</f>
        <v>0</v>
      </c>
      <c r="K49" s="476"/>
      <c r="L49" s="466"/>
      <c r="N49" s="466"/>
      <c r="O49" s="466"/>
    </row>
    <row r="50" spans="1:15" s="442" customFormat="1" ht="47.25" x14ac:dyDescent="0.25">
      <c r="A50" s="524" t="s">
        <v>2073</v>
      </c>
      <c r="B50" s="615" t="s">
        <v>566</v>
      </c>
      <c r="C50" s="235" t="s">
        <v>193</v>
      </c>
      <c r="D50" s="443" t="s">
        <v>2071</v>
      </c>
      <c r="E50" s="238"/>
      <c r="F50" s="292">
        <f>F51</f>
        <v>2961</v>
      </c>
      <c r="G50" s="476"/>
      <c r="H50" s="476">
        <f>H51</f>
        <v>2961</v>
      </c>
      <c r="I50" s="476"/>
      <c r="J50" s="476">
        <f>J51</f>
        <v>2961</v>
      </c>
      <c r="K50" s="476"/>
      <c r="L50" s="466"/>
      <c r="N50" s="466"/>
      <c r="O50" s="466"/>
    </row>
    <row r="51" spans="1:15" s="442" customFormat="1" ht="47.25" x14ac:dyDescent="0.25">
      <c r="A51" s="524" t="s">
        <v>922</v>
      </c>
      <c r="B51" s="615" t="s">
        <v>566</v>
      </c>
      <c r="C51" s="235" t="s">
        <v>193</v>
      </c>
      <c r="D51" s="443" t="s">
        <v>2071</v>
      </c>
      <c r="E51" s="577">
        <v>100</v>
      </c>
      <c r="F51" s="292">
        <f>F52</f>
        <v>2961</v>
      </c>
      <c r="G51" s="476"/>
      <c r="H51" s="476">
        <f>H52</f>
        <v>2961</v>
      </c>
      <c r="I51" s="476"/>
      <c r="J51" s="476">
        <f>J52</f>
        <v>2961</v>
      </c>
      <c r="K51" s="476"/>
      <c r="L51" s="466"/>
      <c r="N51" s="466"/>
      <c r="O51" s="466"/>
    </row>
    <row r="52" spans="1:15" s="442" customFormat="1" x14ac:dyDescent="0.25">
      <c r="A52" s="524" t="s">
        <v>1748</v>
      </c>
      <c r="B52" s="615" t="s">
        <v>566</v>
      </c>
      <c r="C52" s="235" t="s">
        <v>193</v>
      </c>
      <c r="D52" s="443" t="s">
        <v>2071</v>
      </c>
      <c r="E52" s="238">
        <v>120</v>
      </c>
      <c r="F52" s="292">
        <f>'ведом. 2021-2023'!AD572</f>
        <v>2961</v>
      </c>
      <c r="G52" s="476"/>
      <c r="H52" s="476">
        <f>'ведом. 2021-2023'!AE572</f>
        <v>2961</v>
      </c>
      <c r="I52" s="476"/>
      <c r="J52" s="476">
        <f>'ведом. 2021-2023'!AF572</f>
        <v>2961</v>
      </c>
      <c r="K52" s="476"/>
      <c r="L52" s="466"/>
      <c r="N52" s="466"/>
      <c r="O52" s="466"/>
    </row>
    <row r="53" spans="1:15" s="442" customFormat="1" ht="31.5" x14ac:dyDescent="0.25">
      <c r="A53" s="524" t="s">
        <v>2074</v>
      </c>
      <c r="B53" s="615" t="s">
        <v>566</v>
      </c>
      <c r="C53" s="235" t="s">
        <v>193</v>
      </c>
      <c r="D53" s="443" t="s">
        <v>2072</v>
      </c>
      <c r="E53" s="238"/>
      <c r="F53" s="292">
        <f>F54</f>
        <v>3355.5</v>
      </c>
      <c r="G53" s="476"/>
      <c r="H53" s="476">
        <f>H54</f>
        <v>2155.5</v>
      </c>
      <c r="I53" s="476"/>
      <c r="J53" s="476">
        <f>J54</f>
        <v>2155.5</v>
      </c>
      <c r="K53" s="476"/>
      <c r="L53" s="466"/>
      <c r="N53" s="466"/>
      <c r="O53" s="466"/>
    </row>
    <row r="54" spans="1:15" s="442" customFormat="1" ht="47.25" x14ac:dyDescent="0.25">
      <c r="A54" s="524" t="s">
        <v>922</v>
      </c>
      <c r="B54" s="615" t="s">
        <v>566</v>
      </c>
      <c r="C54" s="235" t="s">
        <v>193</v>
      </c>
      <c r="D54" s="443" t="s">
        <v>2072</v>
      </c>
      <c r="E54" s="577">
        <v>100</v>
      </c>
      <c r="F54" s="292">
        <f>F55</f>
        <v>3355.5</v>
      </c>
      <c r="G54" s="476"/>
      <c r="H54" s="476">
        <f>H55</f>
        <v>2155.5</v>
      </c>
      <c r="I54" s="476"/>
      <c r="J54" s="476">
        <f>J55</f>
        <v>2155.5</v>
      </c>
      <c r="K54" s="476"/>
      <c r="L54" s="466"/>
      <c r="N54" s="466"/>
      <c r="O54" s="466"/>
    </row>
    <row r="55" spans="1:15" s="442" customFormat="1" x14ac:dyDescent="0.25">
      <c r="A55" s="524" t="s">
        <v>1748</v>
      </c>
      <c r="B55" s="615" t="s">
        <v>566</v>
      </c>
      <c r="C55" s="235" t="s">
        <v>193</v>
      </c>
      <c r="D55" s="443" t="s">
        <v>2072</v>
      </c>
      <c r="E55" s="238">
        <v>120</v>
      </c>
      <c r="F55" s="292">
        <f>'ведом. 2021-2023'!AD575</f>
        <v>3355.5</v>
      </c>
      <c r="G55" s="476"/>
      <c r="H55" s="476">
        <f>'ведом. 2021-2023'!AE575</f>
        <v>2155.5</v>
      </c>
      <c r="I55" s="476"/>
      <c r="J55" s="476">
        <f>'ведом. 2021-2023'!AF575</f>
        <v>2155.5</v>
      </c>
      <c r="K55" s="476"/>
      <c r="L55" s="466"/>
      <c r="N55" s="466"/>
      <c r="O55" s="466"/>
    </row>
    <row r="56" spans="1:15" s="442" customFormat="1" ht="31.5" x14ac:dyDescent="0.25">
      <c r="A56" s="524" t="s">
        <v>1241</v>
      </c>
      <c r="B56" s="615" t="s">
        <v>566</v>
      </c>
      <c r="C56" s="235" t="s">
        <v>1182</v>
      </c>
      <c r="D56" s="249"/>
      <c r="E56" s="577"/>
      <c r="F56" s="292">
        <f t="shared" ref="F56:K56" si="5">F57+F69+F77+F94</f>
        <v>64248.200000000004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1" t="s">
        <v>1999</v>
      </c>
      <c r="B57" s="615" t="s">
        <v>566</v>
      </c>
      <c r="C57" s="235" t="s">
        <v>1182</v>
      </c>
      <c r="D57" s="443" t="s">
        <v>1775</v>
      </c>
      <c r="E57" s="577"/>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8" t="s">
        <v>2340</v>
      </c>
      <c r="B58" s="615" t="s">
        <v>566</v>
      </c>
      <c r="C58" s="235" t="s">
        <v>1182</v>
      </c>
      <c r="D58" s="443" t="s">
        <v>1802</v>
      </c>
      <c r="E58" s="577"/>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2" t="s">
        <v>2015</v>
      </c>
      <c r="B59" s="615" t="s">
        <v>566</v>
      </c>
      <c r="C59" s="235" t="s">
        <v>1182</v>
      </c>
      <c r="D59" s="443" t="s">
        <v>1803</v>
      </c>
      <c r="E59" s="577"/>
      <c r="F59" s="292">
        <f>F60</f>
        <v>114.89999999999998</v>
      </c>
      <c r="G59" s="476"/>
      <c r="H59" s="476">
        <f>H60</f>
        <v>0</v>
      </c>
      <c r="I59" s="476"/>
      <c r="J59" s="476">
        <f>J60</f>
        <v>521</v>
      </c>
      <c r="K59" s="476"/>
      <c r="L59" s="466"/>
      <c r="N59" s="466"/>
      <c r="O59" s="466"/>
    </row>
    <row r="60" spans="1:15" s="442" customFormat="1" x14ac:dyDescent="0.25">
      <c r="A60" s="522" t="s">
        <v>2016</v>
      </c>
      <c r="B60" s="615" t="s">
        <v>566</v>
      </c>
      <c r="C60" s="235" t="s">
        <v>1182</v>
      </c>
      <c r="D60" s="443" t="s">
        <v>2017</v>
      </c>
      <c r="E60" s="577"/>
      <c r="F60" s="292">
        <f>F61</f>
        <v>114.89999999999998</v>
      </c>
      <c r="G60" s="476"/>
      <c r="H60" s="476">
        <f>H61</f>
        <v>0</v>
      </c>
      <c r="I60" s="476"/>
      <c r="J60" s="476">
        <f>J61</f>
        <v>521</v>
      </c>
      <c r="K60" s="476"/>
      <c r="L60" s="466"/>
      <c r="N60" s="466"/>
      <c r="O60" s="466"/>
    </row>
    <row r="61" spans="1:15" s="442" customFormat="1" x14ac:dyDescent="0.25">
      <c r="A61" s="524" t="s">
        <v>1782</v>
      </c>
      <c r="B61" s="615" t="s">
        <v>566</v>
      </c>
      <c r="C61" s="235" t="s">
        <v>1182</v>
      </c>
      <c r="D61" s="443" t="s">
        <v>2017</v>
      </c>
      <c r="E61" s="238">
        <v>200</v>
      </c>
      <c r="F61" s="292">
        <f>F62</f>
        <v>114.89999999999998</v>
      </c>
      <c r="G61" s="476"/>
      <c r="H61" s="476">
        <f>H62</f>
        <v>0</v>
      </c>
      <c r="I61" s="476"/>
      <c r="J61" s="476">
        <f>J62</f>
        <v>521</v>
      </c>
      <c r="K61" s="476"/>
      <c r="L61" s="466"/>
      <c r="N61" s="466"/>
      <c r="O61" s="466"/>
    </row>
    <row r="62" spans="1:15" s="442" customFormat="1" ht="31.5" x14ac:dyDescent="0.25">
      <c r="A62" s="524" t="s">
        <v>1274</v>
      </c>
      <c r="B62" s="615" t="s">
        <v>566</v>
      </c>
      <c r="C62" s="235" t="s">
        <v>1182</v>
      </c>
      <c r="D62" s="443" t="s">
        <v>2017</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2" t="s">
        <v>2018</v>
      </c>
      <c r="B63" s="615" t="s">
        <v>566</v>
      </c>
      <c r="C63" s="235" t="s">
        <v>1182</v>
      </c>
      <c r="D63" s="443" t="s">
        <v>2019</v>
      </c>
      <c r="E63" s="577"/>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2" t="s">
        <v>2020</v>
      </c>
      <c r="B64" s="615" t="s">
        <v>566</v>
      </c>
      <c r="C64" s="235" t="s">
        <v>1182</v>
      </c>
      <c r="D64" s="443" t="s">
        <v>2021</v>
      </c>
      <c r="E64" s="577"/>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4" t="s">
        <v>922</v>
      </c>
      <c r="B65" s="615" t="s">
        <v>566</v>
      </c>
      <c r="C65" s="235" t="s">
        <v>1182</v>
      </c>
      <c r="D65" s="443" t="s">
        <v>2021</v>
      </c>
      <c r="E65" s="577">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4" t="s">
        <v>1748</v>
      </c>
      <c r="B66" s="615" t="s">
        <v>566</v>
      </c>
      <c r="C66" s="235" t="s">
        <v>1182</v>
      </c>
      <c r="D66" s="443" t="s">
        <v>2021</v>
      </c>
      <c r="E66" s="577">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4" t="s">
        <v>1782</v>
      </c>
      <c r="B67" s="615" t="s">
        <v>566</v>
      </c>
      <c r="C67" s="235" t="s">
        <v>1182</v>
      </c>
      <c r="D67" s="443" t="s">
        <v>2021</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4" t="s">
        <v>1274</v>
      </c>
      <c r="B68" s="615" t="s">
        <v>566</v>
      </c>
      <c r="C68" s="235" t="s">
        <v>1182</v>
      </c>
      <c r="D68" s="443" t="s">
        <v>2021</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7" t="s">
        <v>2022</v>
      </c>
      <c r="B69" s="615"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1" t="s">
        <v>2029</v>
      </c>
      <c r="B70" s="615"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1" t="s">
        <v>2037</v>
      </c>
      <c r="B71" s="615"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4" t="s">
        <v>2280</v>
      </c>
      <c r="B72" s="615"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4" t="s">
        <v>922</v>
      </c>
      <c r="B73" s="615" t="s">
        <v>566</v>
      </c>
      <c r="C73" s="235" t="s">
        <v>1182</v>
      </c>
      <c r="D73" s="443" t="s">
        <v>1797</v>
      </c>
      <c r="E73" s="577">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4" t="s">
        <v>1748</v>
      </c>
      <c r="B74" s="615"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4" t="s">
        <v>1782</v>
      </c>
      <c r="B75" s="615"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4" t="s">
        <v>1274</v>
      </c>
      <c r="B76" s="615"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1" t="s">
        <v>1899</v>
      </c>
      <c r="B77" s="615" t="s">
        <v>566</v>
      </c>
      <c r="C77" s="235" t="s">
        <v>1182</v>
      </c>
      <c r="D77" s="443" t="s">
        <v>1772</v>
      </c>
      <c r="E77" s="577"/>
      <c r="F77" s="292">
        <f>F78</f>
        <v>51993.3</v>
      </c>
      <c r="G77" s="476"/>
      <c r="H77" s="476">
        <f>H78</f>
        <v>51993.3</v>
      </c>
      <c r="I77" s="476"/>
      <c r="J77" s="476">
        <f>J78</f>
        <v>51993.3</v>
      </c>
      <c r="K77" s="476"/>
      <c r="L77" s="466"/>
      <c r="N77" s="466"/>
      <c r="O77" s="466"/>
    </row>
    <row r="78" spans="1:15" s="442" customFormat="1" x14ac:dyDescent="0.25">
      <c r="A78" s="521" t="s">
        <v>1908</v>
      </c>
      <c r="B78" s="615"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1" t="s">
        <v>1910</v>
      </c>
      <c r="B79" s="615"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1" t="s">
        <v>1914</v>
      </c>
      <c r="B80" s="615" t="s">
        <v>566</v>
      </c>
      <c r="C80" s="235" t="s">
        <v>1182</v>
      </c>
      <c r="D80" s="443" t="s">
        <v>1915</v>
      </c>
      <c r="E80" s="238"/>
      <c r="F80" s="292">
        <f>F81+F88+F91</f>
        <v>51993.3</v>
      </c>
      <c r="G80" s="476"/>
      <c r="H80" s="476">
        <f>H81+H88+H91</f>
        <v>51993.3</v>
      </c>
      <c r="I80" s="476"/>
      <c r="J80" s="476">
        <f>J81+J88+J91</f>
        <v>51993.3</v>
      </c>
      <c r="K80" s="476"/>
      <c r="L80" s="466"/>
      <c r="N80" s="466"/>
      <c r="O80" s="466"/>
    </row>
    <row r="81" spans="1:15" s="442" customFormat="1" ht="31.5" x14ac:dyDescent="0.25">
      <c r="A81" s="608" t="s">
        <v>1916</v>
      </c>
      <c r="B81" s="578" t="s">
        <v>566</v>
      </c>
      <c r="C81" s="445" t="s">
        <v>1182</v>
      </c>
      <c r="D81" s="443" t="s">
        <v>1917</v>
      </c>
      <c r="E81" s="238"/>
      <c r="F81" s="292">
        <f>F84+F86+F82</f>
        <v>6330.2999999999993</v>
      </c>
      <c r="G81" s="292"/>
      <c r="H81" s="292">
        <f t="shared" ref="H81:J81" si="16">H84+H86+H82</f>
        <v>6330.3</v>
      </c>
      <c r="I81" s="292"/>
      <c r="J81" s="292">
        <f t="shared" si="16"/>
        <v>6330.3</v>
      </c>
      <c r="K81" s="476"/>
      <c r="L81" s="466"/>
      <c r="N81" s="466"/>
      <c r="O81" s="466"/>
    </row>
    <row r="82" spans="1:15" s="514" customFormat="1" ht="47.25" x14ac:dyDescent="0.25">
      <c r="A82" s="520" t="s">
        <v>922</v>
      </c>
      <c r="B82" s="615" t="s">
        <v>566</v>
      </c>
      <c r="C82" s="235" t="s">
        <v>1182</v>
      </c>
      <c r="D82" s="443" t="s">
        <v>1917</v>
      </c>
      <c r="E82" s="577">
        <v>100</v>
      </c>
      <c r="F82" s="292">
        <f>F83</f>
        <v>0.4</v>
      </c>
      <c r="G82" s="292"/>
      <c r="H82" s="292">
        <f t="shared" ref="H82:J82" si="17">H83</f>
        <v>0</v>
      </c>
      <c r="I82" s="292"/>
      <c r="J82" s="292">
        <f t="shared" si="17"/>
        <v>0</v>
      </c>
      <c r="K82" s="476"/>
      <c r="L82" s="466"/>
      <c r="N82" s="466"/>
      <c r="O82" s="466"/>
    </row>
    <row r="83" spans="1:15" s="514" customFormat="1" x14ac:dyDescent="0.25">
      <c r="A83" s="520" t="s">
        <v>1748</v>
      </c>
      <c r="B83" s="615" t="s">
        <v>566</v>
      </c>
      <c r="C83" s="235" t="s">
        <v>1182</v>
      </c>
      <c r="D83" s="443" t="s">
        <v>1917</v>
      </c>
      <c r="E83" s="238">
        <v>120</v>
      </c>
      <c r="F83" s="292">
        <f>'ведом. 2021-2023'!AD54</f>
        <v>0.4</v>
      </c>
      <c r="G83" s="476"/>
      <c r="H83" s="476">
        <f>'ведом. 2021-2023'!AE54</f>
        <v>0</v>
      </c>
      <c r="I83" s="476"/>
      <c r="J83" s="476">
        <f>'ведом. 2021-2023'!AF54</f>
        <v>0</v>
      </c>
      <c r="K83" s="476"/>
      <c r="L83" s="466"/>
      <c r="N83" s="466"/>
      <c r="O83" s="466"/>
    </row>
    <row r="84" spans="1:15" s="442" customFormat="1" x14ac:dyDescent="0.25">
      <c r="A84" s="524" t="s">
        <v>1782</v>
      </c>
      <c r="B84" s="615" t="s">
        <v>566</v>
      </c>
      <c r="C84" s="235" t="s">
        <v>1182</v>
      </c>
      <c r="D84" s="443" t="s">
        <v>1917</v>
      </c>
      <c r="E84" s="238">
        <v>200</v>
      </c>
      <c r="F84" s="292">
        <f>F85</f>
        <v>6326.5</v>
      </c>
      <c r="G84" s="476"/>
      <c r="H84" s="476">
        <f>H85</f>
        <v>6330.3</v>
      </c>
      <c r="I84" s="476"/>
      <c r="J84" s="476">
        <f>J85</f>
        <v>6330.3</v>
      </c>
      <c r="K84" s="476"/>
      <c r="L84" s="466"/>
      <c r="N84" s="466"/>
      <c r="O84" s="466"/>
    </row>
    <row r="85" spans="1:15" s="442" customFormat="1" ht="31.5" x14ac:dyDescent="0.25">
      <c r="A85" s="524" t="s">
        <v>1274</v>
      </c>
      <c r="B85" s="615" t="s">
        <v>566</v>
      </c>
      <c r="C85" s="235" t="s">
        <v>1182</v>
      </c>
      <c r="D85" s="443" t="s">
        <v>1917</v>
      </c>
      <c r="E85" s="238">
        <v>240</v>
      </c>
      <c r="F85" s="292">
        <f>'ведом. 2021-2023'!AD56</f>
        <v>6326.5</v>
      </c>
      <c r="G85" s="476"/>
      <c r="H85" s="476">
        <f>'ведом. 2021-2023'!AE56</f>
        <v>6330.3</v>
      </c>
      <c r="I85" s="476"/>
      <c r="J85" s="476">
        <f>'ведом. 2021-2023'!AF56</f>
        <v>6330.3</v>
      </c>
      <c r="K85" s="476"/>
      <c r="L85" s="466"/>
      <c r="N85" s="466"/>
      <c r="O85" s="466"/>
    </row>
    <row r="86" spans="1:15" s="514" customFormat="1" x14ac:dyDescent="0.25">
      <c r="A86" s="520" t="s">
        <v>924</v>
      </c>
      <c r="B86" s="615" t="s">
        <v>566</v>
      </c>
      <c r="C86" s="235" t="s">
        <v>1182</v>
      </c>
      <c r="D86" s="443" t="s">
        <v>1917</v>
      </c>
      <c r="E86" s="238">
        <v>800</v>
      </c>
      <c r="F86" s="292">
        <f>F87</f>
        <v>3.4</v>
      </c>
      <c r="G86" s="476"/>
      <c r="H86" s="476">
        <f>H87</f>
        <v>0</v>
      </c>
      <c r="I86" s="476"/>
      <c r="J86" s="476">
        <f>J87</f>
        <v>0</v>
      </c>
      <c r="K86" s="476"/>
      <c r="L86" s="466"/>
      <c r="N86" s="466"/>
      <c r="O86" s="466"/>
    </row>
    <row r="87" spans="1:15" s="514" customFormat="1" x14ac:dyDescent="0.25">
      <c r="A87" s="520" t="s">
        <v>1320</v>
      </c>
      <c r="B87" s="615" t="s">
        <v>566</v>
      </c>
      <c r="C87" s="235" t="s">
        <v>1182</v>
      </c>
      <c r="D87" s="443" t="s">
        <v>1917</v>
      </c>
      <c r="E87" s="238">
        <v>850</v>
      </c>
      <c r="F87" s="292">
        <f>'ведом. 2021-2023'!AD58</f>
        <v>3.4</v>
      </c>
      <c r="G87" s="476"/>
      <c r="H87" s="476">
        <f>'ведом. 2021-2023'!AE58</f>
        <v>0</v>
      </c>
      <c r="I87" s="476"/>
      <c r="J87" s="476">
        <f>'ведом. 2021-2023'!AF58</f>
        <v>0</v>
      </c>
      <c r="K87" s="476"/>
      <c r="L87" s="466"/>
      <c r="N87" s="466"/>
      <c r="O87" s="466"/>
    </row>
    <row r="88" spans="1:15" s="442" customFormat="1" ht="31.5" x14ac:dyDescent="0.25">
      <c r="A88" s="524" t="s">
        <v>1918</v>
      </c>
      <c r="B88" s="615" t="s">
        <v>566</v>
      </c>
      <c r="C88" s="235" t="s">
        <v>1182</v>
      </c>
      <c r="D88" s="443" t="s">
        <v>1919</v>
      </c>
      <c r="E88" s="577"/>
      <c r="F88" s="292">
        <f>F89</f>
        <v>15039.3</v>
      </c>
      <c r="G88" s="476"/>
      <c r="H88" s="476">
        <f>H89</f>
        <v>15039.3</v>
      </c>
      <c r="I88" s="476"/>
      <c r="J88" s="476">
        <f>J89</f>
        <v>15039.3</v>
      </c>
      <c r="K88" s="476"/>
      <c r="L88" s="466"/>
      <c r="N88" s="466"/>
      <c r="O88" s="466"/>
    </row>
    <row r="89" spans="1:15" s="442" customFormat="1" ht="47.25" x14ac:dyDescent="0.25">
      <c r="A89" s="524" t="s">
        <v>922</v>
      </c>
      <c r="B89" s="615" t="s">
        <v>566</v>
      </c>
      <c r="C89" s="235" t="s">
        <v>1182</v>
      </c>
      <c r="D89" s="443" t="s">
        <v>1919</v>
      </c>
      <c r="E89" s="577">
        <v>100</v>
      </c>
      <c r="F89" s="292">
        <f>F90</f>
        <v>15039.3</v>
      </c>
      <c r="G89" s="476"/>
      <c r="H89" s="476">
        <f>H90</f>
        <v>15039.3</v>
      </c>
      <c r="I89" s="476"/>
      <c r="J89" s="476">
        <f>J90</f>
        <v>15039.3</v>
      </c>
      <c r="K89" s="476"/>
      <c r="L89" s="466"/>
      <c r="N89" s="466"/>
      <c r="O89" s="466"/>
    </row>
    <row r="90" spans="1:15" s="442" customFormat="1" x14ac:dyDescent="0.25">
      <c r="A90" s="524" t="s">
        <v>1748</v>
      </c>
      <c r="B90" s="615" t="s">
        <v>566</v>
      </c>
      <c r="C90" s="235" t="s">
        <v>1182</v>
      </c>
      <c r="D90" s="443" t="s">
        <v>1919</v>
      </c>
      <c r="E90" s="238">
        <v>120</v>
      </c>
      <c r="F90" s="292">
        <f>'ведом. 2021-2023'!AD61</f>
        <v>15039.3</v>
      </c>
      <c r="G90" s="476"/>
      <c r="H90" s="476">
        <f>'ведом. 2021-2023'!AE61</f>
        <v>15039.3</v>
      </c>
      <c r="I90" s="476"/>
      <c r="J90" s="476">
        <f>'ведом. 2021-2023'!AF61</f>
        <v>15039.3</v>
      </c>
      <c r="K90" s="476"/>
      <c r="L90" s="466"/>
      <c r="N90" s="466"/>
      <c r="O90" s="466"/>
    </row>
    <row r="91" spans="1:15" s="442" customFormat="1" ht="31.5" x14ac:dyDescent="0.25">
      <c r="A91" s="524" t="s">
        <v>1920</v>
      </c>
      <c r="B91" s="615" t="s">
        <v>566</v>
      </c>
      <c r="C91" s="235" t="s">
        <v>1182</v>
      </c>
      <c r="D91" s="443" t="s">
        <v>1921</v>
      </c>
      <c r="E91" s="577"/>
      <c r="F91" s="292">
        <f>F92</f>
        <v>30623.7</v>
      </c>
      <c r="G91" s="476"/>
      <c r="H91" s="476">
        <f>H92</f>
        <v>30623.7</v>
      </c>
      <c r="I91" s="476"/>
      <c r="J91" s="476">
        <f>J92</f>
        <v>30623.7</v>
      </c>
      <c r="K91" s="476"/>
      <c r="L91" s="466"/>
      <c r="N91" s="466"/>
      <c r="O91" s="466"/>
    </row>
    <row r="92" spans="1:15" s="442" customFormat="1" ht="47.25" x14ac:dyDescent="0.25">
      <c r="A92" s="524" t="s">
        <v>922</v>
      </c>
      <c r="B92" s="615" t="s">
        <v>566</v>
      </c>
      <c r="C92" s="235" t="s">
        <v>1182</v>
      </c>
      <c r="D92" s="443" t="s">
        <v>1921</v>
      </c>
      <c r="E92" s="577">
        <v>100</v>
      </c>
      <c r="F92" s="292">
        <f>F93</f>
        <v>30623.7</v>
      </c>
      <c r="G92" s="476"/>
      <c r="H92" s="476">
        <f>H93</f>
        <v>30623.7</v>
      </c>
      <c r="I92" s="476"/>
      <c r="J92" s="476">
        <f>J93</f>
        <v>30623.7</v>
      </c>
      <c r="K92" s="476"/>
      <c r="L92" s="466"/>
      <c r="N92" s="466"/>
      <c r="O92" s="466"/>
    </row>
    <row r="93" spans="1:15" s="442" customFormat="1" x14ac:dyDescent="0.25">
      <c r="A93" s="524" t="s">
        <v>1748</v>
      </c>
      <c r="B93" s="615" t="s">
        <v>566</v>
      </c>
      <c r="C93" s="235" t="s">
        <v>1182</v>
      </c>
      <c r="D93" s="443" t="s">
        <v>1921</v>
      </c>
      <c r="E93" s="238">
        <v>120</v>
      </c>
      <c r="F93" s="292">
        <f>'ведом. 2021-2023'!AD64</f>
        <v>30623.7</v>
      </c>
      <c r="G93" s="476"/>
      <c r="H93" s="476">
        <f>'ведом. 2021-2023'!AE64</f>
        <v>30623.7</v>
      </c>
      <c r="I93" s="476"/>
      <c r="J93" s="476">
        <f>'ведом. 2021-2023'!AF64</f>
        <v>30623.7</v>
      </c>
      <c r="K93" s="476"/>
      <c r="L93" s="466"/>
      <c r="N93" s="466"/>
      <c r="O93" s="466"/>
    </row>
    <row r="94" spans="1:15" s="442" customFormat="1" ht="31.5" x14ac:dyDescent="0.25">
      <c r="A94" s="521" t="s">
        <v>2104</v>
      </c>
      <c r="B94" s="615" t="s">
        <v>566</v>
      </c>
      <c r="C94" s="235" t="s">
        <v>1182</v>
      </c>
      <c r="D94" s="443" t="s">
        <v>1806</v>
      </c>
      <c r="E94" s="238"/>
      <c r="F94" s="292">
        <f>F95</f>
        <v>8336</v>
      </c>
      <c r="G94" s="476"/>
      <c r="H94" s="476">
        <f>H95</f>
        <v>3332</v>
      </c>
      <c r="I94" s="476"/>
      <c r="J94" s="476">
        <f>J95</f>
        <v>3332</v>
      </c>
      <c r="K94" s="476"/>
      <c r="L94" s="466"/>
      <c r="N94" s="466"/>
      <c r="O94" s="466"/>
    </row>
    <row r="95" spans="1:15" s="442" customFormat="1" ht="47.25" x14ac:dyDescent="0.25">
      <c r="A95" s="521" t="s">
        <v>2105</v>
      </c>
      <c r="B95" s="615" t="s">
        <v>566</v>
      </c>
      <c r="C95" s="235" t="s">
        <v>1182</v>
      </c>
      <c r="D95" s="443" t="s">
        <v>2106</v>
      </c>
      <c r="E95" s="238"/>
      <c r="F95" s="292">
        <f>F96</f>
        <v>8336</v>
      </c>
      <c r="G95" s="476"/>
      <c r="H95" s="476">
        <f>H96</f>
        <v>3332</v>
      </c>
      <c r="I95" s="476"/>
      <c r="J95" s="476">
        <f>J96</f>
        <v>3332</v>
      </c>
      <c r="K95" s="476"/>
      <c r="L95" s="466"/>
      <c r="N95" s="466"/>
      <c r="O95" s="466"/>
    </row>
    <row r="96" spans="1:15" s="442" customFormat="1" ht="31.5" x14ac:dyDescent="0.25">
      <c r="A96" s="529" t="s">
        <v>2107</v>
      </c>
      <c r="B96" s="615" t="s">
        <v>566</v>
      </c>
      <c r="C96" s="235" t="s">
        <v>1182</v>
      </c>
      <c r="D96" s="443" t="s">
        <v>2108</v>
      </c>
      <c r="E96" s="238"/>
      <c r="F96" s="292">
        <f>F97</f>
        <v>8336</v>
      </c>
      <c r="G96" s="476"/>
      <c r="H96" s="476">
        <f>H97</f>
        <v>3332</v>
      </c>
      <c r="I96" s="476"/>
      <c r="J96" s="476">
        <f>J97</f>
        <v>3332</v>
      </c>
      <c r="K96" s="476"/>
      <c r="L96" s="466"/>
      <c r="N96" s="466"/>
      <c r="O96" s="466"/>
    </row>
    <row r="97" spans="1:15" s="442" customFormat="1" ht="94.5" x14ac:dyDescent="0.25">
      <c r="A97" s="529" t="s">
        <v>2244</v>
      </c>
      <c r="B97" s="615" t="s">
        <v>566</v>
      </c>
      <c r="C97" s="235" t="s">
        <v>1182</v>
      </c>
      <c r="D97" s="472" t="s">
        <v>2109</v>
      </c>
      <c r="E97" s="238"/>
      <c r="F97" s="292">
        <f>F98</f>
        <v>8336</v>
      </c>
      <c r="G97" s="476"/>
      <c r="H97" s="476">
        <f>H98</f>
        <v>3332</v>
      </c>
      <c r="I97" s="476"/>
      <c r="J97" s="476">
        <f>J98</f>
        <v>3332</v>
      </c>
      <c r="K97" s="476"/>
      <c r="L97" s="466"/>
      <c r="N97" s="466"/>
      <c r="O97" s="466"/>
    </row>
    <row r="98" spans="1:15" s="442" customFormat="1" x14ac:dyDescent="0.25">
      <c r="A98" s="524" t="s">
        <v>1782</v>
      </c>
      <c r="B98" s="615" t="s">
        <v>566</v>
      </c>
      <c r="C98" s="235" t="s">
        <v>1182</v>
      </c>
      <c r="D98" s="472" t="s">
        <v>2109</v>
      </c>
      <c r="E98" s="238">
        <v>200</v>
      </c>
      <c r="F98" s="292">
        <f>F99</f>
        <v>8336</v>
      </c>
      <c r="G98" s="476"/>
      <c r="H98" s="476">
        <f>H99</f>
        <v>3332</v>
      </c>
      <c r="I98" s="476"/>
      <c r="J98" s="476">
        <f>J99</f>
        <v>3332</v>
      </c>
      <c r="K98" s="476"/>
      <c r="L98" s="466"/>
      <c r="N98" s="466"/>
      <c r="O98" s="466"/>
    </row>
    <row r="99" spans="1:15" s="442" customFormat="1" ht="31.5" x14ac:dyDescent="0.25">
      <c r="A99" s="524" t="s">
        <v>1274</v>
      </c>
      <c r="B99" s="615" t="s">
        <v>566</v>
      </c>
      <c r="C99" s="235" t="s">
        <v>1182</v>
      </c>
      <c r="D99" s="472" t="s">
        <v>2109</v>
      </c>
      <c r="E99" s="238">
        <v>240</v>
      </c>
      <c r="F99" s="292">
        <f>'ведом. 2021-2023'!AD70</f>
        <v>8336</v>
      </c>
      <c r="G99" s="476"/>
      <c r="H99" s="476">
        <f>'ведом. 2021-2023'!AE70</f>
        <v>3332</v>
      </c>
      <c r="I99" s="476"/>
      <c r="J99" s="476">
        <f>'ведом. 2021-2023'!AF70</f>
        <v>3332</v>
      </c>
      <c r="K99" s="476"/>
      <c r="L99" s="466"/>
      <c r="N99" s="466"/>
      <c r="O99" s="466"/>
    </row>
    <row r="100" spans="1:15" s="442" customFormat="1" ht="31.5" x14ac:dyDescent="0.25">
      <c r="A100" s="524" t="s">
        <v>1595</v>
      </c>
      <c r="B100" s="615" t="s">
        <v>566</v>
      </c>
      <c r="C100" s="235" t="s">
        <v>1747</v>
      </c>
      <c r="D100" s="270"/>
      <c r="E100" s="238"/>
      <c r="F100" s="292">
        <f>F107+F128+F122+F101</f>
        <v>24506.400000000001</v>
      </c>
      <c r="G100" s="476"/>
      <c r="H100" s="476">
        <f>H107+H128+H122+H101</f>
        <v>24349.300000000003</v>
      </c>
      <c r="I100" s="476"/>
      <c r="J100" s="476">
        <f>J107+J128+J122+J101</f>
        <v>24349.300000000003</v>
      </c>
      <c r="K100" s="476"/>
      <c r="L100" s="466"/>
      <c r="N100" s="466"/>
      <c r="O100" s="466"/>
    </row>
    <row r="101" spans="1:15" s="514" customFormat="1" x14ac:dyDescent="0.25">
      <c r="A101" s="521" t="s">
        <v>1999</v>
      </c>
      <c r="B101" s="615" t="s">
        <v>566</v>
      </c>
      <c r="C101" s="235" t="s">
        <v>1747</v>
      </c>
      <c r="D101" s="443" t="s">
        <v>1775</v>
      </c>
      <c r="E101" s="577"/>
      <c r="F101" s="292">
        <f t="shared" ref="F101:H105" si="18">F102</f>
        <v>157.1</v>
      </c>
      <c r="G101" s="476"/>
      <c r="H101" s="476">
        <f t="shared" si="18"/>
        <v>0</v>
      </c>
      <c r="I101" s="476"/>
      <c r="J101" s="476">
        <f>J102</f>
        <v>0</v>
      </c>
      <c r="K101" s="476"/>
      <c r="L101" s="466"/>
      <c r="N101" s="466"/>
      <c r="O101" s="466"/>
    </row>
    <row r="102" spans="1:15" s="514" customFormat="1" x14ac:dyDescent="0.25">
      <c r="A102" s="518" t="s">
        <v>2340</v>
      </c>
      <c r="B102" s="615" t="s">
        <v>566</v>
      </c>
      <c r="C102" s="235" t="s">
        <v>1747</v>
      </c>
      <c r="D102" s="443" t="s">
        <v>1802</v>
      </c>
      <c r="E102" s="577"/>
      <c r="F102" s="292">
        <f t="shared" si="18"/>
        <v>157.1</v>
      </c>
      <c r="G102" s="476"/>
      <c r="H102" s="476">
        <f t="shared" si="18"/>
        <v>0</v>
      </c>
      <c r="I102" s="476"/>
      <c r="J102" s="476">
        <f>J103</f>
        <v>0</v>
      </c>
      <c r="K102" s="476"/>
      <c r="L102" s="466"/>
      <c r="N102" s="466"/>
      <c r="O102" s="466"/>
    </row>
    <row r="103" spans="1:15" s="514" customFormat="1" ht="31.5" x14ac:dyDescent="0.25">
      <c r="A103" s="522" t="s">
        <v>2015</v>
      </c>
      <c r="B103" s="615" t="s">
        <v>566</v>
      </c>
      <c r="C103" s="235" t="s">
        <v>1747</v>
      </c>
      <c r="D103" s="443" t="s">
        <v>1803</v>
      </c>
      <c r="E103" s="577"/>
      <c r="F103" s="292">
        <f t="shared" si="18"/>
        <v>157.1</v>
      </c>
      <c r="G103" s="476"/>
      <c r="H103" s="476">
        <f t="shared" si="18"/>
        <v>0</v>
      </c>
      <c r="I103" s="476"/>
      <c r="J103" s="476">
        <f>J104</f>
        <v>0</v>
      </c>
      <c r="K103" s="476"/>
      <c r="L103" s="466"/>
      <c r="N103" s="466"/>
      <c r="O103" s="466"/>
    </row>
    <row r="104" spans="1:15" s="514" customFormat="1" x14ac:dyDescent="0.25">
      <c r="A104" s="522" t="s">
        <v>2016</v>
      </c>
      <c r="B104" s="615" t="s">
        <v>566</v>
      </c>
      <c r="C104" s="235" t="s">
        <v>1747</v>
      </c>
      <c r="D104" s="443" t="s">
        <v>2017</v>
      </c>
      <c r="E104" s="577"/>
      <c r="F104" s="292">
        <f t="shared" si="18"/>
        <v>157.1</v>
      </c>
      <c r="G104" s="476"/>
      <c r="H104" s="476">
        <f t="shared" si="18"/>
        <v>0</v>
      </c>
      <c r="I104" s="476"/>
      <c r="J104" s="476">
        <f>J105</f>
        <v>0</v>
      </c>
      <c r="K104" s="476"/>
      <c r="L104" s="466"/>
      <c r="N104" s="466"/>
      <c r="O104" s="466"/>
    </row>
    <row r="105" spans="1:15" s="514" customFormat="1" x14ac:dyDescent="0.25">
      <c r="A105" s="520" t="s">
        <v>1782</v>
      </c>
      <c r="B105" s="615" t="s">
        <v>566</v>
      </c>
      <c r="C105" s="235" t="s">
        <v>1747</v>
      </c>
      <c r="D105" s="443" t="s">
        <v>2017</v>
      </c>
      <c r="E105" s="238">
        <v>200</v>
      </c>
      <c r="F105" s="292">
        <f t="shared" si="18"/>
        <v>157.1</v>
      </c>
      <c r="G105" s="476"/>
      <c r="H105" s="476">
        <f t="shared" si="18"/>
        <v>0</v>
      </c>
      <c r="I105" s="476"/>
      <c r="J105" s="476">
        <f>J106</f>
        <v>0</v>
      </c>
      <c r="K105" s="476"/>
      <c r="L105" s="466"/>
      <c r="N105" s="466"/>
      <c r="O105" s="466"/>
    </row>
    <row r="106" spans="1:15" s="514" customFormat="1" ht="31.5" x14ac:dyDescent="0.25">
      <c r="A106" s="520" t="s">
        <v>1274</v>
      </c>
      <c r="B106" s="615" t="s">
        <v>566</v>
      </c>
      <c r="C106" s="235" t="s">
        <v>1747</v>
      </c>
      <c r="D106" s="443" t="s">
        <v>2017</v>
      </c>
      <c r="E106" s="238">
        <v>240</v>
      </c>
      <c r="F106" s="292">
        <f>'ведом. 2021-2023'!AD600+'ведом. 2021-2023'!AD1120</f>
        <v>157.1</v>
      </c>
      <c r="G106" s="476"/>
      <c r="H106" s="476">
        <f>'ведом. 2021-2023'!AE600+'ведом. 2021-2023'!AE1120</f>
        <v>0</v>
      </c>
      <c r="I106" s="476"/>
      <c r="J106" s="476">
        <f>'ведом. 2021-2023'!AF1120+'ведом. 2021-2023'!AF601</f>
        <v>0</v>
      </c>
      <c r="K106" s="476"/>
      <c r="L106" s="466"/>
      <c r="N106" s="466"/>
      <c r="O106" s="466"/>
    </row>
    <row r="107" spans="1:15" s="442" customFormat="1" x14ac:dyDescent="0.25">
      <c r="A107" s="521" t="s">
        <v>1899</v>
      </c>
      <c r="B107" s="615" t="s">
        <v>566</v>
      </c>
      <c r="C107" s="235" t="s">
        <v>1747</v>
      </c>
      <c r="D107" s="443" t="s">
        <v>1772</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21" t="s">
        <v>1908</v>
      </c>
      <c r="B108" s="615" t="s">
        <v>566</v>
      </c>
      <c r="C108" s="235" t="s">
        <v>1747</v>
      </c>
      <c r="D108" s="443" t="s">
        <v>1909</v>
      </c>
      <c r="E108" s="238"/>
      <c r="F108" s="292">
        <f>F109</f>
        <v>17046.900000000001</v>
      </c>
      <c r="G108" s="476"/>
      <c r="H108" s="476">
        <f>H109</f>
        <v>17046.900000000001</v>
      </c>
      <c r="I108" s="476"/>
      <c r="J108" s="476">
        <f>J109</f>
        <v>17046.900000000001</v>
      </c>
      <c r="K108" s="476"/>
      <c r="L108" s="466"/>
      <c r="N108" s="466"/>
      <c r="O108" s="466"/>
    </row>
    <row r="109" spans="1:15" s="442" customFormat="1" ht="31.5" x14ac:dyDescent="0.25">
      <c r="A109" s="521" t="s">
        <v>1910</v>
      </c>
      <c r="B109" s="615" t="s">
        <v>566</v>
      </c>
      <c r="C109" s="235" t="s">
        <v>1747</v>
      </c>
      <c r="D109" s="443" t="s">
        <v>1911</v>
      </c>
      <c r="E109" s="238"/>
      <c r="F109" s="292">
        <f>F110</f>
        <v>17046.900000000001</v>
      </c>
      <c r="G109" s="476"/>
      <c r="H109" s="476">
        <f>H110</f>
        <v>17046.900000000001</v>
      </c>
      <c r="I109" s="476"/>
      <c r="J109" s="476">
        <f>J110</f>
        <v>17046.900000000001</v>
      </c>
      <c r="K109" s="476"/>
      <c r="L109" s="466"/>
      <c r="N109" s="466"/>
      <c r="O109" s="466"/>
    </row>
    <row r="110" spans="1:15" s="442" customFormat="1" x14ac:dyDescent="0.25">
      <c r="A110" s="529" t="s">
        <v>1928</v>
      </c>
      <c r="B110" s="615" t="s">
        <v>566</v>
      </c>
      <c r="C110" s="235" t="s">
        <v>1747</v>
      </c>
      <c r="D110" s="472" t="s">
        <v>1929</v>
      </c>
      <c r="E110" s="238"/>
      <c r="F110" s="292">
        <f>F111+F116+F119</f>
        <v>17046.900000000001</v>
      </c>
      <c r="G110" s="476"/>
      <c r="H110" s="476">
        <f>H111+H116+H119</f>
        <v>17046.900000000001</v>
      </c>
      <c r="I110" s="476"/>
      <c r="J110" s="476">
        <f>J111+J116+J119</f>
        <v>17046.900000000001</v>
      </c>
      <c r="K110" s="476"/>
      <c r="L110" s="466"/>
      <c r="N110" s="466"/>
      <c r="O110" s="466"/>
    </row>
    <row r="111" spans="1:15" s="442" customFormat="1" ht="31.5" x14ac:dyDescent="0.25">
      <c r="A111" s="524" t="s">
        <v>1930</v>
      </c>
      <c r="B111" s="615" t="s">
        <v>566</v>
      </c>
      <c r="C111" s="235" t="s">
        <v>1747</v>
      </c>
      <c r="D111" s="472" t="s">
        <v>1931</v>
      </c>
      <c r="E111" s="238"/>
      <c r="F111" s="292">
        <f>F112+F114</f>
        <v>3263.4</v>
      </c>
      <c r="G111" s="476"/>
      <c r="H111" s="476">
        <f>H112+H114</f>
        <v>3263.4</v>
      </c>
      <c r="I111" s="476"/>
      <c r="J111" s="476">
        <f>J112+J114</f>
        <v>3263.4</v>
      </c>
      <c r="K111" s="476"/>
      <c r="L111" s="466"/>
      <c r="N111" s="466"/>
      <c r="O111" s="466"/>
    </row>
    <row r="112" spans="1:15" s="442" customFormat="1" x14ac:dyDescent="0.25">
      <c r="A112" s="524" t="s">
        <v>1782</v>
      </c>
      <c r="B112" s="615" t="s">
        <v>566</v>
      </c>
      <c r="C112" s="235" t="s">
        <v>1747</v>
      </c>
      <c r="D112" s="472" t="s">
        <v>1931</v>
      </c>
      <c r="E112" s="238">
        <v>200</v>
      </c>
      <c r="F112" s="292">
        <f>F113</f>
        <v>3263.3</v>
      </c>
      <c r="G112" s="476"/>
      <c r="H112" s="476">
        <f>H113</f>
        <v>3263.4</v>
      </c>
      <c r="I112" s="476"/>
      <c r="J112" s="476">
        <f>J113</f>
        <v>3263.4</v>
      </c>
      <c r="K112" s="476"/>
      <c r="L112" s="466"/>
      <c r="N112" s="466"/>
      <c r="O112" s="466"/>
    </row>
    <row r="113" spans="1:15" s="442" customFormat="1" ht="31.5" x14ac:dyDescent="0.25">
      <c r="A113" s="524" t="s">
        <v>1274</v>
      </c>
      <c r="B113" s="615" t="s">
        <v>566</v>
      </c>
      <c r="C113" s="235" t="s">
        <v>1747</v>
      </c>
      <c r="D113" s="472" t="s">
        <v>1931</v>
      </c>
      <c r="E113" s="238">
        <v>240</v>
      </c>
      <c r="F113" s="292">
        <f>'ведом. 2021-2023'!AD608</f>
        <v>3263.3</v>
      </c>
      <c r="G113" s="476"/>
      <c r="H113" s="476">
        <f>'ведом. 2021-2023'!AE608</f>
        <v>3263.4</v>
      </c>
      <c r="I113" s="476"/>
      <c r="J113" s="476">
        <f>'ведом. 2021-2023'!AF608</f>
        <v>3263.4</v>
      </c>
      <c r="K113" s="476"/>
      <c r="L113" s="466"/>
      <c r="N113" s="466"/>
      <c r="O113" s="466"/>
    </row>
    <row r="114" spans="1:15" s="514" customFormat="1" x14ac:dyDescent="0.25">
      <c r="A114" s="520" t="s">
        <v>924</v>
      </c>
      <c r="B114" s="615" t="s">
        <v>566</v>
      </c>
      <c r="C114" s="235" t="s">
        <v>1747</v>
      </c>
      <c r="D114" s="472" t="s">
        <v>1931</v>
      </c>
      <c r="E114" s="238">
        <v>800</v>
      </c>
      <c r="F114" s="292">
        <f>F115</f>
        <v>0.1</v>
      </c>
      <c r="G114" s="476"/>
      <c r="H114" s="476">
        <f>H115</f>
        <v>0</v>
      </c>
      <c r="I114" s="476"/>
      <c r="J114" s="476">
        <f>J115</f>
        <v>0</v>
      </c>
      <c r="K114" s="476"/>
      <c r="L114" s="466"/>
      <c r="N114" s="466"/>
      <c r="O114" s="466"/>
    </row>
    <row r="115" spans="1:15" s="514" customFormat="1" x14ac:dyDescent="0.25">
      <c r="A115" s="520" t="s">
        <v>1320</v>
      </c>
      <c r="B115" s="615" t="s">
        <v>566</v>
      </c>
      <c r="C115" s="235" t="s">
        <v>1747</v>
      </c>
      <c r="D115" s="472" t="s">
        <v>1931</v>
      </c>
      <c r="E115" s="238">
        <v>850</v>
      </c>
      <c r="F115" s="292">
        <f>'ведом. 2021-2023'!AD610</f>
        <v>0.1</v>
      </c>
      <c r="G115" s="476"/>
      <c r="H115" s="476">
        <v>0</v>
      </c>
      <c r="I115" s="476"/>
      <c r="J115" s="476">
        <v>0</v>
      </c>
      <c r="K115" s="476"/>
      <c r="L115" s="466"/>
      <c r="N115" s="466"/>
      <c r="O115" s="466"/>
    </row>
    <row r="116" spans="1:15" s="442" customFormat="1" ht="31.5" x14ac:dyDescent="0.25">
      <c r="A116" s="524" t="s">
        <v>1935</v>
      </c>
      <c r="B116" s="615" t="s">
        <v>566</v>
      </c>
      <c r="C116" s="235" t="s">
        <v>1747</v>
      </c>
      <c r="D116" s="249" t="str">
        <f>D117</f>
        <v>12 5 01 00162</v>
      </c>
      <c r="E116" s="238"/>
      <c r="F116" s="292">
        <f>F118</f>
        <v>7844.7</v>
      </c>
      <c r="G116" s="476"/>
      <c r="H116" s="476">
        <f>H118</f>
        <v>7844.7</v>
      </c>
      <c r="I116" s="476"/>
      <c r="J116" s="476">
        <f>J118</f>
        <v>7844.7</v>
      </c>
      <c r="K116" s="476"/>
      <c r="L116" s="466"/>
      <c r="N116" s="466"/>
      <c r="O116" s="466"/>
    </row>
    <row r="117" spans="1:15" s="442" customFormat="1" ht="47.25" x14ac:dyDescent="0.25">
      <c r="A117" s="524" t="s">
        <v>922</v>
      </c>
      <c r="B117" s="615" t="s">
        <v>566</v>
      </c>
      <c r="C117" s="235" t="s">
        <v>1747</v>
      </c>
      <c r="D117" s="249" t="str">
        <f>D118</f>
        <v>12 5 01 00162</v>
      </c>
      <c r="E117" s="238">
        <v>100</v>
      </c>
      <c r="F117" s="292">
        <f>F118</f>
        <v>7844.7</v>
      </c>
      <c r="G117" s="476"/>
      <c r="H117" s="476">
        <f>H118</f>
        <v>7844.7</v>
      </c>
      <c r="I117" s="476"/>
      <c r="J117" s="476">
        <f>J118</f>
        <v>7844.7</v>
      </c>
      <c r="K117" s="476"/>
      <c r="L117" s="466"/>
      <c r="N117" s="466"/>
      <c r="O117" s="466"/>
    </row>
    <row r="118" spans="1:15" s="442" customFormat="1" x14ac:dyDescent="0.25">
      <c r="A118" s="524" t="s">
        <v>1748</v>
      </c>
      <c r="B118" s="615" t="s">
        <v>566</v>
      </c>
      <c r="C118" s="235" t="s">
        <v>1747</v>
      </c>
      <c r="D118" s="472" t="s">
        <v>1932</v>
      </c>
      <c r="E118" s="238">
        <v>120</v>
      </c>
      <c r="F118" s="292">
        <f>'ведом. 2021-2023'!AD613</f>
        <v>7844.7</v>
      </c>
      <c r="G118" s="476"/>
      <c r="H118" s="476">
        <f>'ведом. 2021-2023'!AE613</f>
        <v>7844.7</v>
      </c>
      <c r="I118" s="476"/>
      <c r="J118" s="476">
        <f>'ведом. 2021-2023'!AF613</f>
        <v>7844.7</v>
      </c>
      <c r="K118" s="476"/>
      <c r="L118" s="466"/>
      <c r="N118" s="466"/>
      <c r="O118" s="466"/>
    </row>
    <row r="119" spans="1:15" s="442" customFormat="1" ht="31.5" x14ac:dyDescent="0.25">
      <c r="A119" s="524" t="s">
        <v>1934</v>
      </c>
      <c r="B119" s="615" t="s">
        <v>566</v>
      </c>
      <c r="C119" s="235" t="s">
        <v>1747</v>
      </c>
      <c r="D119" s="249" t="str">
        <f>D120</f>
        <v>12 5 01 00163</v>
      </c>
      <c r="E119" s="238"/>
      <c r="F119" s="292">
        <f>F120</f>
        <v>5938.8</v>
      </c>
      <c r="G119" s="476"/>
      <c r="H119" s="476">
        <f>H120</f>
        <v>5938.8</v>
      </c>
      <c r="I119" s="476"/>
      <c r="J119" s="476">
        <f>J120</f>
        <v>5938.8</v>
      </c>
      <c r="K119" s="476"/>
      <c r="L119" s="466"/>
      <c r="N119" s="466"/>
      <c r="O119" s="466"/>
    </row>
    <row r="120" spans="1:15" s="442" customFormat="1" ht="47.25" x14ac:dyDescent="0.25">
      <c r="A120" s="524" t="s">
        <v>922</v>
      </c>
      <c r="B120" s="615" t="s">
        <v>566</v>
      </c>
      <c r="C120" s="235" t="s">
        <v>1747</v>
      </c>
      <c r="D120" s="249" t="str">
        <f>D121</f>
        <v>12 5 01 00163</v>
      </c>
      <c r="E120" s="238">
        <v>100</v>
      </c>
      <c r="F120" s="292">
        <f>F121</f>
        <v>5938.8</v>
      </c>
      <c r="G120" s="476"/>
      <c r="H120" s="476">
        <f>H121</f>
        <v>5938.8</v>
      </c>
      <c r="I120" s="476"/>
      <c r="J120" s="476">
        <f>J121</f>
        <v>5938.8</v>
      </c>
      <c r="K120" s="476"/>
      <c r="L120" s="466"/>
      <c r="N120" s="466"/>
      <c r="O120" s="466"/>
    </row>
    <row r="121" spans="1:15" s="442" customFormat="1" x14ac:dyDescent="0.25">
      <c r="A121" s="524" t="s">
        <v>1748</v>
      </c>
      <c r="B121" s="615" t="s">
        <v>566</v>
      </c>
      <c r="C121" s="235" t="s">
        <v>1747</v>
      </c>
      <c r="D121" s="472" t="s">
        <v>1933</v>
      </c>
      <c r="E121" s="238">
        <v>120</v>
      </c>
      <c r="F121" s="292">
        <f>'ведом. 2021-2023'!AD616</f>
        <v>5938.8</v>
      </c>
      <c r="G121" s="476"/>
      <c r="H121" s="476">
        <f>'ведом. 2021-2023'!AE616</f>
        <v>5938.8</v>
      </c>
      <c r="I121" s="476"/>
      <c r="J121" s="476">
        <f>'ведом. 2021-2023'!AF616</f>
        <v>5938.8</v>
      </c>
      <c r="K121" s="476"/>
      <c r="L121" s="466"/>
      <c r="N121" s="466"/>
      <c r="O121" s="466"/>
    </row>
    <row r="122" spans="1:15" s="442" customFormat="1" ht="31.5" x14ac:dyDescent="0.25">
      <c r="A122" s="521" t="s">
        <v>2104</v>
      </c>
      <c r="B122" s="615" t="s">
        <v>566</v>
      </c>
      <c r="C122" s="235" t="s">
        <v>1747</v>
      </c>
      <c r="D122" s="443" t="s">
        <v>1806</v>
      </c>
      <c r="E122" s="238"/>
      <c r="F122" s="292">
        <f>F123</f>
        <v>15.5</v>
      </c>
      <c r="G122" s="476"/>
      <c r="H122" s="476">
        <f>H123</f>
        <v>15.5</v>
      </c>
      <c r="I122" s="476"/>
      <c r="J122" s="476">
        <f>J123</f>
        <v>15.5</v>
      </c>
      <c r="K122" s="476"/>
      <c r="L122" s="466"/>
      <c r="N122" s="466"/>
      <c r="O122" s="466"/>
    </row>
    <row r="123" spans="1:15" s="442" customFormat="1" ht="47.25" x14ac:dyDescent="0.25">
      <c r="A123" s="521" t="s">
        <v>2105</v>
      </c>
      <c r="B123" s="615" t="s">
        <v>566</v>
      </c>
      <c r="C123" s="235" t="s">
        <v>1747</v>
      </c>
      <c r="D123" s="443" t="s">
        <v>2106</v>
      </c>
      <c r="E123" s="238"/>
      <c r="F123" s="292">
        <f>F124</f>
        <v>15.5</v>
      </c>
      <c r="G123" s="476"/>
      <c r="H123" s="476">
        <f>H124</f>
        <v>15.5</v>
      </c>
      <c r="I123" s="476"/>
      <c r="J123" s="476">
        <f>J124</f>
        <v>15.5</v>
      </c>
      <c r="K123" s="476"/>
      <c r="L123" s="466"/>
      <c r="N123" s="466"/>
      <c r="O123" s="466"/>
    </row>
    <row r="124" spans="1:15" s="442" customFormat="1" ht="31.5" x14ac:dyDescent="0.25">
      <c r="A124" s="529" t="s">
        <v>2107</v>
      </c>
      <c r="B124" s="615" t="s">
        <v>566</v>
      </c>
      <c r="C124" s="235" t="s">
        <v>1747</v>
      </c>
      <c r="D124" s="443" t="s">
        <v>2108</v>
      </c>
      <c r="E124" s="238"/>
      <c r="F124" s="292">
        <f>F125</f>
        <v>15.5</v>
      </c>
      <c r="G124" s="476"/>
      <c r="H124" s="476">
        <f>H125</f>
        <v>15.5</v>
      </c>
      <c r="I124" s="476"/>
      <c r="J124" s="476">
        <f>J125</f>
        <v>15.5</v>
      </c>
      <c r="K124" s="476"/>
      <c r="L124" s="466"/>
      <c r="N124" s="466"/>
      <c r="O124" s="466"/>
    </row>
    <row r="125" spans="1:15" s="442" customFormat="1" ht="94.5" x14ac:dyDescent="0.25">
      <c r="A125" s="529" t="s">
        <v>2244</v>
      </c>
      <c r="B125" s="615" t="s">
        <v>566</v>
      </c>
      <c r="C125" s="235" t="s">
        <v>1747</v>
      </c>
      <c r="D125" s="472" t="s">
        <v>2109</v>
      </c>
      <c r="E125" s="238"/>
      <c r="F125" s="292">
        <f>F126</f>
        <v>15.5</v>
      </c>
      <c r="G125" s="476"/>
      <c r="H125" s="476">
        <f>H126</f>
        <v>15.5</v>
      </c>
      <c r="I125" s="476"/>
      <c r="J125" s="476">
        <f>J126</f>
        <v>15.5</v>
      </c>
      <c r="K125" s="476"/>
      <c r="L125" s="466"/>
      <c r="N125" s="466"/>
      <c r="O125" s="466"/>
    </row>
    <row r="126" spans="1:15" s="442" customFormat="1" x14ac:dyDescent="0.25">
      <c r="A126" s="524" t="s">
        <v>1782</v>
      </c>
      <c r="B126" s="615" t="s">
        <v>566</v>
      </c>
      <c r="C126" s="235" t="s">
        <v>1747</v>
      </c>
      <c r="D126" s="472" t="s">
        <v>2109</v>
      </c>
      <c r="E126" s="238">
        <v>200</v>
      </c>
      <c r="F126" s="292">
        <f>F127</f>
        <v>15.5</v>
      </c>
      <c r="G126" s="476"/>
      <c r="H126" s="476">
        <f>H127</f>
        <v>15.5</v>
      </c>
      <c r="I126" s="476"/>
      <c r="J126" s="476">
        <f>J127</f>
        <v>15.5</v>
      </c>
      <c r="K126" s="476"/>
      <c r="L126" s="466"/>
      <c r="N126" s="466"/>
      <c r="O126" s="466"/>
    </row>
    <row r="127" spans="1:15" s="442" customFormat="1" ht="31.5" x14ac:dyDescent="0.25">
      <c r="A127" s="524" t="s">
        <v>1274</v>
      </c>
      <c r="B127" s="615" t="s">
        <v>566</v>
      </c>
      <c r="C127" s="235" t="s">
        <v>1747</v>
      </c>
      <c r="D127" s="472" t="s">
        <v>2109</v>
      </c>
      <c r="E127" s="238">
        <v>240</v>
      </c>
      <c r="F127" s="292">
        <f>'ведом. 2021-2023'!AD1126+'ведом. 2021-2023'!AD622</f>
        <v>15.5</v>
      </c>
      <c r="G127" s="476"/>
      <c r="H127" s="476">
        <f>'ведом. 2021-2023'!AE1126+'ведом. 2021-2023'!AE622</f>
        <v>15.5</v>
      </c>
      <c r="I127" s="476"/>
      <c r="J127" s="476">
        <f>'ведом. 2021-2023'!AF1126+'ведом. 2021-2023'!AF622</f>
        <v>15.5</v>
      </c>
      <c r="K127" s="476"/>
      <c r="L127" s="466"/>
      <c r="N127" s="466"/>
      <c r="O127" s="466"/>
    </row>
    <row r="128" spans="1:15" s="442" customFormat="1" ht="31.5" x14ac:dyDescent="0.25">
      <c r="A128" s="521" t="s">
        <v>2049</v>
      </c>
      <c r="B128" s="615" t="s">
        <v>566</v>
      </c>
      <c r="C128" s="235" t="s">
        <v>1747</v>
      </c>
      <c r="D128" s="443" t="s">
        <v>1757</v>
      </c>
      <c r="E128" s="238"/>
      <c r="F128" s="292">
        <f>F129+F132</f>
        <v>7286.9</v>
      </c>
      <c r="G128" s="476"/>
      <c r="H128" s="476">
        <f>H129+H132</f>
        <v>7286.9</v>
      </c>
      <c r="I128" s="476"/>
      <c r="J128" s="476">
        <f>J129+J132</f>
        <v>7286.9</v>
      </c>
      <c r="K128" s="476"/>
      <c r="L128" s="466"/>
      <c r="N128" s="466"/>
      <c r="O128" s="466"/>
    </row>
    <row r="129" spans="1:15" s="442" customFormat="1" x14ac:dyDescent="0.25">
      <c r="A129" s="529" t="s">
        <v>2046</v>
      </c>
      <c r="B129" s="615" t="s">
        <v>566</v>
      </c>
      <c r="C129" s="235" t="s">
        <v>1747</v>
      </c>
      <c r="D129" s="443" t="s">
        <v>2056</v>
      </c>
      <c r="E129" s="594"/>
      <c r="F129" s="292">
        <f>F130</f>
        <v>1968</v>
      </c>
      <c r="G129" s="476"/>
      <c r="H129" s="476">
        <f>H130</f>
        <v>1880</v>
      </c>
      <c r="I129" s="476"/>
      <c r="J129" s="476">
        <f>J130</f>
        <v>1880</v>
      </c>
      <c r="K129" s="476"/>
      <c r="L129" s="466"/>
      <c r="N129" s="466"/>
      <c r="O129" s="466"/>
    </row>
    <row r="130" spans="1:15" s="442" customFormat="1" ht="47.25" x14ac:dyDescent="0.25">
      <c r="A130" s="524" t="s">
        <v>922</v>
      </c>
      <c r="B130" s="615" t="s">
        <v>566</v>
      </c>
      <c r="C130" s="235" t="s">
        <v>1747</v>
      </c>
      <c r="D130" s="443" t="s">
        <v>2056</v>
      </c>
      <c r="E130" s="238">
        <v>100</v>
      </c>
      <c r="F130" s="292">
        <f>F131</f>
        <v>1968</v>
      </c>
      <c r="G130" s="476"/>
      <c r="H130" s="476">
        <f>H131</f>
        <v>1880</v>
      </c>
      <c r="I130" s="476"/>
      <c r="J130" s="476">
        <f>J131</f>
        <v>1880</v>
      </c>
      <c r="K130" s="476"/>
      <c r="L130" s="466"/>
      <c r="N130" s="466"/>
      <c r="O130" s="466"/>
    </row>
    <row r="131" spans="1:15" s="442" customFormat="1" x14ac:dyDescent="0.25">
      <c r="A131" s="524" t="s">
        <v>1748</v>
      </c>
      <c r="B131" s="615" t="s">
        <v>566</v>
      </c>
      <c r="C131" s="235" t="s">
        <v>1747</v>
      </c>
      <c r="D131" s="443" t="s">
        <v>2056</v>
      </c>
      <c r="E131" s="238">
        <v>120</v>
      </c>
      <c r="F131" s="292">
        <f>'ведом. 2021-2023'!AD1130</f>
        <v>1968</v>
      </c>
      <c r="G131" s="476"/>
      <c r="H131" s="476">
        <f>'ведом. 2021-2023'!AE1130</f>
        <v>1880</v>
      </c>
      <c r="I131" s="476"/>
      <c r="J131" s="476">
        <f>'ведом. 2021-2023'!AF1130</f>
        <v>1880</v>
      </c>
      <c r="K131" s="476"/>
      <c r="L131" s="466"/>
      <c r="N131" s="466"/>
      <c r="O131" s="466"/>
    </row>
    <row r="132" spans="1:15" s="442" customFormat="1" x14ac:dyDescent="0.25">
      <c r="A132" s="529" t="s">
        <v>2047</v>
      </c>
      <c r="B132" s="615" t="s">
        <v>566</v>
      </c>
      <c r="C132" s="235" t="s">
        <v>1747</v>
      </c>
      <c r="D132" s="443" t="s">
        <v>2048</v>
      </c>
      <c r="E132" s="238"/>
      <c r="F132" s="292">
        <f>F133+F138+F141</f>
        <v>5318.9</v>
      </c>
      <c r="G132" s="476"/>
      <c r="H132" s="476">
        <f>H133+H138+H141</f>
        <v>5406.9</v>
      </c>
      <c r="I132" s="476"/>
      <c r="J132" s="476">
        <f>J133+J138+J141</f>
        <v>5406.9</v>
      </c>
      <c r="K132" s="476"/>
      <c r="L132" s="466"/>
      <c r="N132" s="466"/>
      <c r="O132" s="466"/>
    </row>
    <row r="133" spans="1:15" s="442" customFormat="1" x14ac:dyDescent="0.25">
      <c r="A133" s="524" t="s">
        <v>2050</v>
      </c>
      <c r="B133" s="615" t="s">
        <v>566</v>
      </c>
      <c r="C133" s="235" t="s">
        <v>1747</v>
      </c>
      <c r="D133" s="443" t="s">
        <v>2051</v>
      </c>
      <c r="E133" s="238"/>
      <c r="F133" s="292">
        <f>F134+F136</f>
        <v>918.1</v>
      </c>
      <c r="G133" s="292"/>
      <c r="H133" s="292">
        <f t="shared" ref="H133:J133" si="19">H134+H136</f>
        <v>988.1</v>
      </c>
      <c r="I133" s="292"/>
      <c r="J133" s="292">
        <f t="shared" si="19"/>
        <v>988.1</v>
      </c>
      <c r="K133" s="476"/>
      <c r="L133" s="466"/>
      <c r="N133" s="466"/>
      <c r="O133" s="466"/>
    </row>
    <row r="134" spans="1:15" s="442" customFormat="1" x14ac:dyDescent="0.25">
      <c r="A134" s="524" t="s">
        <v>1782</v>
      </c>
      <c r="B134" s="615" t="s">
        <v>566</v>
      </c>
      <c r="C134" s="235" t="s">
        <v>1747</v>
      </c>
      <c r="D134" s="443" t="s">
        <v>2051</v>
      </c>
      <c r="E134" s="238">
        <v>200</v>
      </c>
      <c r="F134" s="292">
        <f>F135</f>
        <v>903.9</v>
      </c>
      <c r="G134" s="476"/>
      <c r="H134" s="476">
        <f>H135</f>
        <v>988.1</v>
      </c>
      <c r="I134" s="476"/>
      <c r="J134" s="476">
        <f>J135</f>
        <v>988.1</v>
      </c>
      <c r="K134" s="476"/>
      <c r="L134" s="466"/>
      <c r="N134" s="466"/>
      <c r="O134" s="466"/>
    </row>
    <row r="135" spans="1:15" s="442" customFormat="1" ht="31.5" x14ac:dyDescent="0.25">
      <c r="A135" s="524" t="s">
        <v>1274</v>
      </c>
      <c r="B135" s="615" t="s">
        <v>566</v>
      </c>
      <c r="C135" s="235" t="s">
        <v>1747</v>
      </c>
      <c r="D135" s="443" t="s">
        <v>2051</v>
      </c>
      <c r="E135" s="238">
        <v>240</v>
      </c>
      <c r="F135" s="292">
        <f>'ведом. 2021-2023'!AD1134</f>
        <v>903.9</v>
      </c>
      <c r="G135" s="476"/>
      <c r="H135" s="476">
        <f>'ведом. 2021-2023'!AE1134</f>
        <v>988.1</v>
      </c>
      <c r="I135" s="476"/>
      <c r="J135" s="476">
        <f>'ведом. 2021-2023'!AF1134</f>
        <v>988.1</v>
      </c>
      <c r="K135" s="476"/>
      <c r="L135" s="466"/>
      <c r="N135" s="466"/>
      <c r="O135" s="466"/>
    </row>
    <row r="136" spans="1:15" s="514" customFormat="1" x14ac:dyDescent="0.25">
      <c r="A136" s="520" t="s">
        <v>924</v>
      </c>
      <c r="B136" s="615" t="s">
        <v>566</v>
      </c>
      <c r="C136" s="235" t="s">
        <v>1747</v>
      </c>
      <c r="D136" s="443" t="s">
        <v>2051</v>
      </c>
      <c r="E136" s="238">
        <v>800</v>
      </c>
      <c r="F136" s="292">
        <f>F137</f>
        <v>14.2</v>
      </c>
      <c r="G136" s="292"/>
      <c r="H136" s="292">
        <f t="shared" ref="H136:J136" si="20">H137</f>
        <v>0</v>
      </c>
      <c r="I136" s="292"/>
      <c r="J136" s="292">
        <f t="shared" si="20"/>
        <v>0</v>
      </c>
      <c r="K136" s="476"/>
      <c r="L136" s="466"/>
      <c r="N136" s="466"/>
      <c r="O136" s="466"/>
    </row>
    <row r="137" spans="1:15" s="514" customFormat="1" x14ac:dyDescent="0.25">
      <c r="A137" s="520" t="s">
        <v>1320</v>
      </c>
      <c r="B137" s="615" t="s">
        <v>566</v>
      </c>
      <c r="C137" s="235" t="s">
        <v>1747</v>
      </c>
      <c r="D137" s="443" t="s">
        <v>2051</v>
      </c>
      <c r="E137" s="238">
        <v>850</v>
      </c>
      <c r="F137" s="292">
        <f>'ведом. 2021-2023'!AD1136</f>
        <v>14.2</v>
      </c>
      <c r="G137" s="476"/>
      <c r="H137" s="476">
        <f>'ведом. 2021-2023'!AE1136</f>
        <v>0</v>
      </c>
      <c r="I137" s="476"/>
      <c r="J137" s="476">
        <f>'ведом. 2021-2023'!AF1136</f>
        <v>0</v>
      </c>
      <c r="K137" s="476"/>
      <c r="L137" s="466"/>
      <c r="N137" s="466"/>
      <c r="O137" s="466"/>
    </row>
    <row r="138" spans="1:15" s="442" customFormat="1" ht="31.5" x14ac:dyDescent="0.25">
      <c r="A138" s="524" t="s">
        <v>2052</v>
      </c>
      <c r="B138" s="615" t="s">
        <v>566</v>
      </c>
      <c r="C138" s="235" t="s">
        <v>1747</v>
      </c>
      <c r="D138" s="443" t="s">
        <v>2053</v>
      </c>
      <c r="E138" s="238"/>
      <c r="F138" s="292">
        <f>F139</f>
        <v>1481.2</v>
      </c>
      <c r="G138" s="476"/>
      <c r="H138" s="476">
        <f>H139</f>
        <v>1411.2</v>
      </c>
      <c r="I138" s="476"/>
      <c r="J138" s="476">
        <f>J139</f>
        <v>1411.2</v>
      </c>
      <c r="K138" s="476"/>
      <c r="L138" s="466"/>
      <c r="N138" s="466"/>
      <c r="O138" s="466"/>
    </row>
    <row r="139" spans="1:15" s="442" customFormat="1" ht="47.25" x14ac:dyDescent="0.25">
      <c r="A139" s="524" t="s">
        <v>922</v>
      </c>
      <c r="B139" s="615" t="s">
        <v>566</v>
      </c>
      <c r="C139" s="235" t="s">
        <v>1747</v>
      </c>
      <c r="D139" s="443" t="s">
        <v>2053</v>
      </c>
      <c r="E139" s="238">
        <v>100</v>
      </c>
      <c r="F139" s="292">
        <f>F140</f>
        <v>1481.2</v>
      </c>
      <c r="G139" s="476"/>
      <c r="H139" s="476">
        <f>H140</f>
        <v>1411.2</v>
      </c>
      <c r="I139" s="476"/>
      <c r="J139" s="476">
        <f>J140</f>
        <v>1411.2</v>
      </c>
      <c r="K139" s="476"/>
      <c r="L139" s="466"/>
      <c r="N139" s="466"/>
      <c r="O139" s="466"/>
    </row>
    <row r="140" spans="1:15" s="442" customFormat="1" x14ac:dyDescent="0.25">
      <c r="A140" s="524" t="s">
        <v>1748</v>
      </c>
      <c r="B140" s="615" t="s">
        <v>566</v>
      </c>
      <c r="C140" s="235" t="s">
        <v>1747</v>
      </c>
      <c r="D140" s="443" t="s">
        <v>2053</v>
      </c>
      <c r="E140" s="238">
        <v>120</v>
      </c>
      <c r="F140" s="292">
        <f>'ведом. 2021-2023'!AD1139</f>
        <v>1481.2</v>
      </c>
      <c r="G140" s="476"/>
      <c r="H140" s="476">
        <f>'ведом. 2021-2023'!AE1139</f>
        <v>1411.2</v>
      </c>
      <c r="I140" s="476"/>
      <c r="J140" s="476">
        <f>'ведом. 2021-2023'!AF1139</f>
        <v>1411.2</v>
      </c>
      <c r="K140" s="476"/>
      <c r="L140" s="466"/>
      <c r="N140" s="466"/>
      <c r="O140" s="466"/>
    </row>
    <row r="141" spans="1:15" s="442" customFormat="1" ht="31.5" x14ac:dyDescent="0.25">
      <c r="A141" s="524" t="s">
        <v>2055</v>
      </c>
      <c r="B141" s="615" t="s">
        <v>566</v>
      </c>
      <c r="C141" s="235" t="s">
        <v>1747</v>
      </c>
      <c r="D141" s="443" t="s">
        <v>2054</v>
      </c>
      <c r="E141" s="238"/>
      <c r="F141" s="292">
        <f>F142</f>
        <v>2919.6</v>
      </c>
      <c r="G141" s="476"/>
      <c r="H141" s="476">
        <f>H142</f>
        <v>3007.6</v>
      </c>
      <c r="I141" s="476"/>
      <c r="J141" s="476">
        <f>J142</f>
        <v>3007.6</v>
      </c>
      <c r="K141" s="476"/>
      <c r="L141" s="466"/>
      <c r="N141" s="466"/>
      <c r="O141" s="466"/>
    </row>
    <row r="142" spans="1:15" s="442" customFormat="1" ht="47.25" x14ac:dyDescent="0.25">
      <c r="A142" s="524" t="s">
        <v>922</v>
      </c>
      <c r="B142" s="615" t="s">
        <v>566</v>
      </c>
      <c r="C142" s="235" t="s">
        <v>1747</v>
      </c>
      <c r="D142" s="443" t="s">
        <v>2054</v>
      </c>
      <c r="E142" s="238">
        <v>100</v>
      </c>
      <c r="F142" s="292">
        <f>F143</f>
        <v>2919.6</v>
      </c>
      <c r="G142" s="476"/>
      <c r="H142" s="476">
        <f>H143</f>
        <v>3007.6</v>
      </c>
      <c r="I142" s="476"/>
      <c r="J142" s="476">
        <f>J143</f>
        <v>3007.6</v>
      </c>
      <c r="K142" s="476"/>
      <c r="L142" s="466"/>
      <c r="N142" s="466"/>
      <c r="O142" s="466"/>
    </row>
    <row r="143" spans="1:15" s="442" customFormat="1" x14ac:dyDescent="0.25">
      <c r="A143" s="524" t="s">
        <v>1748</v>
      </c>
      <c r="B143" s="615" t="s">
        <v>566</v>
      </c>
      <c r="C143" s="235" t="s">
        <v>1747</v>
      </c>
      <c r="D143" s="443" t="s">
        <v>2054</v>
      </c>
      <c r="E143" s="238">
        <v>120</v>
      </c>
      <c r="F143" s="292">
        <f>'ведом. 2021-2023'!AD1142</f>
        <v>2919.6</v>
      </c>
      <c r="G143" s="476"/>
      <c r="H143" s="476">
        <f>'ведом. 2021-2023'!AE1142</f>
        <v>3007.6</v>
      </c>
      <c r="I143" s="476"/>
      <c r="J143" s="476">
        <f>'ведом. 2021-2023'!AF1142</f>
        <v>3007.6</v>
      </c>
      <c r="K143" s="476"/>
      <c r="L143" s="466"/>
      <c r="N143" s="466"/>
      <c r="O143" s="466"/>
    </row>
    <row r="144" spans="1:15" s="442" customFormat="1" x14ac:dyDescent="0.25">
      <c r="A144" s="524" t="s">
        <v>938</v>
      </c>
      <c r="B144" s="615" t="s">
        <v>566</v>
      </c>
      <c r="C144" s="235" t="s">
        <v>205</v>
      </c>
      <c r="D144" s="249"/>
      <c r="E144" s="238"/>
      <c r="F144" s="292">
        <f>F145+F151</f>
        <v>4405</v>
      </c>
      <c r="G144" s="476"/>
      <c r="H144" s="476">
        <f>H145+H151</f>
        <v>4405</v>
      </c>
      <c r="I144" s="476"/>
      <c r="J144" s="476">
        <f>J145+J151</f>
        <v>4405</v>
      </c>
      <c r="K144" s="476"/>
      <c r="L144" s="466"/>
      <c r="N144" s="466"/>
      <c r="O144" s="466"/>
    </row>
    <row r="145" spans="1:15" s="442" customFormat="1" ht="31.5" x14ac:dyDescent="0.25">
      <c r="A145" s="521" t="s">
        <v>2104</v>
      </c>
      <c r="B145" s="615" t="s">
        <v>566</v>
      </c>
      <c r="C145" s="235" t="s">
        <v>205</v>
      </c>
      <c r="D145" s="443" t="s">
        <v>1806</v>
      </c>
      <c r="E145" s="238"/>
      <c r="F145" s="292">
        <f>F146</f>
        <v>1</v>
      </c>
      <c r="G145" s="476"/>
      <c r="H145" s="476">
        <f>H146</f>
        <v>1</v>
      </c>
      <c r="I145" s="476"/>
      <c r="J145" s="476">
        <f>J146</f>
        <v>1</v>
      </c>
      <c r="K145" s="476"/>
      <c r="L145" s="466"/>
      <c r="N145" s="466"/>
      <c r="O145" s="466"/>
    </row>
    <row r="146" spans="1:15" s="442" customFormat="1" ht="47.25" x14ac:dyDescent="0.25">
      <c r="A146" s="521" t="s">
        <v>2105</v>
      </c>
      <c r="B146" s="615" t="s">
        <v>566</v>
      </c>
      <c r="C146" s="235" t="s">
        <v>205</v>
      </c>
      <c r="D146" s="443" t="s">
        <v>2106</v>
      </c>
      <c r="E146" s="238"/>
      <c r="F146" s="292">
        <f>F147</f>
        <v>1</v>
      </c>
      <c r="G146" s="476"/>
      <c r="H146" s="476">
        <f>H147</f>
        <v>1</v>
      </c>
      <c r="I146" s="476"/>
      <c r="J146" s="476">
        <f>J147</f>
        <v>1</v>
      </c>
      <c r="K146" s="476"/>
      <c r="L146" s="466"/>
      <c r="N146" s="466"/>
      <c r="O146" s="466"/>
    </row>
    <row r="147" spans="1:15" s="442" customFormat="1" ht="31.5" x14ac:dyDescent="0.25">
      <c r="A147" s="529" t="s">
        <v>2107</v>
      </c>
      <c r="B147" s="615" t="s">
        <v>566</v>
      </c>
      <c r="C147" s="235" t="s">
        <v>205</v>
      </c>
      <c r="D147" s="443" t="s">
        <v>2108</v>
      </c>
      <c r="E147" s="238"/>
      <c r="F147" s="292">
        <f>F148</f>
        <v>1</v>
      </c>
      <c r="G147" s="476"/>
      <c r="H147" s="476">
        <f>H148</f>
        <v>1</v>
      </c>
      <c r="I147" s="476"/>
      <c r="J147" s="476">
        <f>J148</f>
        <v>1</v>
      </c>
      <c r="K147" s="476"/>
      <c r="L147" s="466"/>
      <c r="N147" s="466"/>
      <c r="O147" s="466"/>
    </row>
    <row r="148" spans="1:15" s="442" customFormat="1" ht="94.5" x14ac:dyDescent="0.25">
      <c r="A148" s="529" t="s">
        <v>2244</v>
      </c>
      <c r="B148" s="615" t="s">
        <v>566</v>
      </c>
      <c r="C148" s="235" t="s">
        <v>205</v>
      </c>
      <c r="D148" s="472" t="s">
        <v>2109</v>
      </c>
      <c r="E148" s="238"/>
      <c r="F148" s="292">
        <f>F149</f>
        <v>1</v>
      </c>
      <c r="G148" s="476"/>
      <c r="H148" s="476">
        <f>H149</f>
        <v>1</v>
      </c>
      <c r="I148" s="476"/>
      <c r="J148" s="476">
        <f>J149</f>
        <v>1</v>
      </c>
      <c r="K148" s="476"/>
      <c r="L148" s="466"/>
      <c r="N148" s="466"/>
      <c r="O148" s="466"/>
    </row>
    <row r="149" spans="1:15" s="442" customFormat="1" x14ac:dyDescent="0.25">
      <c r="A149" s="524" t="s">
        <v>1782</v>
      </c>
      <c r="B149" s="615" t="s">
        <v>566</v>
      </c>
      <c r="C149" s="235" t="s">
        <v>205</v>
      </c>
      <c r="D149" s="472" t="s">
        <v>2109</v>
      </c>
      <c r="E149" s="238">
        <v>200</v>
      </c>
      <c r="F149" s="292">
        <f>F150</f>
        <v>1</v>
      </c>
      <c r="G149" s="476"/>
      <c r="H149" s="476">
        <f>H150</f>
        <v>1</v>
      </c>
      <c r="I149" s="476"/>
      <c r="J149" s="476">
        <f>J150</f>
        <v>1</v>
      </c>
      <c r="K149" s="476"/>
      <c r="L149" s="466"/>
      <c r="N149" s="466"/>
      <c r="O149" s="466"/>
    </row>
    <row r="150" spans="1:15" s="442" customFormat="1" ht="31.5" x14ac:dyDescent="0.25">
      <c r="A150" s="524" t="s">
        <v>1274</v>
      </c>
      <c r="B150" s="615" t="s">
        <v>566</v>
      </c>
      <c r="C150" s="235" t="s">
        <v>205</v>
      </c>
      <c r="D150" s="472" t="s">
        <v>2109</v>
      </c>
      <c r="E150" s="238">
        <v>240</v>
      </c>
      <c r="F150" s="292">
        <f>'ведом. 2021-2023'!AD1159</f>
        <v>1</v>
      </c>
      <c r="G150" s="476"/>
      <c r="H150" s="476">
        <f>'ведом. 2021-2023'!AE1159</f>
        <v>1</v>
      </c>
      <c r="I150" s="476"/>
      <c r="J150" s="476">
        <f>'ведом. 2021-2023'!AF1159</f>
        <v>1</v>
      </c>
      <c r="K150" s="476"/>
      <c r="L150" s="466"/>
      <c r="N150" s="466"/>
      <c r="O150" s="466"/>
    </row>
    <row r="151" spans="1:15" s="442" customFormat="1" ht="31.5" x14ac:dyDescent="0.25">
      <c r="A151" s="521" t="s">
        <v>2049</v>
      </c>
      <c r="B151" s="615" t="s">
        <v>566</v>
      </c>
      <c r="C151" s="235" t="s">
        <v>205</v>
      </c>
      <c r="D151" s="443" t="s">
        <v>1757</v>
      </c>
      <c r="E151" s="238"/>
      <c r="F151" s="292">
        <f>F152</f>
        <v>4404</v>
      </c>
      <c r="G151" s="476"/>
      <c r="H151" s="476">
        <f>H152</f>
        <v>4404</v>
      </c>
      <c r="I151" s="476"/>
      <c r="J151" s="476">
        <f>J152</f>
        <v>4404</v>
      </c>
      <c r="K151" s="476"/>
      <c r="L151" s="466"/>
      <c r="N151" s="466"/>
      <c r="O151" s="466"/>
    </row>
    <row r="152" spans="1:15" s="442" customFormat="1" x14ac:dyDescent="0.25">
      <c r="A152" s="529" t="s">
        <v>2057</v>
      </c>
      <c r="B152" s="615" t="s">
        <v>566</v>
      </c>
      <c r="C152" s="235" t="s">
        <v>205</v>
      </c>
      <c r="D152" s="443" t="s">
        <v>2058</v>
      </c>
      <c r="E152" s="238"/>
      <c r="F152" s="292">
        <f>F153+F156+F159</f>
        <v>4404</v>
      </c>
      <c r="G152" s="476"/>
      <c r="H152" s="476">
        <f>H153+H156+H159</f>
        <v>4404</v>
      </c>
      <c r="I152" s="476"/>
      <c r="J152" s="476">
        <f>J153+J156+J159</f>
        <v>4404</v>
      </c>
      <c r="K152" s="476"/>
      <c r="L152" s="466"/>
      <c r="N152" s="466"/>
      <c r="O152" s="466"/>
    </row>
    <row r="153" spans="1:15" s="442" customFormat="1" ht="31.5" x14ac:dyDescent="0.25">
      <c r="A153" s="524" t="s">
        <v>2059</v>
      </c>
      <c r="B153" s="615" t="s">
        <v>566</v>
      </c>
      <c r="C153" s="235" t="s">
        <v>205</v>
      </c>
      <c r="D153" s="443" t="s">
        <v>2060</v>
      </c>
      <c r="E153" s="238"/>
      <c r="F153" s="292">
        <f>F154</f>
        <v>415.1</v>
      </c>
      <c r="G153" s="476"/>
      <c r="H153" s="476">
        <f>H154</f>
        <v>415.1</v>
      </c>
      <c r="I153" s="476"/>
      <c r="J153" s="476">
        <f>J154</f>
        <v>415.1</v>
      </c>
      <c r="K153" s="476"/>
      <c r="L153" s="466"/>
      <c r="N153" s="466"/>
      <c r="O153" s="466"/>
    </row>
    <row r="154" spans="1:15" s="442" customFormat="1" x14ac:dyDescent="0.25">
      <c r="A154" s="524" t="s">
        <v>1782</v>
      </c>
      <c r="B154" s="615" t="s">
        <v>566</v>
      </c>
      <c r="C154" s="235" t="s">
        <v>205</v>
      </c>
      <c r="D154" s="443" t="s">
        <v>2060</v>
      </c>
      <c r="E154" s="238">
        <v>200</v>
      </c>
      <c r="F154" s="292">
        <f>F155</f>
        <v>415.1</v>
      </c>
      <c r="G154" s="476"/>
      <c r="H154" s="476">
        <f>H155</f>
        <v>415.1</v>
      </c>
      <c r="I154" s="476"/>
      <c r="J154" s="476">
        <f>J155</f>
        <v>415.1</v>
      </c>
      <c r="K154" s="476"/>
      <c r="L154" s="466"/>
      <c r="N154" s="466"/>
      <c r="O154" s="466"/>
    </row>
    <row r="155" spans="1:15" s="442" customFormat="1" ht="31.5" x14ac:dyDescent="0.25">
      <c r="A155" s="524" t="s">
        <v>1274</v>
      </c>
      <c r="B155" s="615" t="s">
        <v>566</v>
      </c>
      <c r="C155" s="235" t="s">
        <v>205</v>
      </c>
      <c r="D155" s="443" t="s">
        <v>2060</v>
      </c>
      <c r="E155" s="238">
        <v>240</v>
      </c>
      <c r="F155" s="292">
        <f>'ведом. 2021-2023'!AD1164</f>
        <v>415.1</v>
      </c>
      <c r="G155" s="476"/>
      <c r="H155" s="476">
        <f>'ведом. 2021-2023'!AE1164</f>
        <v>415.1</v>
      </c>
      <c r="I155" s="476"/>
      <c r="J155" s="476">
        <f>'ведом. 2021-2023'!AF1164</f>
        <v>415.1</v>
      </c>
      <c r="K155" s="476"/>
      <c r="L155" s="466"/>
      <c r="N155" s="466"/>
      <c r="O155" s="466"/>
    </row>
    <row r="156" spans="1:15" s="442" customFormat="1" ht="47.25" x14ac:dyDescent="0.25">
      <c r="A156" s="515" t="s">
        <v>2258</v>
      </c>
      <c r="B156" s="615" t="s">
        <v>566</v>
      </c>
      <c r="C156" s="235" t="s">
        <v>205</v>
      </c>
      <c r="D156" s="443" t="s">
        <v>2061</v>
      </c>
      <c r="E156" s="238"/>
      <c r="F156" s="292">
        <f>F157</f>
        <v>1879.2</v>
      </c>
      <c r="G156" s="476"/>
      <c r="H156" s="476">
        <f>H157</f>
        <v>1879.2</v>
      </c>
      <c r="I156" s="476"/>
      <c r="J156" s="476">
        <f>J157</f>
        <v>1879.2</v>
      </c>
      <c r="K156" s="476"/>
      <c r="L156" s="466"/>
      <c r="N156" s="466"/>
      <c r="O156" s="466"/>
    </row>
    <row r="157" spans="1:15" s="442" customFormat="1" ht="47.25" x14ac:dyDescent="0.25">
      <c r="A157" s="524" t="s">
        <v>922</v>
      </c>
      <c r="B157" s="615" t="s">
        <v>566</v>
      </c>
      <c r="C157" s="235" t="s">
        <v>205</v>
      </c>
      <c r="D157" s="443" t="s">
        <v>2061</v>
      </c>
      <c r="E157" s="238">
        <v>100</v>
      </c>
      <c r="F157" s="292">
        <f>F158</f>
        <v>1879.2</v>
      </c>
      <c r="G157" s="476"/>
      <c r="H157" s="476">
        <f>H158</f>
        <v>1879.2</v>
      </c>
      <c r="I157" s="476"/>
      <c r="J157" s="476">
        <f>J158</f>
        <v>1879.2</v>
      </c>
      <c r="K157" s="476"/>
      <c r="L157" s="466"/>
      <c r="N157" s="466"/>
      <c r="O157" s="466"/>
    </row>
    <row r="158" spans="1:15" s="442" customFormat="1" x14ac:dyDescent="0.25">
      <c r="A158" s="524" t="s">
        <v>1748</v>
      </c>
      <c r="B158" s="615" t="s">
        <v>566</v>
      </c>
      <c r="C158" s="235" t="s">
        <v>205</v>
      </c>
      <c r="D158" s="443" t="s">
        <v>2061</v>
      </c>
      <c r="E158" s="238">
        <v>120</v>
      </c>
      <c r="F158" s="292">
        <f>'ведом. 2021-2023'!AD1167</f>
        <v>1879.2</v>
      </c>
      <c r="G158" s="476"/>
      <c r="H158" s="476">
        <f>'ведом. 2021-2023'!AE1167</f>
        <v>1879.2</v>
      </c>
      <c r="I158" s="476"/>
      <c r="J158" s="476">
        <f>'ведом. 2021-2023'!AF1167</f>
        <v>1879.2</v>
      </c>
      <c r="K158" s="476"/>
      <c r="L158" s="466"/>
      <c r="N158" s="466"/>
      <c r="O158" s="466"/>
    </row>
    <row r="159" spans="1:15" s="442" customFormat="1" ht="47.25" x14ac:dyDescent="0.25">
      <c r="A159" s="528" t="s">
        <v>2062</v>
      </c>
      <c r="B159" s="615" t="s">
        <v>566</v>
      </c>
      <c r="C159" s="235" t="s">
        <v>205</v>
      </c>
      <c r="D159" s="443" t="s">
        <v>2063</v>
      </c>
      <c r="E159" s="238"/>
      <c r="F159" s="292">
        <f>F160</f>
        <v>2109.6999999999998</v>
      </c>
      <c r="G159" s="476"/>
      <c r="H159" s="476">
        <f>H160</f>
        <v>2109.6999999999998</v>
      </c>
      <c r="I159" s="476"/>
      <c r="J159" s="476">
        <f>J160</f>
        <v>2109.6999999999998</v>
      </c>
      <c r="K159" s="476"/>
      <c r="L159" s="466"/>
      <c r="N159" s="466"/>
      <c r="O159" s="466"/>
    </row>
    <row r="160" spans="1:15" s="442" customFormat="1" ht="47.25" x14ac:dyDescent="0.25">
      <c r="A160" s="524" t="s">
        <v>922</v>
      </c>
      <c r="B160" s="615" t="s">
        <v>566</v>
      </c>
      <c r="C160" s="235" t="s">
        <v>205</v>
      </c>
      <c r="D160" s="443" t="s">
        <v>2063</v>
      </c>
      <c r="E160" s="238">
        <v>100</v>
      </c>
      <c r="F160" s="292">
        <f>F161</f>
        <v>2109.6999999999998</v>
      </c>
      <c r="G160" s="476"/>
      <c r="H160" s="476">
        <f>H161</f>
        <v>2109.6999999999998</v>
      </c>
      <c r="I160" s="476"/>
      <c r="J160" s="476">
        <f>J161</f>
        <v>2109.6999999999998</v>
      </c>
      <c r="K160" s="476"/>
      <c r="L160" s="466"/>
      <c r="N160" s="466"/>
      <c r="O160" s="466"/>
    </row>
    <row r="161" spans="1:15" s="442" customFormat="1" x14ac:dyDescent="0.25">
      <c r="A161" s="524" t="s">
        <v>1748</v>
      </c>
      <c r="B161" s="615" t="s">
        <v>566</v>
      </c>
      <c r="C161" s="235" t="s">
        <v>205</v>
      </c>
      <c r="D161" s="443" t="s">
        <v>2063</v>
      </c>
      <c r="E161" s="238">
        <v>120</v>
      </c>
      <c r="F161" s="292">
        <f>'ведом. 2021-2023'!AD1170</f>
        <v>2109.6999999999998</v>
      </c>
      <c r="G161" s="476"/>
      <c r="H161" s="476">
        <f>'ведом. 2021-2023'!AE1170</f>
        <v>2109.6999999999998</v>
      </c>
      <c r="I161" s="476"/>
      <c r="J161" s="476">
        <f>'ведом. 2021-2023'!AF1170</f>
        <v>2109.6999999999998</v>
      </c>
      <c r="K161" s="476"/>
      <c r="L161" s="466"/>
      <c r="N161" s="466"/>
      <c r="O161" s="466"/>
    </row>
    <row r="162" spans="1:15" s="442" customFormat="1" x14ac:dyDescent="0.25">
      <c r="A162" s="524" t="s">
        <v>39</v>
      </c>
      <c r="B162" s="615" t="s">
        <v>566</v>
      </c>
      <c r="C162" s="235">
        <v>11</v>
      </c>
      <c r="D162" s="270"/>
      <c r="E162" s="238"/>
      <c r="F162" s="292">
        <f>F163</f>
        <v>3127.7999999999993</v>
      </c>
      <c r="G162" s="476"/>
      <c r="H162" s="476">
        <f>H163</f>
        <v>10300.900000000001</v>
      </c>
      <c r="I162" s="476"/>
      <c r="J162" s="476">
        <f>J163</f>
        <v>6929</v>
      </c>
      <c r="K162" s="476"/>
      <c r="L162" s="466"/>
      <c r="N162" s="466"/>
      <c r="O162" s="466"/>
    </row>
    <row r="163" spans="1:15" s="442" customFormat="1" x14ac:dyDescent="0.25">
      <c r="A163" s="524" t="s">
        <v>2196</v>
      </c>
      <c r="B163" s="615" t="s">
        <v>566</v>
      </c>
      <c r="C163" s="235">
        <v>11</v>
      </c>
      <c r="D163" s="249" t="s">
        <v>1816</v>
      </c>
      <c r="E163" s="238"/>
      <c r="F163" s="292">
        <f>F164+F167</f>
        <v>3127.7999999999993</v>
      </c>
      <c r="G163" s="476"/>
      <c r="H163" s="476">
        <f>H164+H167</f>
        <v>10300.900000000001</v>
      </c>
      <c r="I163" s="476"/>
      <c r="J163" s="476">
        <f>J164+J167</f>
        <v>6929</v>
      </c>
      <c r="K163" s="476"/>
      <c r="L163" s="466"/>
      <c r="N163" s="466"/>
      <c r="O163" s="466"/>
    </row>
    <row r="164" spans="1:15" s="442" customFormat="1" x14ac:dyDescent="0.25">
      <c r="A164" s="529" t="s">
        <v>2133</v>
      </c>
      <c r="B164" s="615" t="s">
        <v>566</v>
      </c>
      <c r="C164" s="235">
        <v>11</v>
      </c>
      <c r="D164" s="443" t="s">
        <v>2134</v>
      </c>
      <c r="E164" s="238"/>
      <c r="F164" s="292">
        <f>F165</f>
        <v>1716.7999999999993</v>
      </c>
      <c r="G164" s="476"/>
      <c r="H164" s="476">
        <f>H165</f>
        <v>8889.9000000000015</v>
      </c>
      <c r="I164" s="476"/>
      <c r="J164" s="476">
        <f>J165</f>
        <v>5518</v>
      </c>
      <c r="K164" s="476"/>
      <c r="L164" s="466"/>
      <c r="N164" s="466"/>
      <c r="O164" s="466"/>
    </row>
    <row r="165" spans="1:15" s="442" customFormat="1" x14ac:dyDescent="0.25">
      <c r="A165" s="524" t="s">
        <v>924</v>
      </c>
      <c r="B165" s="615" t="s">
        <v>566</v>
      </c>
      <c r="C165" s="235">
        <v>11</v>
      </c>
      <c r="D165" s="443" t="s">
        <v>2134</v>
      </c>
      <c r="E165" s="238">
        <v>800</v>
      </c>
      <c r="F165" s="292">
        <f>F166</f>
        <v>1716.7999999999993</v>
      </c>
      <c r="G165" s="476"/>
      <c r="H165" s="476">
        <f>H166</f>
        <v>8889.9000000000015</v>
      </c>
      <c r="I165" s="476"/>
      <c r="J165" s="476">
        <f>J166</f>
        <v>5518</v>
      </c>
      <c r="K165" s="476"/>
      <c r="L165" s="466"/>
      <c r="N165" s="466"/>
      <c r="O165" s="466"/>
    </row>
    <row r="166" spans="1:15" s="442" customFormat="1" x14ac:dyDescent="0.25">
      <c r="A166" s="524" t="s">
        <v>1815</v>
      </c>
      <c r="B166" s="615" t="s">
        <v>566</v>
      </c>
      <c r="C166" s="235">
        <v>11</v>
      </c>
      <c r="D166" s="443" t="s">
        <v>2134</v>
      </c>
      <c r="E166" s="238">
        <v>870</v>
      </c>
      <c r="F166" s="292">
        <f>'ведом. 2021-2023'!AD75</f>
        <v>1716.7999999999993</v>
      </c>
      <c r="G166" s="476"/>
      <c r="H166" s="476">
        <f>'ведом. 2021-2023'!AE75</f>
        <v>8889.9000000000015</v>
      </c>
      <c r="I166" s="476"/>
      <c r="J166" s="476">
        <f>'ведом. 2021-2023'!AF75</f>
        <v>5518</v>
      </c>
      <c r="K166" s="476"/>
      <c r="L166" s="466"/>
      <c r="N166" s="466"/>
      <c r="O166" s="466"/>
    </row>
    <row r="167" spans="1:15" s="442" customFormat="1" ht="31.5" x14ac:dyDescent="0.25">
      <c r="A167" s="529" t="s">
        <v>2159</v>
      </c>
      <c r="B167" s="615" t="s">
        <v>566</v>
      </c>
      <c r="C167" s="235">
        <v>11</v>
      </c>
      <c r="D167" s="443" t="s">
        <v>2160</v>
      </c>
      <c r="E167" s="238"/>
      <c r="F167" s="292">
        <f>F168</f>
        <v>1411</v>
      </c>
      <c r="G167" s="476"/>
      <c r="H167" s="476">
        <f>H168</f>
        <v>1411</v>
      </c>
      <c r="I167" s="476"/>
      <c r="J167" s="476">
        <f>J168</f>
        <v>1411</v>
      </c>
      <c r="K167" s="476"/>
      <c r="L167" s="466"/>
      <c r="N167" s="466"/>
      <c r="O167" s="466"/>
    </row>
    <row r="168" spans="1:15" s="442" customFormat="1" x14ac:dyDescent="0.25">
      <c r="A168" s="524" t="s">
        <v>924</v>
      </c>
      <c r="B168" s="615" t="s">
        <v>566</v>
      </c>
      <c r="C168" s="235">
        <v>11</v>
      </c>
      <c r="D168" s="443" t="s">
        <v>2160</v>
      </c>
      <c r="E168" s="238">
        <v>800</v>
      </c>
      <c r="F168" s="292">
        <f>F169</f>
        <v>1411</v>
      </c>
      <c r="G168" s="476"/>
      <c r="H168" s="476">
        <f>H169</f>
        <v>1411</v>
      </c>
      <c r="I168" s="476"/>
      <c r="J168" s="476">
        <f>J169</f>
        <v>1411</v>
      </c>
      <c r="K168" s="476"/>
      <c r="L168" s="466"/>
      <c r="N168" s="466"/>
      <c r="O168" s="466"/>
    </row>
    <row r="169" spans="1:15" s="442" customFormat="1" x14ac:dyDescent="0.25">
      <c r="A169" s="524" t="s">
        <v>1815</v>
      </c>
      <c r="B169" s="615" t="s">
        <v>566</v>
      </c>
      <c r="C169" s="235">
        <v>11</v>
      </c>
      <c r="D169" s="443" t="s">
        <v>2160</v>
      </c>
      <c r="E169" s="238">
        <v>870</v>
      </c>
      <c r="F169" s="292">
        <f>'ведом. 2021-2023'!AD78</f>
        <v>1411</v>
      </c>
      <c r="G169" s="476"/>
      <c r="H169" s="476">
        <f>'ведом. 2021-2023'!AE78</f>
        <v>1411</v>
      </c>
      <c r="I169" s="476"/>
      <c r="J169" s="476">
        <f>'ведом. 2021-2023'!AF78</f>
        <v>1411</v>
      </c>
      <c r="K169" s="476"/>
      <c r="L169" s="466"/>
      <c r="N169" s="466"/>
      <c r="O169" s="466"/>
    </row>
    <row r="170" spans="1:15" s="442" customFormat="1" x14ac:dyDescent="0.25">
      <c r="A170" s="524" t="s">
        <v>287</v>
      </c>
      <c r="B170" s="615" t="s">
        <v>566</v>
      </c>
      <c r="C170" s="235">
        <v>13</v>
      </c>
      <c r="D170" s="270"/>
      <c r="E170" s="238"/>
      <c r="F170" s="292">
        <f t="shared" ref="F170:K170" si="21">F177+F239+F254+F264+F171</f>
        <v>160286.99999999997</v>
      </c>
      <c r="G170" s="476">
        <f t="shared" si="21"/>
        <v>1436</v>
      </c>
      <c r="H170" s="476">
        <f t="shared" si="21"/>
        <v>112447.6</v>
      </c>
      <c r="I170" s="476">
        <f t="shared" si="21"/>
        <v>916</v>
      </c>
      <c r="J170" s="476">
        <f t="shared" si="21"/>
        <v>104594.20000000001</v>
      </c>
      <c r="K170" s="476">
        <f t="shared" si="21"/>
        <v>532</v>
      </c>
      <c r="L170" s="466"/>
      <c r="N170" s="466"/>
      <c r="O170" s="466"/>
    </row>
    <row r="171" spans="1:15" s="514" customFormat="1" x14ac:dyDescent="0.25">
      <c r="A171" s="521" t="s">
        <v>1999</v>
      </c>
      <c r="B171" s="615" t="s">
        <v>566</v>
      </c>
      <c r="C171" s="235">
        <v>13</v>
      </c>
      <c r="D171" s="443" t="s">
        <v>1775</v>
      </c>
      <c r="E171" s="577"/>
      <c r="F171" s="292">
        <f>F172</f>
        <v>0</v>
      </c>
      <c r="G171" s="476"/>
      <c r="H171" s="476">
        <f>H172</f>
        <v>374</v>
      </c>
      <c r="I171" s="476"/>
      <c r="J171" s="476">
        <f>J172</f>
        <v>0</v>
      </c>
      <c r="K171" s="476"/>
      <c r="L171" s="466"/>
      <c r="N171" s="466"/>
      <c r="O171" s="466"/>
    </row>
    <row r="172" spans="1:15" s="514" customFormat="1" x14ac:dyDescent="0.25">
      <c r="A172" s="518" t="s">
        <v>2340</v>
      </c>
      <c r="B172" s="615" t="s">
        <v>566</v>
      </c>
      <c r="C172" s="235">
        <v>13</v>
      </c>
      <c r="D172" s="443" t="s">
        <v>1802</v>
      </c>
      <c r="E172" s="577"/>
      <c r="F172" s="292">
        <f>F173</f>
        <v>0</v>
      </c>
      <c r="G172" s="476"/>
      <c r="H172" s="476">
        <f>H173</f>
        <v>374</v>
      </c>
      <c r="I172" s="476"/>
      <c r="J172" s="476">
        <f>J173</f>
        <v>0</v>
      </c>
      <c r="K172" s="476"/>
      <c r="L172" s="466"/>
      <c r="N172" s="466"/>
      <c r="O172" s="466"/>
    </row>
    <row r="173" spans="1:15" s="514" customFormat="1" ht="31.5" x14ac:dyDescent="0.25">
      <c r="A173" s="522" t="s">
        <v>2015</v>
      </c>
      <c r="B173" s="615" t="s">
        <v>566</v>
      </c>
      <c r="C173" s="235">
        <v>13</v>
      </c>
      <c r="D173" s="443" t="s">
        <v>1803</v>
      </c>
      <c r="E173" s="577"/>
      <c r="F173" s="292">
        <f>F174</f>
        <v>0</v>
      </c>
      <c r="G173" s="476"/>
      <c r="H173" s="476">
        <f>H174</f>
        <v>374</v>
      </c>
      <c r="I173" s="476"/>
      <c r="J173" s="476">
        <f>J174</f>
        <v>0</v>
      </c>
      <c r="K173" s="476"/>
      <c r="L173" s="466"/>
      <c r="N173" s="466"/>
      <c r="O173" s="466"/>
    </row>
    <row r="174" spans="1:15" s="514" customFormat="1" x14ac:dyDescent="0.25">
      <c r="A174" s="522" t="s">
        <v>2016</v>
      </c>
      <c r="B174" s="615" t="s">
        <v>566</v>
      </c>
      <c r="C174" s="235">
        <v>13</v>
      </c>
      <c r="D174" s="443" t="s">
        <v>2017</v>
      </c>
      <c r="E174" s="577"/>
      <c r="F174" s="292">
        <f>F175</f>
        <v>0</v>
      </c>
      <c r="G174" s="476"/>
      <c r="H174" s="476">
        <f>H175</f>
        <v>374</v>
      </c>
      <c r="I174" s="476"/>
      <c r="J174" s="476">
        <f>J175</f>
        <v>0</v>
      </c>
      <c r="K174" s="476"/>
      <c r="L174" s="466"/>
      <c r="N174" s="466"/>
      <c r="O174" s="466"/>
    </row>
    <row r="175" spans="1:15" s="514" customFormat="1" x14ac:dyDescent="0.25">
      <c r="A175" s="520" t="s">
        <v>1782</v>
      </c>
      <c r="B175" s="615" t="s">
        <v>566</v>
      </c>
      <c r="C175" s="235">
        <v>13</v>
      </c>
      <c r="D175" s="443" t="s">
        <v>2017</v>
      </c>
      <c r="E175" s="238">
        <v>200</v>
      </c>
      <c r="F175" s="292">
        <f>F176</f>
        <v>0</v>
      </c>
      <c r="G175" s="476"/>
      <c r="H175" s="476">
        <f>H176</f>
        <v>374</v>
      </c>
      <c r="I175" s="476"/>
      <c r="J175" s="476">
        <f>J176</f>
        <v>0</v>
      </c>
      <c r="K175" s="476"/>
      <c r="L175" s="466"/>
      <c r="N175" s="466"/>
      <c r="O175" s="466"/>
    </row>
    <row r="176" spans="1:15" s="514" customFormat="1" ht="31.5" x14ac:dyDescent="0.25">
      <c r="A176" s="520" t="s">
        <v>1274</v>
      </c>
      <c r="B176" s="615" t="s">
        <v>566</v>
      </c>
      <c r="C176" s="235">
        <v>13</v>
      </c>
      <c r="D176" s="443" t="s">
        <v>2017</v>
      </c>
      <c r="E176" s="238">
        <v>240</v>
      </c>
      <c r="F176" s="292">
        <f>'ведом. 2021-2023'!AD85</f>
        <v>0</v>
      </c>
      <c r="G176" s="476"/>
      <c r="H176" s="476">
        <f>'ведом. 2021-2023'!AE85+'ведом. 2021-2023'!AE639</f>
        <v>374</v>
      </c>
      <c r="I176" s="476"/>
      <c r="J176" s="476">
        <f>'ведом. 2021-2023'!AF85+'ведом. 2021-2023'!AF639</f>
        <v>0</v>
      </c>
      <c r="K176" s="476"/>
      <c r="L176" s="466"/>
      <c r="N176" s="466"/>
      <c r="O176" s="466"/>
    </row>
    <row r="177" spans="1:15" s="442" customFormat="1" x14ac:dyDescent="0.25">
      <c r="A177" s="521" t="s">
        <v>1899</v>
      </c>
      <c r="B177" s="615" t="s">
        <v>566</v>
      </c>
      <c r="C177" s="235">
        <v>13</v>
      </c>
      <c r="D177" s="443" t="s">
        <v>1772</v>
      </c>
      <c r="E177" s="238"/>
      <c r="F177" s="292">
        <f t="shared" ref="F177:K177" si="22">F178+F209</f>
        <v>125675.09999999999</v>
      </c>
      <c r="G177" s="476">
        <f t="shared" si="22"/>
        <v>492</v>
      </c>
      <c r="H177" s="476">
        <f t="shared" si="22"/>
        <v>85224.6</v>
      </c>
      <c r="I177" s="476">
        <f t="shared" si="22"/>
        <v>492</v>
      </c>
      <c r="J177" s="476">
        <f t="shared" si="22"/>
        <v>78129.200000000012</v>
      </c>
      <c r="K177" s="476">
        <f t="shared" si="22"/>
        <v>492</v>
      </c>
      <c r="L177" s="466"/>
      <c r="N177" s="466"/>
      <c r="O177" s="466"/>
    </row>
    <row r="178" spans="1:15" s="442" customFormat="1" x14ac:dyDescent="0.25">
      <c r="A178" s="521" t="s">
        <v>1894</v>
      </c>
      <c r="B178" s="615" t="s">
        <v>566</v>
      </c>
      <c r="C178" s="235">
        <v>13</v>
      </c>
      <c r="D178" s="443" t="s">
        <v>1773</v>
      </c>
      <c r="E178" s="238"/>
      <c r="F178" s="292">
        <f t="shared" ref="F178:K178" si="23">F179+F188+F194</f>
        <v>48780.7</v>
      </c>
      <c r="G178" s="476">
        <f t="shared" si="23"/>
        <v>492</v>
      </c>
      <c r="H178" s="476">
        <f t="shared" si="23"/>
        <v>26510.3</v>
      </c>
      <c r="I178" s="476">
        <f t="shared" si="23"/>
        <v>492</v>
      </c>
      <c r="J178" s="476">
        <f t="shared" si="23"/>
        <v>29414.9</v>
      </c>
      <c r="K178" s="476">
        <f t="shared" si="23"/>
        <v>492</v>
      </c>
      <c r="L178" s="466"/>
      <c r="N178" s="466"/>
      <c r="O178" s="466"/>
    </row>
    <row r="179" spans="1:15" s="442" customFormat="1" ht="31.5" x14ac:dyDescent="0.25">
      <c r="A179" s="522" t="s">
        <v>1895</v>
      </c>
      <c r="B179" s="615" t="s">
        <v>566</v>
      </c>
      <c r="C179" s="235">
        <v>13</v>
      </c>
      <c r="D179" s="443" t="s">
        <v>1896</v>
      </c>
      <c r="E179" s="238"/>
      <c r="F179" s="292">
        <f>F180</f>
        <v>31519.600000000002</v>
      </c>
      <c r="G179" s="476"/>
      <c r="H179" s="476">
        <f>H180</f>
        <v>9352</v>
      </c>
      <c r="I179" s="476"/>
      <c r="J179" s="476">
        <f>J180</f>
        <v>12256.6</v>
      </c>
      <c r="K179" s="476"/>
      <c r="L179" s="466"/>
      <c r="N179" s="466"/>
      <c r="O179" s="466"/>
    </row>
    <row r="180" spans="1:15" s="442" customFormat="1" ht="31.5" x14ac:dyDescent="0.25">
      <c r="A180" s="529" t="s">
        <v>1897</v>
      </c>
      <c r="B180" s="615" t="s">
        <v>566</v>
      </c>
      <c r="C180" s="235">
        <v>13</v>
      </c>
      <c r="D180" s="443" t="s">
        <v>1898</v>
      </c>
      <c r="E180" s="577"/>
      <c r="F180" s="292">
        <f>F181+F186+F183</f>
        <v>31519.600000000002</v>
      </c>
      <c r="G180" s="476"/>
      <c r="H180" s="476">
        <f>H181+H186+H183</f>
        <v>9352</v>
      </c>
      <c r="I180" s="476"/>
      <c r="J180" s="476">
        <f>J181+J186+J183</f>
        <v>12256.6</v>
      </c>
      <c r="K180" s="476"/>
      <c r="L180" s="466"/>
      <c r="N180" s="466"/>
      <c r="O180" s="466"/>
    </row>
    <row r="181" spans="1:15" s="442" customFormat="1" x14ac:dyDescent="0.25">
      <c r="A181" s="524" t="s">
        <v>1782</v>
      </c>
      <c r="B181" s="615" t="s">
        <v>566</v>
      </c>
      <c r="C181" s="235">
        <v>13</v>
      </c>
      <c r="D181" s="443" t="s">
        <v>1898</v>
      </c>
      <c r="E181" s="238">
        <v>200</v>
      </c>
      <c r="F181" s="292">
        <f>F182</f>
        <v>23687.200000000001</v>
      </c>
      <c r="G181" s="476"/>
      <c r="H181" s="476">
        <f>H182</f>
        <v>2060</v>
      </c>
      <c r="I181" s="476"/>
      <c r="J181" s="476">
        <f>J182</f>
        <v>2260</v>
      </c>
      <c r="K181" s="476"/>
      <c r="L181" s="466"/>
      <c r="N181" s="466"/>
      <c r="O181" s="466"/>
    </row>
    <row r="182" spans="1:15" s="442" customFormat="1" ht="31.5" x14ac:dyDescent="0.25">
      <c r="A182" s="524" t="s">
        <v>1274</v>
      </c>
      <c r="B182" s="615" t="s">
        <v>566</v>
      </c>
      <c r="C182" s="235">
        <v>13</v>
      </c>
      <c r="D182" s="443" t="s">
        <v>1898</v>
      </c>
      <c r="E182" s="238">
        <v>240</v>
      </c>
      <c r="F182" s="292">
        <f>'ведом. 2021-2023'!AD645+'ведом. 2021-2023'!AD91+'ведом. 2021-2023'!AD887</f>
        <v>23687.200000000001</v>
      </c>
      <c r="G182" s="476"/>
      <c r="H182" s="476">
        <f>'ведом. 2021-2023'!AE645+'ведом. 2021-2023'!AE91</f>
        <v>2060</v>
      </c>
      <c r="I182" s="476"/>
      <c r="J182" s="476">
        <f>'ведом. 2021-2023'!AF645+'ведом. 2021-2023'!AF91</f>
        <v>2260</v>
      </c>
      <c r="K182" s="476"/>
      <c r="L182" s="466"/>
      <c r="N182" s="466"/>
      <c r="O182" s="466"/>
    </row>
    <row r="183" spans="1:15" s="514" customFormat="1" x14ac:dyDescent="0.25">
      <c r="A183" s="520" t="s">
        <v>1755</v>
      </c>
      <c r="B183" s="615" t="s">
        <v>566</v>
      </c>
      <c r="C183" s="235">
        <v>13</v>
      </c>
      <c r="D183" s="443" t="s">
        <v>1898</v>
      </c>
      <c r="E183" s="238">
        <v>300</v>
      </c>
      <c r="F183" s="292">
        <f>F184+F185</f>
        <v>2832.4</v>
      </c>
      <c r="G183" s="476"/>
      <c r="H183" s="476">
        <f>H184+H185</f>
        <v>2292</v>
      </c>
      <c r="I183" s="476"/>
      <c r="J183" s="476">
        <f>J184+J185</f>
        <v>2292</v>
      </c>
      <c r="K183" s="476"/>
      <c r="L183" s="466"/>
      <c r="N183" s="466"/>
      <c r="O183" s="466"/>
    </row>
    <row r="184" spans="1:15" s="514" customFormat="1" x14ac:dyDescent="0.25">
      <c r="A184" s="520" t="s">
        <v>1805</v>
      </c>
      <c r="B184" s="615" t="s">
        <v>566</v>
      </c>
      <c r="C184" s="235">
        <v>13</v>
      </c>
      <c r="D184" s="443" t="s">
        <v>1898</v>
      </c>
      <c r="E184" s="238">
        <v>310</v>
      </c>
      <c r="F184" s="292">
        <f>'ведом. 2021-2023'!AD93</f>
        <v>2652.4</v>
      </c>
      <c r="G184" s="476"/>
      <c r="H184" s="476">
        <f>'ведом. 2021-2023'!AE93</f>
        <v>2112</v>
      </c>
      <c r="I184" s="476"/>
      <c r="J184" s="476">
        <f>'ведом. 2021-2023'!AF93</f>
        <v>2112</v>
      </c>
      <c r="K184" s="476"/>
      <c r="L184" s="466"/>
      <c r="N184" s="466"/>
      <c r="O184" s="466"/>
    </row>
    <row r="185" spans="1:15" s="514" customFormat="1" x14ac:dyDescent="0.25">
      <c r="A185" s="520" t="s">
        <v>868</v>
      </c>
      <c r="B185" s="615" t="s">
        <v>566</v>
      </c>
      <c r="C185" s="235">
        <v>13</v>
      </c>
      <c r="D185" s="443" t="s">
        <v>1898</v>
      </c>
      <c r="E185" s="238">
        <v>320</v>
      </c>
      <c r="F185" s="292">
        <f>'ведом. 2021-2023'!AD94</f>
        <v>180</v>
      </c>
      <c r="G185" s="476"/>
      <c r="H185" s="476">
        <f>'ведом. 2021-2023'!AE94</f>
        <v>180</v>
      </c>
      <c r="I185" s="476"/>
      <c r="J185" s="476">
        <f>'ведом. 2021-2023'!AF94</f>
        <v>180</v>
      </c>
      <c r="K185" s="476"/>
      <c r="L185" s="466"/>
      <c r="N185" s="466"/>
      <c r="O185" s="466"/>
    </row>
    <row r="186" spans="1:15" s="514" customFormat="1" ht="31.5" x14ac:dyDescent="0.25">
      <c r="A186" s="524" t="s">
        <v>1343</v>
      </c>
      <c r="B186" s="615" t="s">
        <v>566</v>
      </c>
      <c r="C186" s="235">
        <v>13</v>
      </c>
      <c r="D186" s="443" t="s">
        <v>1898</v>
      </c>
      <c r="E186" s="238">
        <v>600</v>
      </c>
      <c r="F186" s="292">
        <f>F187</f>
        <v>5000</v>
      </c>
      <c r="G186" s="476"/>
      <c r="H186" s="476">
        <f>H187</f>
        <v>5000</v>
      </c>
      <c r="I186" s="476"/>
      <c r="J186" s="476">
        <f>J187</f>
        <v>7704.6</v>
      </c>
      <c r="K186" s="476"/>
      <c r="L186" s="466"/>
      <c r="N186" s="466"/>
      <c r="O186" s="466"/>
    </row>
    <row r="187" spans="1:15" s="514" customFormat="1" x14ac:dyDescent="0.25">
      <c r="A187" s="524" t="s">
        <v>1344</v>
      </c>
      <c r="B187" s="615" t="s">
        <v>566</v>
      </c>
      <c r="C187" s="235">
        <v>13</v>
      </c>
      <c r="D187" s="443" t="s">
        <v>1898</v>
      </c>
      <c r="E187" s="238">
        <v>610</v>
      </c>
      <c r="F187" s="292">
        <f>'ведом. 2021-2023'!AD96</f>
        <v>5000</v>
      </c>
      <c r="G187" s="476"/>
      <c r="H187" s="476">
        <f>'ведом. 2021-2023'!AE96</f>
        <v>5000</v>
      </c>
      <c r="I187" s="476"/>
      <c r="J187" s="476">
        <f>'ведом. 2021-2023'!AF96</f>
        <v>7704.6</v>
      </c>
      <c r="K187" s="476"/>
      <c r="L187" s="466"/>
      <c r="N187" s="466"/>
      <c r="O187" s="466"/>
    </row>
    <row r="188" spans="1:15" s="442" customFormat="1" ht="31.5" x14ac:dyDescent="0.25">
      <c r="A188" s="522" t="s">
        <v>1900</v>
      </c>
      <c r="B188" s="615" t="s">
        <v>566</v>
      </c>
      <c r="C188" s="235">
        <v>13</v>
      </c>
      <c r="D188" s="443" t="s">
        <v>1901</v>
      </c>
      <c r="E188" s="582"/>
      <c r="F188" s="292">
        <f t="shared" ref="F188:K188" si="24">F189</f>
        <v>492</v>
      </c>
      <c r="G188" s="476">
        <f t="shared" si="24"/>
        <v>492</v>
      </c>
      <c r="H188" s="476">
        <f t="shared" si="24"/>
        <v>492</v>
      </c>
      <c r="I188" s="476">
        <f t="shared" si="24"/>
        <v>492</v>
      </c>
      <c r="J188" s="476">
        <f t="shared" si="24"/>
        <v>492</v>
      </c>
      <c r="K188" s="476">
        <f t="shared" si="24"/>
        <v>492</v>
      </c>
      <c r="L188" s="466"/>
      <c r="N188" s="466"/>
      <c r="O188" s="466"/>
    </row>
    <row r="189" spans="1:15" s="442" customFormat="1" ht="31.5" x14ac:dyDescent="0.25">
      <c r="A189" s="522" t="s">
        <v>1823</v>
      </c>
      <c r="B189" s="615" t="s">
        <v>566</v>
      </c>
      <c r="C189" s="235">
        <v>13</v>
      </c>
      <c r="D189" s="443" t="s">
        <v>1902</v>
      </c>
      <c r="E189" s="582"/>
      <c r="F189" s="292">
        <f t="shared" ref="F189:K189" si="25">F190+F192</f>
        <v>492</v>
      </c>
      <c r="G189" s="476">
        <f t="shared" si="25"/>
        <v>492</v>
      </c>
      <c r="H189" s="476">
        <f t="shared" si="25"/>
        <v>492</v>
      </c>
      <c r="I189" s="476">
        <f t="shared" si="25"/>
        <v>492</v>
      </c>
      <c r="J189" s="476">
        <f t="shared" si="25"/>
        <v>492</v>
      </c>
      <c r="K189" s="476">
        <f t="shared" si="25"/>
        <v>492</v>
      </c>
      <c r="L189" s="466"/>
      <c r="N189" s="466"/>
      <c r="O189" s="466"/>
    </row>
    <row r="190" spans="1:15" s="504" customFormat="1" ht="47.25" x14ac:dyDescent="0.25">
      <c r="A190" s="524" t="s">
        <v>922</v>
      </c>
      <c r="B190" s="615" t="s">
        <v>566</v>
      </c>
      <c r="C190" s="235">
        <v>13</v>
      </c>
      <c r="D190" s="443" t="s">
        <v>1902</v>
      </c>
      <c r="E190" s="582">
        <v>100</v>
      </c>
      <c r="F190" s="292">
        <f t="shared" ref="F190:K190" si="26">F191</f>
        <v>423.6</v>
      </c>
      <c r="G190" s="476">
        <f t="shared" si="26"/>
        <v>423.6</v>
      </c>
      <c r="H190" s="476">
        <f t="shared" si="26"/>
        <v>423.6</v>
      </c>
      <c r="I190" s="476">
        <f t="shared" si="26"/>
        <v>423.6</v>
      </c>
      <c r="J190" s="476">
        <f t="shared" si="26"/>
        <v>423.6</v>
      </c>
      <c r="K190" s="476">
        <f t="shared" si="26"/>
        <v>423.6</v>
      </c>
      <c r="L190" s="466"/>
      <c r="N190" s="466"/>
      <c r="O190" s="466"/>
    </row>
    <row r="191" spans="1:15" s="442" customFormat="1" x14ac:dyDescent="0.25">
      <c r="A191" s="524" t="s">
        <v>1748</v>
      </c>
      <c r="B191" s="615" t="s">
        <v>566</v>
      </c>
      <c r="C191" s="235">
        <v>13</v>
      </c>
      <c r="D191" s="443" t="s">
        <v>1902</v>
      </c>
      <c r="E191" s="582">
        <v>120</v>
      </c>
      <c r="F191" s="292">
        <f>'ведом. 2021-2023'!AD649</f>
        <v>423.6</v>
      </c>
      <c r="G191" s="476">
        <f>F191</f>
        <v>423.6</v>
      </c>
      <c r="H191" s="476">
        <f>'ведом. 2021-2023'!AE649</f>
        <v>423.6</v>
      </c>
      <c r="I191" s="476">
        <f>H191</f>
        <v>423.6</v>
      </c>
      <c r="J191" s="476">
        <f>'ведом. 2021-2023'!AF649</f>
        <v>423.6</v>
      </c>
      <c r="K191" s="476">
        <f>J191</f>
        <v>423.6</v>
      </c>
      <c r="L191" s="466"/>
      <c r="N191" s="466"/>
      <c r="O191" s="466"/>
    </row>
    <row r="192" spans="1:15" s="442" customFormat="1" x14ac:dyDescent="0.25">
      <c r="A192" s="524" t="s">
        <v>1782</v>
      </c>
      <c r="B192" s="615" t="s">
        <v>566</v>
      </c>
      <c r="C192" s="235">
        <v>13</v>
      </c>
      <c r="D192" s="443" t="s">
        <v>1902</v>
      </c>
      <c r="E192" s="582">
        <v>200</v>
      </c>
      <c r="F192" s="292">
        <f t="shared" ref="F192:K192" si="27">F193</f>
        <v>68.400000000000006</v>
      </c>
      <c r="G192" s="476">
        <f t="shared" si="27"/>
        <v>68.400000000000006</v>
      </c>
      <c r="H192" s="476">
        <f t="shared" si="27"/>
        <v>68.400000000000006</v>
      </c>
      <c r="I192" s="476">
        <f t="shared" si="27"/>
        <v>68.400000000000006</v>
      </c>
      <c r="J192" s="476">
        <f t="shared" si="27"/>
        <v>68.400000000000006</v>
      </c>
      <c r="K192" s="476">
        <f t="shared" si="27"/>
        <v>68.400000000000006</v>
      </c>
      <c r="L192" s="466"/>
      <c r="N192" s="466"/>
      <c r="O192" s="466"/>
    </row>
    <row r="193" spans="1:15" s="442" customFormat="1" ht="31.5" x14ac:dyDescent="0.25">
      <c r="A193" s="524" t="s">
        <v>1274</v>
      </c>
      <c r="B193" s="615" t="s">
        <v>566</v>
      </c>
      <c r="C193" s="235">
        <v>13</v>
      </c>
      <c r="D193" s="443" t="s">
        <v>1902</v>
      </c>
      <c r="E193" s="582">
        <v>240</v>
      </c>
      <c r="F193" s="292">
        <f>'ведом. 2021-2023'!AD651</f>
        <v>68.400000000000006</v>
      </c>
      <c r="G193" s="476">
        <f>F193</f>
        <v>68.400000000000006</v>
      </c>
      <c r="H193" s="476">
        <f>'ведом. 2021-2023'!AE651</f>
        <v>68.400000000000006</v>
      </c>
      <c r="I193" s="476">
        <f>H193</f>
        <v>68.400000000000006</v>
      </c>
      <c r="J193" s="476">
        <f>'ведом. 2021-2023'!AF651</f>
        <v>68.400000000000006</v>
      </c>
      <c r="K193" s="476">
        <f>J193</f>
        <v>68.400000000000006</v>
      </c>
      <c r="L193" s="466"/>
      <c r="N193" s="466"/>
      <c r="O193" s="466"/>
    </row>
    <row r="194" spans="1:15" s="442" customFormat="1" ht="31.5" x14ac:dyDescent="0.25">
      <c r="A194" s="521" t="s">
        <v>2171</v>
      </c>
      <c r="B194" s="615" t="s">
        <v>566</v>
      </c>
      <c r="C194" s="235">
        <v>13</v>
      </c>
      <c r="D194" s="443" t="s">
        <v>2179</v>
      </c>
      <c r="E194" s="238"/>
      <c r="F194" s="292">
        <f>F195</f>
        <v>16769.099999999999</v>
      </c>
      <c r="G194" s="476"/>
      <c r="H194" s="476">
        <f>H195</f>
        <v>16666.3</v>
      </c>
      <c r="I194" s="476"/>
      <c r="J194" s="476">
        <f>J195</f>
        <v>16666.3</v>
      </c>
      <c r="K194" s="476"/>
      <c r="L194" s="466"/>
      <c r="N194" s="466"/>
      <c r="O194" s="466"/>
    </row>
    <row r="195" spans="1:15" s="442" customFormat="1" x14ac:dyDescent="0.25">
      <c r="A195" s="521" t="s">
        <v>2182</v>
      </c>
      <c r="B195" s="615" t="s">
        <v>566</v>
      </c>
      <c r="C195" s="235">
        <v>13</v>
      </c>
      <c r="D195" s="443" t="s">
        <v>2180</v>
      </c>
      <c r="E195" s="238"/>
      <c r="F195" s="292">
        <f>F196+F203+F206</f>
        <v>16769.099999999999</v>
      </c>
      <c r="G195" s="476"/>
      <c r="H195" s="476">
        <f>H196+H203+H206</f>
        <v>16666.3</v>
      </c>
      <c r="I195" s="476"/>
      <c r="J195" s="476">
        <f>J196+J203+J206</f>
        <v>16666.3</v>
      </c>
      <c r="K195" s="476"/>
      <c r="L195" s="466"/>
      <c r="N195" s="466"/>
      <c r="O195" s="466"/>
    </row>
    <row r="196" spans="1:15" s="442" customFormat="1" ht="31.5" x14ac:dyDescent="0.25">
      <c r="A196" s="521" t="s">
        <v>1925</v>
      </c>
      <c r="B196" s="615" t="s">
        <v>566</v>
      </c>
      <c r="C196" s="235">
        <v>13</v>
      </c>
      <c r="D196" s="443" t="s">
        <v>2181</v>
      </c>
      <c r="E196" s="238"/>
      <c r="F196" s="292">
        <f>F197+F201+F199</f>
        <v>1607.8999999999999</v>
      </c>
      <c r="G196" s="292"/>
      <c r="H196" s="292">
        <f t="shared" ref="H196:J196" si="28">H197+H201+H199</f>
        <v>1419</v>
      </c>
      <c r="I196" s="292"/>
      <c r="J196" s="292">
        <f t="shared" si="28"/>
        <v>1419</v>
      </c>
      <c r="K196" s="476"/>
      <c r="L196" s="466"/>
      <c r="N196" s="466"/>
      <c r="O196" s="466"/>
    </row>
    <row r="197" spans="1:15" s="442" customFormat="1" x14ac:dyDescent="0.25">
      <c r="A197" s="524" t="s">
        <v>1782</v>
      </c>
      <c r="B197" s="615" t="s">
        <v>566</v>
      </c>
      <c r="C197" s="235">
        <v>13</v>
      </c>
      <c r="D197" s="443" t="s">
        <v>2181</v>
      </c>
      <c r="E197" s="238">
        <v>200</v>
      </c>
      <c r="F197" s="292">
        <f>F198</f>
        <v>1521.7</v>
      </c>
      <c r="G197" s="476"/>
      <c r="H197" s="476">
        <f>H198</f>
        <v>1419</v>
      </c>
      <c r="I197" s="476"/>
      <c r="J197" s="476">
        <f>J198</f>
        <v>1419</v>
      </c>
      <c r="K197" s="476"/>
      <c r="L197" s="466"/>
      <c r="N197" s="466"/>
      <c r="O197" s="466"/>
    </row>
    <row r="198" spans="1:15" s="442" customFormat="1" ht="31.5" x14ac:dyDescent="0.25">
      <c r="A198" s="524" t="s">
        <v>1274</v>
      </c>
      <c r="B198" s="615" t="s">
        <v>566</v>
      </c>
      <c r="C198" s="235">
        <v>13</v>
      </c>
      <c r="D198" s="443" t="s">
        <v>2181</v>
      </c>
      <c r="E198" s="238">
        <v>240</v>
      </c>
      <c r="F198" s="292">
        <f>'ведом. 2021-2023'!AD656</f>
        <v>1521.7</v>
      </c>
      <c r="G198" s="476"/>
      <c r="H198" s="476">
        <f>'ведом. 2021-2023'!AE656</f>
        <v>1419</v>
      </c>
      <c r="I198" s="476"/>
      <c r="J198" s="476">
        <f>'ведом. 2021-2023'!AF656</f>
        <v>1419</v>
      </c>
      <c r="K198" s="476"/>
      <c r="L198" s="466"/>
      <c r="N198" s="466"/>
      <c r="O198" s="466"/>
    </row>
    <row r="199" spans="1:15" s="514" customFormat="1" x14ac:dyDescent="0.25">
      <c r="A199" s="520" t="s">
        <v>1755</v>
      </c>
      <c r="B199" s="615" t="s">
        <v>566</v>
      </c>
      <c r="C199" s="235">
        <v>13</v>
      </c>
      <c r="D199" s="443" t="s">
        <v>2181</v>
      </c>
      <c r="E199" s="238">
        <v>300</v>
      </c>
      <c r="F199" s="292">
        <f>F200</f>
        <v>86.1</v>
      </c>
      <c r="G199" s="292"/>
      <c r="H199" s="292">
        <f t="shared" ref="H199:J199" si="29">H200</f>
        <v>0</v>
      </c>
      <c r="I199" s="292"/>
      <c r="J199" s="292">
        <f t="shared" si="29"/>
        <v>0</v>
      </c>
      <c r="K199" s="476"/>
      <c r="L199" s="466"/>
      <c r="N199" s="466"/>
      <c r="O199" s="466"/>
    </row>
    <row r="200" spans="1:15" s="514" customFormat="1" x14ac:dyDescent="0.25">
      <c r="A200" s="520" t="s">
        <v>868</v>
      </c>
      <c r="B200" s="615" t="s">
        <v>566</v>
      </c>
      <c r="C200" s="235">
        <v>13</v>
      </c>
      <c r="D200" s="443" t="s">
        <v>2181</v>
      </c>
      <c r="E200" s="238">
        <v>320</v>
      </c>
      <c r="F200" s="292">
        <f>'ведом. 2021-2023'!AD658</f>
        <v>86.1</v>
      </c>
      <c r="G200" s="476"/>
      <c r="H200" s="476">
        <v>0</v>
      </c>
      <c r="I200" s="476"/>
      <c r="J200" s="476">
        <v>0</v>
      </c>
      <c r="K200" s="476"/>
      <c r="L200" s="466"/>
      <c r="N200" s="466"/>
      <c r="O200" s="466"/>
    </row>
    <row r="201" spans="1:15" s="514" customFormat="1" x14ac:dyDescent="0.25">
      <c r="A201" s="520" t="s">
        <v>924</v>
      </c>
      <c r="B201" s="615" t="s">
        <v>566</v>
      </c>
      <c r="C201" s="235">
        <v>13</v>
      </c>
      <c r="D201" s="443" t="s">
        <v>2181</v>
      </c>
      <c r="E201" s="238">
        <v>800</v>
      </c>
      <c r="F201" s="292">
        <f>F202</f>
        <v>0.1</v>
      </c>
      <c r="G201" s="476"/>
      <c r="H201" s="476">
        <f>H202</f>
        <v>0</v>
      </c>
      <c r="I201" s="476"/>
      <c r="J201" s="476">
        <f>J202</f>
        <v>0</v>
      </c>
      <c r="K201" s="476"/>
      <c r="L201" s="466"/>
      <c r="N201" s="466"/>
      <c r="O201" s="466"/>
    </row>
    <row r="202" spans="1:15" s="514" customFormat="1" x14ac:dyDescent="0.25">
      <c r="A202" s="520" t="s">
        <v>1320</v>
      </c>
      <c r="B202" s="615" t="s">
        <v>566</v>
      </c>
      <c r="C202" s="235">
        <v>13</v>
      </c>
      <c r="D202" s="443" t="s">
        <v>2181</v>
      </c>
      <c r="E202" s="238">
        <v>850</v>
      </c>
      <c r="F202" s="292">
        <f>'ведом. 2021-2023'!AD660</f>
        <v>0.1</v>
      </c>
      <c r="G202" s="476"/>
      <c r="H202" s="476">
        <f>'ведом. 2021-2023'!AE660</f>
        <v>0</v>
      </c>
      <c r="I202" s="476"/>
      <c r="J202" s="476">
        <f>'ведом. 2021-2023'!AF660</f>
        <v>0</v>
      </c>
      <c r="K202" s="476"/>
      <c r="L202" s="466"/>
      <c r="N202" s="466"/>
      <c r="O202" s="466"/>
    </row>
    <row r="203" spans="1:15" s="442" customFormat="1" ht="31.5" x14ac:dyDescent="0.25">
      <c r="A203" s="524" t="s">
        <v>1926</v>
      </c>
      <c r="B203" s="615" t="s">
        <v>566</v>
      </c>
      <c r="C203" s="235">
        <v>13</v>
      </c>
      <c r="D203" s="249" t="str">
        <f>D204</f>
        <v>12 1 07 00132</v>
      </c>
      <c r="E203" s="238"/>
      <c r="F203" s="292">
        <f>F204</f>
        <v>5461.7</v>
      </c>
      <c r="G203" s="292"/>
      <c r="H203" s="292">
        <f t="shared" ref="H203:J203" si="30">H204</f>
        <v>5547.8</v>
      </c>
      <c r="I203" s="292"/>
      <c r="J203" s="292">
        <f t="shared" si="30"/>
        <v>5547.8</v>
      </c>
      <c r="K203" s="476"/>
      <c r="L203" s="466"/>
      <c r="N203" s="466"/>
      <c r="O203" s="466"/>
    </row>
    <row r="204" spans="1:15" s="442" customFormat="1" ht="47.25" x14ac:dyDescent="0.25">
      <c r="A204" s="524" t="s">
        <v>922</v>
      </c>
      <c r="B204" s="615" t="s">
        <v>566</v>
      </c>
      <c r="C204" s="235">
        <v>13</v>
      </c>
      <c r="D204" s="249" t="str">
        <f>D205</f>
        <v>12 1 07 00132</v>
      </c>
      <c r="E204" s="238">
        <v>100</v>
      </c>
      <c r="F204" s="292">
        <f>F205</f>
        <v>5461.7</v>
      </c>
      <c r="G204" s="476"/>
      <c r="H204" s="476">
        <f>H205</f>
        <v>5547.8</v>
      </c>
      <c r="I204" s="476"/>
      <c r="J204" s="476">
        <f>J205</f>
        <v>5547.8</v>
      </c>
      <c r="K204" s="476"/>
      <c r="L204" s="466"/>
      <c r="N204" s="466"/>
      <c r="O204" s="466"/>
    </row>
    <row r="205" spans="1:15" s="442" customFormat="1" x14ac:dyDescent="0.25">
      <c r="A205" s="524" t="s">
        <v>1748</v>
      </c>
      <c r="B205" s="615" t="s">
        <v>566</v>
      </c>
      <c r="C205" s="235">
        <v>13</v>
      </c>
      <c r="D205" s="443" t="s">
        <v>2183</v>
      </c>
      <c r="E205" s="238">
        <v>120</v>
      </c>
      <c r="F205" s="292">
        <f>'ведом. 2021-2023'!AD663</f>
        <v>5461.7</v>
      </c>
      <c r="G205" s="476"/>
      <c r="H205" s="476">
        <f>'ведом. 2021-2023'!AE663</f>
        <v>5547.8</v>
      </c>
      <c r="I205" s="476"/>
      <c r="J205" s="476">
        <f>'ведом. 2021-2023'!AF663</f>
        <v>5547.8</v>
      </c>
      <c r="K205" s="476"/>
      <c r="L205" s="466"/>
      <c r="N205" s="466"/>
      <c r="O205" s="466"/>
    </row>
    <row r="206" spans="1:15" s="442" customFormat="1" ht="31.5" x14ac:dyDescent="0.25">
      <c r="A206" s="524" t="s">
        <v>1927</v>
      </c>
      <c r="B206" s="615" t="s">
        <v>566</v>
      </c>
      <c r="C206" s="235">
        <v>13</v>
      </c>
      <c r="D206" s="249" t="str">
        <f>D207</f>
        <v>12 1 07 00133</v>
      </c>
      <c r="E206" s="238"/>
      <c r="F206" s="292">
        <f>F207</f>
        <v>9699.5</v>
      </c>
      <c r="G206" s="476"/>
      <c r="H206" s="476">
        <f>H207</f>
        <v>9699.5</v>
      </c>
      <c r="I206" s="476"/>
      <c r="J206" s="476">
        <f>J207</f>
        <v>9699.5</v>
      </c>
      <c r="K206" s="476"/>
      <c r="L206" s="466"/>
      <c r="N206" s="466"/>
      <c r="O206" s="466"/>
    </row>
    <row r="207" spans="1:15" s="442" customFormat="1" ht="47.25" x14ac:dyDescent="0.25">
      <c r="A207" s="524" t="s">
        <v>922</v>
      </c>
      <c r="B207" s="615" t="s">
        <v>566</v>
      </c>
      <c r="C207" s="235">
        <v>13</v>
      </c>
      <c r="D207" s="249" t="str">
        <f>D208</f>
        <v>12 1 07 00133</v>
      </c>
      <c r="E207" s="238">
        <v>100</v>
      </c>
      <c r="F207" s="292">
        <f>F208</f>
        <v>9699.5</v>
      </c>
      <c r="G207" s="476"/>
      <c r="H207" s="476">
        <f>H208</f>
        <v>9699.5</v>
      </c>
      <c r="I207" s="476"/>
      <c r="J207" s="476">
        <f>J208</f>
        <v>9699.5</v>
      </c>
      <c r="K207" s="476"/>
      <c r="L207" s="466"/>
      <c r="N207" s="466"/>
      <c r="O207" s="466"/>
    </row>
    <row r="208" spans="1:15" s="442" customFormat="1" x14ac:dyDescent="0.25">
      <c r="A208" s="524" t="s">
        <v>1748</v>
      </c>
      <c r="B208" s="615" t="s">
        <v>566</v>
      </c>
      <c r="C208" s="235">
        <v>13</v>
      </c>
      <c r="D208" s="443" t="s">
        <v>2184</v>
      </c>
      <c r="E208" s="238">
        <v>120</v>
      </c>
      <c r="F208" s="292">
        <f>'ведом. 2021-2023'!AD666</f>
        <v>9699.5</v>
      </c>
      <c r="G208" s="476"/>
      <c r="H208" s="476">
        <f>'ведом. 2021-2023'!AE666</f>
        <v>9699.5</v>
      </c>
      <c r="I208" s="476"/>
      <c r="J208" s="476">
        <f>'ведом. 2021-2023'!AF666</f>
        <v>9699.5</v>
      </c>
      <c r="K208" s="476"/>
      <c r="L208" s="466"/>
      <c r="N208" s="466"/>
      <c r="O208" s="466"/>
    </row>
    <row r="209" spans="1:15" s="442" customFormat="1" x14ac:dyDescent="0.25">
      <c r="A209" s="521" t="s">
        <v>1908</v>
      </c>
      <c r="B209" s="615" t="s">
        <v>566</v>
      </c>
      <c r="C209" s="235">
        <v>13</v>
      </c>
      <c r="D209" s="472" t="s">
        <v>1909</v>
      </c>
      <c r="E209" s="238"/>
      <c r="F209" s="292">
        <f>F210</f>
        <v>76894.399999999994</v>
      </c>
      <c r="G209" s="476"/>
      <c r="H209" s="476">
        <f>H210</f>
        <v>58714.3</v>
      </c>
      <c r="I209" s="476"/>
      <c r="J209" s="476">
        <f>J210</f>
        <v>48714.3</v>
      </c>
      <c r="K209" s="476"/>
      <c r="L209" s="466"/>
      <c r="N209" s="466"/>
      <c r="O209" s="466"/>
    </row>
    <row r="210" spans="1:15" s="442" customFormat="1" ht="31.5" x14ac:dyDescent="0.25">
      <c r="A210" s="521" t="s">
        <v>1910</v>
      </c>
      <c r="B210" s="615" t="s">
        <v>566</v>
      </c>
      <c r="C210" s="235">
        <v>13</v>
      </c>
      <c r="D210" s="472" t="s">
        <v>1911</v>
      </c>
      <c r="E210" s="238"/>
      <c r="F210" s="292">
        <f>F211+F214+F217</f>
        <v>76894.399999999994</v>
      </c>
      <c r="G210" s="476"/>
      <c r="H210" s="476">
        <f>H211+H214+H217</f>
        <v>58714.3</v>
      </c>
      <c r="I210" s="476"/>
      <c r="J210" s="476">
        <f>J211+J214+J217</f>
        <v>48714.3</v>
      </c>
      <c r="K210" s="476"/>
      <c r="L210" s="466"/>
      <c r="N210" s="466"/>
      <c r="O210" s="466"/>
    </row>
    <row r="211" spans="1:15" s="442" customFormat="1" x14ac:dyDescent="0.25">
      <c r="A211" s="529" t="s">
        <v>1944</v>
      </c>
      <c r="B211" s="615" t="s">
        <v>566</v>
      </c>
      <c r="C211" s="235">
        <v>13</v>
      </c>
      <c r="D211" s="472" t="s">
        <v>1945</v>
      </c>
      <c r="E211" s="238"/>
      <c r="F211" s="292">
        <f>F212</f>
        <v>125</v>
      </c>
      <c r="G211" s="476"/>
      <c r="H211" s="476">
        <f>H212</f>
        <v>125</v>
      </c>
      <c r="I211" s="476"/>
      <c r="J211" s="476">
        <f>J212</f>
        <v>125</v>
      </c>
      <c r="K211" s="476"/>
      <c r="L211" s="466"/>
      <c r="N211" s="466"/>
      <c r="O211" s="466"/>
    </row>
    <row r="212" spans="1:15" s="442" customFormat="1" x14ac:dyDescent="0.25">
      <c r="A212" s="524" t="s">
        <v>924</v>
      </c>
      <c r="B212" s="615" t="s">
        <v>566</v>
      </c>
      <c r="C212" s="235">
        <v>13</v>
      </c>
      <c r="D212" s="472" t="s">
        <v>1945</v>
      </c>
      <c r="E212" s="238">
        <v>800</v>
      </c>
      <c r="F212" s="292">
        <f>F213</f>
        <v>125</v>
      </c>
      <c r="G212" s="476"/>
      <c r="H212" s="476">
        <f>H213</f>
        <v>125</v>
      </c>
      <c r="I212" s="476"/>
      <c r="J212" s="476">
        <f>J213</f>
        <v>125</v>
      </c>
      <c r="K212" s="476"/>
      <c r="L212" s="466"/>
      <c r="N212" s="466"/>
      <c r="O212" s="466"/>
    </row>
    <row r="213" spans="1:15" s="442" customFormat="1" x14ac:dyDescent="0.25">
      <c r="A213" s="524" t="s">
        <v>1320</v>
      </c>
      <c r="B213" s="615" t="s">
        <v>566</v>
      </c>
      <c r="C213" s="235">
        <v>13</v>
      </c>
      <c r="D213" s="472" t="s">
        <v>1945</v>
      </c>
      <c r="E213" s="238">
        <v>850</v>
      </c>
      <c r="F213" s="292">
        <f>'ведом. 2021-2023'!AD101</f>
        <v>125</v>
      </c>
      <c r="G213" s="476"/>
      <c r="H213" s="476">
        <f>'ведом. 2021-2023'!AE101</f>
        <v>125</v>
      </c>
      <c r="I213" s="476"/>
      <c r="J213" s="476">
        <f>'ведом. 2021-2023'!AF101</f>
        <v>125</v>
      </c>
      <c r="K213" s="476"/>
      <c r="L213" s="466"/>
      <c r="N213" s="466"/>
      <c r="O213" s="466"/>
    </row>
    <row r="214" spans="1:15" s="442" customFormat="1" ht="31.5" x14ac:dyDescent="0.25">
      <c r="A214" s="529" t="s">
        <v>1936</v>
      </c>
      <c r="B214" s="246" t="s">
        <v>566</v>
      </c>
      <c r="C214" s="255">
        <v>13</v>
      </c>
      <c r="D214" s="472" t="s">
        <v>1937</v>
      </c>
      <c r="E214" s="577"/>
      <c r="F214" s="292">
        <f>F215</f>
        <v>18022</v>
      </c>
      <c r="G214" s="476"/>
      <c r="H214" s="476">
        <f>H215</f>
        <v>18022</v>
      </c>
      <c r="I214" s="476"/>
      <c r="J214" s="476">
        <f>J215</f>
        <v>18022</v>
      </c>
      <c r="K214" s="476"/>
      <c r="L214" s="466"/>
      <c r="N214" s="466"/>
      <c r="O214" s="466"/>
    </row>
    <row r="215" spans="1:15" s="442" customFormat="1" ht="31.5" x14ac:dyDescent="0.25">
      <c r="A215" s="524" t="s">
        <v>1343</v>
      </c>
      <c r="B215" s="246" t="s">
        <v>566</v>
      </c>
      <c r="C215" s="255">
        <v>13</v>
      </c>
      <c r="D215" s="472" t="s">
        <v>1937</v>
      </c>
      <c r="E215" s="597">
        <v>600</v>
      </c>
      <c r="F215" s="292">
        <f>F216</f>
        <v>18022</v>
      </c>
      <c r="G215" s="476"/>
      <c r="H215" s="476">
        <f>H216</f>
        <v>18022</v>
      </c>
      <c r="I215" s="476"/>
      <c r="J215" s="476">
        <f>J216</f>
        <v>18022</v>
      </c>
      <c r="K215" s="476"/>
      <c r="L215" s="466"/>
      <c r="N215" s="466"/>
      <c r="O215" s="466"/>
    </row>
    <row r="216" spans="1:15" s="442" customFormat="1" x14ac:dyDescent="0.25">
      <c r="A216" s="524" t="s">
        <v>1344</v>
      </c>
      <c r="B216" s="246" t="s">
        <v>566</v>
      </c>
      <c r="C216" s="255">
        <v>13</v>
      </c>
      <c r="D216" s="472" t="s">
        <v>1937</v>
      </c>
      <c r="E216" s="597">
        <v>610</v>
      </c>
      <c r="F216" s="292">
        <f>'ведом. 2021-2023'!AD700</f>
        <v>18022</v>
      </c>
      <c r="G216" s="476"/>
      <c r="H216" s="476">
        <f>'ведом. 2021-2023'!AE700</f>
        <v>18022</v>
      </c>
      <c r="I216" s="476"/>
      <c r="J216" s="476">
        <f>'ведом. 2021-2023'!AF700</f>
        <v>18022</v>
      </c>
      <c r="K216" s="476"/>
      <c r="L216" s="466"/>
      <c r="N216" s="466"/>
      <c r="O216" s="466"/>
    </row>
    <row r="217" spans="1:15" s="442" customFormat="1" ht="31.5" x14ac:dyDescent="0.25">
      <c r="A217" s="529" t="s">
        <v>1922</v>
      </c>
      <c r="B217" s="615" t="s">
        <v>566</v>
      </c>
      <c r="C217" s="235">
        <v>13</v>
      </c>
      <c r="D217" s="472" t="s">
        <v>1923</v>
      </c>
      <c r="E217" s="238"/>
      <c r="F217" s="292">
        <f>F218+F223+F232</f>
        <v>58747.4</v>
      </c>
      <c r="G217" s="476"/>
      <c r="H217" s="476">
        <f>H218+H223+H232</f>
        <v>40567.300000000003</v>
      </c>
      <c r="I217" s="476"/>
      <c r="J217" s="476">
        <f>J218+J223+J232</f>
        <v>30567.300000000003</v>
      </c>
      <c r="K217" s="476"/>
      <c r="L217" s="466"/>
      <c r="N217" s="466"/>
      <c r="O217" s="466"/>
    </row>
    <row r="218" spans="1:15" s="442" customFormat="1" ht="47.25" x14ac:dyDescent="0.25">
      <c r="A218" s="529" t="s">
        <v>1938</v>
      </c>
      <c r="B218" s="615" t="s">
        <v>566</v>
      </c>
      <c r="C218" s="235">
        <v>13</v>
      </c>
      <c r="D218" s="472" t="s">
        <v>1939</v>
      </c>
      <c r="E218" s="238"/>
      <c r="F218" s="292">
        <f>F219+F221</f>
        <v>8775.0999999999985</v>
      </c>
      <c r="G218" s="476"/>
      <c r="H218" s="476">
        <f>H219+H221</f>
        <v>6396.2</v>
      </c>
      <c r="I218" s="476"/>
      <c r="J218" s="476">
        <f>J219+J221</f>
        <v>4951.2</v>
      </c>
      <c r="K218" s="476"/>
      <c r="L218" s="466"/>
      <c r="N218" s="466"/>
      <c r="O218" s="466"/>
    </row>
    <row r="219" spans="1:15" s="442" customFormat="1" ht="47.25" x14ac:dyDescent="0.25">
      <c r="A219" s="524" t="s">
        <v>922</v>
      </c>
      <c r="B219" s="615" t="s">
        <v>566</v>
      </c>
      <c r="C219" s="235">
        <v>13</v>
      </c>
      <c r="D219" s="472" t="s">
        <v>1939</v>
      </c>
      <c r="E219" s="580" t="s">
        <v>1798</v>
      </c>
      <c r="F219" s="292">
        <f>F220</f>
        <v>7964.7999999999993</v>
      </c>
      <c r="G219" s="476"/>
      <c r="H219" s="476">
        <f>H220</f>
        <v>5585.9</v>
      </c>
      <c r="I219" s="476"/>
      <c r="J219" s="476">
        <f>J220</f>
        <v>4140.8999999999996</v>
      </c>
      <c r="K219" s="476"/>
      <c r="L219" s="466"/>
      <c r="N219" s="466"/>
      <c r="O219" s="466"/>
    </row>
    <row r="220" spans="1:15" s="442" customFormat="1" x14ac:dyDescent="0.25">
      <c r="A220" s="524" t="s">
        <v>1569</v>
      </c>
      <c r="B220" s="615" t="s">
        <v>566</v>
      </c>
      <c r="C220" s="235">
        <v>13</v>
      </c>
      <c r="D220" s="472" t="s">
        <v>1939</v>
      </c>
      <c r="E220" s="580" t="s">
        <v>1799</v>
      </c>
      <c r="F220" s="292">
        <f>'ведом. 2021-2023'!AD105</f>
        <v>7964.7999999999993</v>
      </c>
      <c r="G220" s="476"/>
      <c r="H220" s="476">
        <f>'ведом. 2021-2023'!AE105</f>
        <v>5585.9</v>
      </c>
      <c r="I220" s="476"/>
      <c r="J220" s="476">
        <f>'ведом. 2021-2023'!AF105</f>
        <v>4140.8999999999996</v>
      </c>
      <c r="K220" s="476"/>
      <c r="L220" s="466"/>
      <c r="N220" s="466"/>
      <c r="O220" s="466"/>
    </row>
    <row r="221" spans="1:15" s="442" customFormat="1" x14ac:dyDescent="0.25">
      <c r="A221" s="524" t="s">
        <v>1782</v>
      </c>
      <c r="B221" s="615" t="s">
        <v>566</v>
      </c>
      <c r="C221" s="235">
        <v>13</v>
      </c>
      <c r="D221" s="472" t="s">
        <v>1939</v>
      </c>
      <c r="E221" s="580" t="s">
        <v>821</v>
      </c>
      <c r="F221" s="292">
        <f>F222</f>
        <v>810.3</v>
      </c>
      <c r="G221" s="476"/>
      <c r="H221" s="476">
        <f>H222</f>
        <v>810.3</v>
      </c>
      <c r="I221" s="476"/>
      <c r="J221" s="476">
        <f>J222</f>
        <v>810.3</v>
      </c>
      <c r="K221" s="476"/>
      <c r="L221" s="466"/>
      <c r="N221" s="466"/>
      <c r="O221" s="466"/>
    </row>
    <row r="222" spans="1:15" s="442" customFormat="1" ht="31.5" x14ac:dyDescent="0.25">
      <c r="A222" s="524" t="s">
        <v>1274</v>
      </c>
      <c r="B222" s="615" t="s">
        <v>566</v>
      </c>
      <c r="C222" s="235">
        <v>13</v>
      </c>
      <c r="D222" s="472" t="s">
        <v>1939</v>
      </c>
      <c r="E222" s="580" t="s">
        <v>1480</v>
      </c>
      <c r="F222" s="292">
        <f>'ведом. 2021-2023'!AD107</f>
        <v>810.3</v>
      </c>
      <c r="G222" s="476"/>
      <c r="H222" s="476">
        <f>'ведом. 2021-2023'!AE107</f>
        <v>810.3</v>
      </c>
      <c r="I222" s="476"/>
      <c r="J222" s="476">
        <f>'ведом. 2021-2023'!AF107</f>
        <v>810.3</v>
      </c>
      <c r="K222" s="476"/>
      <c r="L222" s="466"/>
      <c r="N222" s="466"/>
      <c r="O222" s="466"/>
    </row>
    <row r="223" spans="1:15" s="442" customFormat="1" ht="47.25" x14ac:dyDescent="0.25">
      <c r="A223" s="524" t="s">
        <v>1940</v>
      </c>
      <c r="B223" s="615" t="s">
        <v>566</v>
      </c>
      <c r="C223" s="235">
        <v>13</v>
      </c>
      <c r="D223" s="472" t="s">
        <v>1941</v>
      </c>
      <c r="E223" s="580"/>
      <c r="F223" s="292">
        <f>F224+F226+F230+F228</f>
        <v>39597.4</v>
      </c>
      <c r="G223" s="292"/>
      <c r="H223" s="292">
        <f t="shared" ref="H223:J223" si="31">H224+H226+H230+H228</f>
        <v>26212.2</v>
      </c>
      <c r="I223" s="292"/>
      <c r="J223" s="292">
        <f t="shared" si="31"/>
        <v>19567.2</v>
      </c>
      <c r="K223" s="476"/>
      <c r="L223" s="466"/>
      <c r="N223" s="466"/>
      <c r="O223" s="466"/>
    </row>
    <row r="224" spans="1:15" s="442" customFormat="1" ht="47.25" x14ac:dyDescent="0.25">
      <c r="A224" s="524" t="s">
        <v>922</v>
      </c>
      <c r="B224" s="615" t="s">
        <v>566</v>
      </c>
      <c r="C224" s="235">
        <v>13</v>
      </c>
      <c r="D224" s="472" t="s">
        <v>1941</v>
      </c>
      <c r="E224" s="580" t="s">
        <v>1798</v>
      </c>
      <c r="F224" s="292">
        <f>F225</f>
        <v>38951.299999999996</v>
      </c>
      <c r="G224" s="476"/>
      <c r="H224" s="476">
        <f>H225</f>
        <v>25611.5</v>
      </c>
      <c r="I224" s="476"/>
      <c r="J224" s="476">
        <f>'ведом. 2021-2023'!AF109</f>
        <v>18966.5</v>
      </c>
      <c r="K224" s="476"/>
      <c r="L224" s="466"/>
      <c r="N224" s="466"/>
      <c r="O224" s="466"/>
    </row>
    <row r="225" spans="1:15" s="442" customFormat="1" x14ac:dyDescent="0.25">
      <c r="A225" s="524" t="s">
        <v>1569</v>
      </c>
      <c r="B225" s="615" t="s">
        <v>566</v>
      </c>
      <c r="C225" s="235">
        <v>13</v>
      </c>
      <c r="D225" s="472" t="s">
        <v>1941</v>
      </c>
      <c r="E225" s="580" t="s">
        <v>1799</v>
      </c>
      <c r="F225" s="292">
        <f>'ведом. 2021-2023'!AD110</f>
        <v>38951.299999999996</v>
      </c>
      <c r="G225" s="476"/>
      <c r="H225" s="476">
        <f>'ведом. 2021-2023'!AE110</f>
        <v>25611.5</v>
      </c>
      <c r="I225" s="476"/>
      <c r="J225" s="476">
        <f>'ведом. 2021-2023'!AF110</f>
        <v>18966.5</v>
      </c>
      <c r="K225" s="476"/>
      <c r="L225" s="466"/>
      <c r="N225" s="466"/>
      <c r="O225" s="466"/>
    </row>
    <row r="226" spans="1:15" s="442" customFormat="1" x14ac:dyDescent="0.25">
      <c r="A226" s="524" t="s">
        <v>1782</v>
      </c>
      <c r="B226" s="615" t="s">
        <v>566</v>
      </c>
      <c r="C226" s="235">
        <v>13</v>
      </c>
      <c r="D226" s="472" t="s">
        <v>1941</v>
      </c>
      <c r="E226" s="580" t="s">
        <v>821</v>
      </c>
      <c r="F226" s="292">
        <f>F227</f>
        <v>562.80000000000007</v>
      </c>
      <c r="G226" s="476"/>
      <c r="H226" s="476">
        <f>H227</f>
        <v>600.70000000000005</v>
      </c>
      <c r="I226" s="476"/>
      <c r="J226" s="476">
        <f>'ведом. 2021-2023'!AF111</f>
        <v>600.70000000000005</v>
      </c>
      <c r="K226" s="476"/>
      <c r="L226" s="466"/>
      <c r="N226" s="466"/>
      <c r="O226" s="466"/>
    </row>
    <row r="227" spans="1:15" s="442" customFormat="1" ht="31.5" x14ac:dyDescent="0.25">
      <c r="A227" s="524" t="s">
        <v>1274</v>
      </c>
      <c r="B227" s="615" t="s">
        <v>566</v>
      </c>
      <c r="C227" s="235">
        <v>13</v>
      </c>
      <c r="D227" s="472" t="s">
        <v>1941</v>
      </c>
      <c r="E227" s="580" t="s">
        <v>1480</v>
      </c>
      <c r="F227" s="292">
        <f>'ведом. 2021-2023'!AD112</f>
        <v>562.80000000000007</v>
      </c>
      <c r="G227" s="476"/>
      <c r="H227" s="476">
        <f>'ведом. 2021-2023'!AE112</f>
        <v>600.70000000000005</v>
      </c>
      <c r="I227" s="476"/>
      <c r="J227" s="476">
        <f>'ведом. 2021-2023'!AF112</f>
        <v>600.70000000000005</v>
      </c>
      <c r="K227" s="476"/>
      <c r="L227" s="466"/>
      <c r="N227" s="466"/>
      <c r="O227" s="466"/>
    </row>
    <row r="228" spans="1:15" s="514" customFormat="1" x14ac:dyDescent="0.25">
      <c r="A228" s="520" t="s">
        <v>1755</v>
      </c>
      <c r="B228" s="615" t="s">
        <v>566</v>
      </c>
      <c r="C228" s="235">
        <v>13</v>
      </c>
      <c r="D228" s="472" t="s">
        <v>1941</v>
      </c>
      <c r="E228" s="580" t="s">
        <v>2435</v>
      </c>
      <c r="F228" s="292">
        <f>F229</f>
        <v>3</v>
      </c>
      <c r="G228" s="292"/>
      <c r="H228" s="292">
        <f t="shared" ref="H228:J228" si="32">H229</f>
        <v>0</v>
      </c>
      <c r="I228" s="292"/>
      <c r="J228" s="292">
        <f t="shared" si="32"/>
        <v>0</v>
      </c>
      <c r="K228" s="476"/>
      <c r="L228" s="466"/>
      <c r="N228" s="466"/>
      <c r="O228" s="466"/>
    </row>
    <row r="229" spans="1:15" s="514" customFormat="1" x14ac:dyDescent="0.25">
      <c r="A229" s="520" t="s">
        <v>868</v>
      </c>
      <c r="B229" s="615" t="s">
        <v>566</v>
      </c>
      <c r="C229" s="235">
        <v>13</v>
      </c>
      <c r="D229" s="472" t="s">
        <v>1941</v>
      </c>
      <c r="E229" s="580" t="s">
        <v>2436</v>
      </c>
      <c r="F229" s="292">
        <f>'ведом. 2021-2023'!AD114</f>
        <v>3</v>
      </c>
      <c r="G229" s="476"/>
      <c r="H229" s="476">
        <f>'ведом. 2021-2023'!AE114</f>
        <v>0</v>
      </c>
      <c r="I229" s="476"/>
      <c r="J229" s="476">
        <f>'ведом. 2021-2023'!AF114</f>
        <v>0</v>
      </c>
      <c r="K229" s="476"/>
      <c r="L229" s="466"/>
      <c r="N229" s="466"/>
      <c r="O229" s="466"/>
    </row>
    <row r="230" spans="1:15" s="514" customFormat="1" x14ac:dyDescent="0.25">
      <c r="A230" s="520" t="s">
        <v>924</v>
      </c>
      <c r="B230" s="615" t="s">
        <v>566</v>
      </c>
      <c r="C230" s="235">
        <v>13</v>
      </c>
      <c r="D230" s="472" t="s">
        <v>1941</v>
      </c>
      <c r="E230" s="580" t="s">
        <v>2242</v>
      </c>
      <c r="F230" s="292">
        <f>F231</f>
        <v>80.3</v>
      </c>
      <c r="G230" s="476"/>
      <c r="H230" s="476">
        <f>H231</f>
        <v>0</v>
      </c>
      <c r="I230" s="476"/>
      <c r="J230" s="476">
        <f>J231</f>
        <v>0</v>
      </c>
      <c r="K230" s="476"/>
      <c r="L230" s="466"/>
      <c r="N230" s="466"/>
      <c r="O230" s="466"/>
    </row>
    <row r="231" spans="1:15" s="514" customFormat="1" x14ac:dyDescent="0.25">
      <c r="A231" s="520" t="s">
        <v>1320</v>
      </c>
      <c r="B231" s="615" t="s">
        <v>566</v>
      </c>
      <c r="C231" s="235">
        <v>13</v>
      </c>
      <c r="D231" s="472" t="s">
        <v>1941</v>
      </c>
      <c r="E231" s="580" t="s">
        <v>2394</v>
      </c>
      <c r="F231" s="292">
        <f>'ведом. 2021-2023'!AD116</f>
        <v>80.3</v>
      </c>
      <c r="G231" s="476"/>
      <c r="H231" s="476">
        <f>'ведом. 2021-2023'!AE116</f>
        <v>0</v>
      </c>
      <c r="I231" s="476"/>
      <c r="J231" s="476">
        <f>'ведом. 2021-2023'!AF116</f>
        <v>0</v>
      </c>
      <c r="K231" s="476"/>
      <c r="L231" s="466"/>
      <c r="N231" s="466"/>
      <c r="O231" s="466"/>
    </row>
    <row r="232" spans="1:15" s="514" customFormat="1" ht="47.25" x14ac:dyDescent="0.25">
      <c r="A232" s="524" t="s">
        <v>2384</v>
      </c>
      <c r="B232" s="615" t="s">
        <v>566</v>
      </c>
      <c r="C232" s="235">
        <v>13</v>
      </c>
      <c r="D232" s="472" t="s">
        <v>2385</v>
      </c>
      <c r="E232" s="580"/>
      <c r="F232" s="292">
        <f>F233+F235+F237</f>
        <v>10374.9</v>
      </c>
      <c r="G232" s="292"/>
      <c r="H232" s="292">
        <f t="shared" ref="H232:J232" si="33">H233+H235+H237</f>
        <v>7958.9000000000005</v>
      </c>
      <c r="I232" s="292"/>
      <c r="J232" s="292">
        <f t="shared" si="33"/>
        <v>6048.9000000000005</v>
      </c>
      <c r="K232" s="476"/>
      <c r="L232" s="466"/>
      <c r="N232" s="466"/>
      <c r="O232" s="466"/>
    </row>
    <row r="233" spans="1:15" s="514" customFormat="1" ht="47.25" x14ac:dyDescent="0.25">
      <c r="A233" s="524" t="s">
        <v>922</v>
      </c>
      <c r="B233" s="615" t="s">
        <v>566</v>
      </c>
      <c r="C233" s="235">
        <v>13</v>
      </c>
      <c r="D233" s="472" t="s">
        <v>2385</v>
      </c>
      <c r="E233" s="580" t="s">
        <v>1798</v>
      </c>
      <c r="F233" s="292">
        <f>F234</f>
        <v>9775.6</v>
      </c>
      <c r="G233" s="476"/>
      <c r="H233" s="476">
        <f>H234</f>
        <v>7359.6</v>
      </c>
      <c r="I233" s="476"/>
      <c r="J233" s="476">
        <f>J234</f>
        <v>5449.6</v>
      </c>
      <c r="K233" s="476"/>
      <c r="L233" s="466"/>
      <c r="N233" s="466"/>
      <c r="O233" s="466"/>
    </row>
    <row r="234" spans="1:15" s="514" customFormat="1" x14ac:dyDescent="0.25">
      <c r="A234" s="524" t="s">
        <v>1569</v>
      </c>
      <c r="B234" s="615" t="s">
        <v>566</v>
      </c>
      <c r="C234" s="235">
        <v>13</v>
      </c>
      <c r="D234" s="472" t="s">
        <v>2385</v>
      </c>
      <c r="E234" s="580" t="s">
        <v>1799</v>
      </c>
      <c r="F234" s="292">
        <f>'ведом. 2021-2023'!AD119</f>
        <v>9775.6</v>
      </c>
      <c r="G234" s="476"/>
      <c r="H234" s="476">
        <f>'ведом. 2021-2023'!AE119</f>
        <v>7359.6</v>
      </c>
      <c r="I234" s="476"/>
      <c r="J234" s="476">
        <f>'ведом. 2021-2023'!AF119</f>
        <v>5449.6</v>
      </c>
      <c r="K234" s="476"/>
      <c r="L234" s="466"/>
      <c r="N234" s="466"/>
      <c r="O234" s="466"/>
    </row>
    <row r="235" spans="1:15" s="514" customFormat="1" x14ac:dyDescent="0.25">
      <c r="A235" s="524" t="s">
        <v>1782</v>
      </c>
      <c r="B235" s="615" t="s">
        <v>566</v>
      </c>
      <c r="C235" s="235">
        <v>13</v>
      </c>
      <c r="D235" s="472" t="s">
        <v>2385</v>
      </c>
      <c r="E235" s="580" t="s">
        <v>821</v>
      </c>
      <c r="F235" s="292">
        <f>F236</f>
        <v>549.29999999999995</v>
      </c>
      <c r="G235" s="476"/>
      <c r="H235" s="476">
        <f>H236</f>
        <v>599.29999999999995</v>
      </c>
      <c r="I235" s="476"/>
      <c r="J235" s="476">
        <f>J236</f>
        <v>599.29999999999995</v>
      </c>
      <c r="K235" s="476"/>
      <c r="L235" s="466"/>
      <c r="N235" s="466"/>
      <c r="O235" s="466"/>
    </row>
    <row r="236" spans="1:15" s="514" customFormat="1" ht="31.5" x14ac:dyDescent="0.25">
      <c r="A236" s="524" t="s">
        <v>1274</v>
      </c>
      <c r="B236" s="615" t="s">
        <v>566</v>
      </c>
      <c r="C236" s="235">
        <v>13</v>
      </c>
      <c r="D236" s="472" t="s">
        <v>2385</v>
      </c>
      <c r="E236" s="580" t="s">
        <v>1480</v>
      </c>
      <c r="F236" s="292">
        <f>'ведом. 2021-2023'!AD121</f>
        <v>549.29999999999995</v>
      </c>
      <c r="G236" s="476"/>
      <c r="H236" s="476">
        <f>'ведом. 2021-2023'!AE121</f>
        <v>599.29999999999995</v>
      </c>
      <c r="I236" s="476"/>
      <c r="J236" s="476">
        <f>'ведом. 2021-2023'!AF121</f>
        <v>599.29999999999995</v>
      </c>
      <c r="K236" s="476"/>
      <c r="L236" s="466"/>
      <c r="N236" s="466"/>
      <c r="O236" s="466"/>
    </row>
    <row r="237" spans="1:15" s="514" customFormat="1" x14ac:dyDescent="0.25">
      <c r="A237" s="520" t="s">
        <v>924</v>
      </c>
      <c r="B237" s="235" t="s">
        <v>566</v>
      </c>
      <c r="C237" s="235">
        <v>13</v>
      </c>
      <c r="D237" s="472" t="s">
        <v>2385</v>
      </c>
      <c r="E237" s="580" t="s">
        <v>2242</v>
      </c>
      <c r="F237" s="292">
        <f>F238</f>
        <v>50</v>
      </c>
      <c r="G237" s="292"/>
      <c r="H237" s="292">
        <f t="shared" ref="H237:J237" si="34">H238</f>
        <v>0</v>
      </c>
      <c r="I237" s="292"/>
      <c r="J237" s="292">
        <f t="shared" si="34"/>
        <v>0</v>
      </c>
      <c r="K237" s="476"/>
      <c r="L237" s="466"/>
      <c r="N237" s="466"/>
      <c r="O237" s="466"/>
    </row>
    <row r="238" spans="1:15" s="514" customFormat="1" x14ac:dyDescent="0.25">
      <c r="A238" s="520" t="s">
        <v>1320</v>
      </c>
      <c r="B238" s="235" t="s">
        <v>566</v>
      </c>
      <c r="C238" s="235">
        <v>13</v>
      </c>
      <c r="D238" s="472" t="s">
        <v>2385</v>
      </c>
      <c r="E238" s="580" t="s">
        <v>2394</v>
      </c>
      <c r="F238" s="292">
        <f>'ведом. 2021-2023'!AD123</f>
        <v>50</v>
      </c>
      <c r="G238" s="476"/>
      <c r="H238" s="476">
        <f>'ведом. 2021-2023'!AE123</f>
        <v>0</v>
      </c>
      <c r="I238" s="476"/>
      <c r="J238" s="476">
        <f>'ведом. 2021-2023'!AF123</f>
        <v>0</v>
      </c>
      <c r="K238" s="476"/>
      <c r="L238" s="466"/>
      <c r="N238" s="466"/>
      <c r="O238" s="466"/>
    </row>
    <row r="239" spans="1:15" s="442" customFormat="1" ht="31.5" x14ac:dyDescent="0.25">
      <c r="A239" s="521" t="s">
        <v>2104</v>
      </c>
      <c r="B239" s="615" t="s">
        <v>566</v>
      </c>
      <c r="C239" s="235">
        <v>13</v>
      </c>
      <c r="D239" s="443" t="s">
        <v>1806</v>
      </c>
      <c r="E239" s="238"/>
      <c r="F239" s="292">
        <f t="shared" ref="F239:K239" si="35">F240+F245</f>
        <v>781</v>
      </c>
      <c r="G239" s="476">
        <f t="shared" si="35"/>
        <v>763</v>
      </c>
      <c r="H239" s="476">
        <f t="shared" si="35"/>
        <v>442</v>
      </c>
      <c r="I239" s="476">
        <f t="shared" si="35"/>
        <v>424</v>
      </c>
      <c r="J239" s="476">
        <f t="shared" si="35"/>
        <v>58</v>
      </c>
      <c r="K239" s="476">
        <f t="shared" si="35"/>
        <v>40</v>
      </c>
      <c r="L239" s="466"/>
      <c r="N239" s="466"/>
      <c r="O239" s="466"/>
    </row>
    <row r="240" spans="1:15" s="442" customFormat="1" ht="47.25" x14ac:dyDescent="0.25">
      <c r="A240" s="521" t="s">
        <v>2105</v>
      </c>
      <c r="B240" s="615" t="s">
        <v>566</v>
      </c>
      <c r="C240" s="235">
        <v>13</v>
      </c>
      <c r="D240" s="443" t="s">
        <v>2106</v>
      </c>
      <c r="E240" s="238"/>
      <c r="F240" s="292">
        <f>F241</f>
        <v>18</v>
      </c>
      <c r="G240" s="476"/>
      <c r="H240" s="476">
        <f>H241</f>
        <v>18</v>
      </c>
      <c r="I240" s="476"/>
      <c r="J240" s="476">
        <f>J241</f>
        <v>18</v>
      </c>
      <c r="K240" s="476"/>
      <c r="L240" s="466"/>
      <c r="N240" s="466"/>
      <c r="O240" s="466"/>
    </row>
    <row r="241" spans="1:15" s="442" customFormat="1" ht="31.5" x14ac:dyDescent="0.25">
      <c r="A241" s="529" t="s">
        <v>2107</v>
      </c>
      <c r="B241" s="615" t="s">
        <v>566</v>
      </c>
      <c r="C241" s="235">
        <v>13</v>
      </c>
      <c r="D241" s="443" t="s">
        <v>2108</v>
      </c>
      <c r="E241" s="238"/>
      <c r="F241" s="292">
        <f>F242</f>
        <v>18</v>
      </c>
      <c r="G241" s="476"/>
      <c r="H241" s="476">
        <f>H242</f>
        <v>18</v>
      </c>
      <c r="I241" s="476"/>
      <c r="J241" s="476">
        <f>J242</f>
        <v>18</v>
      </c>
      <c r="K241" s="476"/>
      <c r="L241" s="466"/>
      <c r="N241" s="466"/>
      <c r="O241" s="466"/>
    </row>
    <row r="242" spans="1:15" s="442" customFormat="1" ht="94.5" x14ac:dyDescent="0.25">
      <c r="A242" s="529" t="s">
        <v>2244</v>
      </c>
      <c r="B242" s="615" t="s">
        <v>566</v>
      </c>
      <c r="C242" s="235">
        <v>13</v>
      </c>
      <c r="D242" s="472" t="s">
        <v>2109</v>
      </c>
      <c r="E242" s="238"/>
      <c r="F242" s="292">
        <f>F243</f>
        <v>18</v>
      </c>
      <c r="G242" s="476"/>
      <c r="H242" s="476">
        <f>H243</f>
        <v>18</v>
      </c>
      <c r="I242" s="476"/>
      <c r="J242" s="476">
        <f>J243</f>
        <v>18</v>
      </c>
      <c r="K242" s="476"/>
      <c r="L242" s="466"/>
      <c r="N242" s="466"/>
      <c r="O242" s="466"/>
    </row>
    <row r="243" spans="1:15" s="442" customFormat="1" x14ac:dyDescent="0.25">
      <c r="A243" s="524" t="s">
        <v>1782</v>
      </c>
      <c r="B243" s="615" t="s">
        <v>566</v>
      </c>
      <c r="C243" s="235">
        <v>13</v>
      </c>
      <c r="D243" s="472" t="s">
        <v>2109</v>
      </c>
      <c r="E243" s="238">
        <v>200</v>
      </c>
      <c r="F243" s="292">
        <f>F244</f>
        <v>18</v>
      </c>
      <c r="G243" s="476"/>
      <c r="H243" s="476">
        <f>H244</f>
        <v>18</v>
      </c>
      <c r="I243" s="476"/>
      <c r="J243" s="476">
        <f>J244</f>
        <v>18</v>
      </c>
      <c r="K243" s="476"/>
      <c r="L243" s="466"/>
      <c r="N243" s="466"/>
      <c r="O243" s="466"/>
    </row>
    <row r="244" spans="1:15" s="442" customFormat="1" ht="31.5" x14ac:dyDescent="0.25">
      <c r="A244" s="524" t="s">
        <v>1274</v>
      </c>
      <c r="B244" s="615" t="s">
        <v>566</v>
      </c>
      <c r="C244" s="235">
        <v>13</v>
      </c>
      <c r="D244" s="472" t="s">
        <v>2109</v>
      </c>
      <c r="E244" s="238">
        <v>240</v>
      </c>
      <c r="F244" s="292">
        <f>'ведом. 2021-2023'!AD129+'ведом. 2021-2023'!AD672</f>
        <v>18</v>
      </c>
      <c r="G244" s="476"/>
      <c r="H244" s="476">
        <f>'ведом. 2021-2023'!AE129+'ведом. 2021-2023'!AE672</f>
        <v>18</v>
      </c>
      <c r="I244" s="476"/>
      <c r="J244" s="476">
        <f>'ведом. 2021-2023'!AF129+'ведом. 2021-2023'!AF672</f>
        <v>18</v>
      </c>
      <c r="K244" s="476"/>
      <c r="L244" s="466"/>
      <c r="N244" s="466"/>
      <c r="O244" s="466"/>
    </row>
    <row r="245" spans="1:15" s="442" customFormat="1" x14ac:dyDescent="0.25">
      <c r="A245" s="521" t="s">
        <v>1161</v>
      </c>
      <c r="B245" s="615" t="s">
        <v>566</v>
      </c>
      <c r="C245" s="235">
        <v>13</v>
      </c>
      <c r="D245" s="443" t="s">
        <v>2119</v>
      </c>
      <c r="E245" s="238"/>
      <c r="F245" s="292">
        <f>F246+F250</f>
        <v>763</v>
      </c>
      <c r="G245" s="476">
        <f>G246+G250</f>
        <v>763</v>
      </c>
      <c r="H245" s="476">
        <f>H246+H250</f>
        <v>424</v>
      </c>
      <c r="I245" s="476">
        <f>I246+I250</f>
        <v>424</v>
      </c>
      <c r="J245" s="476">
        <f>'ведом. 2021-2023'!AF130</f>
        <v>40</v>
      </c>
      <c r="K245" s="476">
        <f>K246+K250</f>
        <v>40</v>
      </c>
      <c r="L245" s="466"/>
      <c r="N245" s="466"/>
      <c r="O245" s="466"/>
    </row>
    <row r="246" spans="1:15" s="442" customFormat="1" ht="31.5" x14ac:dyDescent="0.25">
      <c r="A246" s="529" t="s">
        <v>2123</v>
      </c>
      <c r="B246" s="615" t="s">
        <v>566</v>
      </c>
      <c r="C246" s="235">
        <v>13</v>
      </c>
      <c r="D246" s="443" t="s">
        <v>2124</v>
      </c>
      <c r="E246" s="238"/>
      <c r="F246" s="292">
        <f t="shared" ref="F246:K248" si="36">F247</f>
        <v>2</v>
      </c>
      <c r="G246" s="476">
        <f t="shared" si="36"/>
        <v>2</v>
      </c>
      <c r="H246" s="476">
        <f t="shared" si="36"/>
        <v>424</v>
      </c>
      <c r="I246" s="476">
        <f t="shared" si="36"/>
        <v>424</v>
      </c>
      <c r="J246" s="476">
        <f>'ведом. 2021-2023'!AF131</f>
        <v>40</v>
      </c>
      <c r="K246" s="476">
        <f t="shared" si="36"/>
        <v>40</v>
      </c>
      <c r="L246" s="466"/>
      <c r="N246" s="466"/>
      <c r="O246" s="466"/>
    </row>
    <row r="247" spans="1:15" s="442" customFormat="1" ht="31.5" x14ac:dyDescent="0.25">
      <c r="A247" s="521" t="s">
        <v>2125</v>
      </c>
      <c r="B247" s="615" t="s">
        <v>566</v>
      </c>
      <c r="C247" s="235">
        <v>13</v>
      </c>
      <c r="D247" s="443" t="s">
        <v>2126</v>
      </c>
      <c r="E247" s="238"/>
      <c r="F247" s="292">
        <f t="shared" si="36"/>
        <v>2</v>
      </c>
      <c r="G247" s="476">
        <f t="shared" si="36"/>
        <v>2</v>
      </c>
      <c r="H247" s="476">
        <f t="shared" si="36"/>
        <v>424</v>
      </c>
      <c r="I247" s="476">
        <f t="shared" si="36"/>
        <v>424</v>
      </c>
      <c r="J247" s="476">
        <f>'ведом. 2021-2023'!AF132</f>
        <v>40</v>
      </c>
      <c r="K247" s="476">
        <f t="shared" si="36"/>
        <v>40</v>
      </c>
      <c r="L247" s="466"/>
      <c r="N247" s="466"/>
      <c r="O247" s="466"/>
    </row>
    <row r="248" spans="1:15" s="442" customFormat="1" x14ac:dyDescent="0.25">
      <c r="A248" s="524" t="s">
        <v>1782</v>
      </c>
      <c r="B248" s="615" t="s">
        <v>566</v>
      </c>
      <c r="C248" s="235">
        <v>13</v>
      </c>
      <c r="D248" s="443" t="s">
        <v>2126</v>
      </c>
      <c r="E248" s="238">
        <v>200</v>
      </c>
      <c r="F248" s="292">
        <f t="shared" si="36"/>
        <v>2</v>
      </c>
      <c r="G248" s="476">
        <f t="shared" si="36"/>
        <v>2</v>
      </c>
      <c r="H248" s="476">
        <f t="shared" si="36"/>
        <v>424</v>
      </c>
      <c r="I248" s="476">
        <f t="shared" si="36"/>
        <v>424</v>
      </c>
      <c r="J248" s="476">
        <f>'ведом. 2021-2023'!AF133</f>
        <v>40</v>
      </c>
      <c r="K248" s="476">
        <f t="shared" si="36"/>
        <v>40</v>
      </c>
      <c r="L248" s="466"/>
      <c r="N248" s="466"/>
      <c r="O248" s="466"/>
    </row>
    <row r="249" spans="1:15" s="442" customFormat="1" ht="31.5" x14ac:dyDescent="0.25">
      <c r="A249" s="524" t="s">
        <v>1274</v>
      </c>
      <c r="B249" s="615" t="s">
        <v>566</v>
      </c>
      <c r="C249" s="235">
        <v>13</v>
      </c>
      <c r="D249" s="443" t="s">
        <v>2126</v>
      </c>
      <c r="E249" s="238">
        <v>240</v>
      </c>
      <c r="F249" s="292">
        <f>'ведом. 2021-2023'!AD134</f>
        <v>2</v>
      </c>
      <c r="G249" s="476">
        <f>F249</f>
        <v>2</v>
      </c>
      <c r="H249" s="476">
        <f>'ведом. 2021-2023'!AE134</f>
        <v>424</v>
      </c>
      <c r="I249" s="476">
        <f>H249</f>
        <v>424</v>
      </c>
      <c r="J249" s="476">
        <f>'ведом. 2021-2023'!AF134</f>
        <v>40</v>
      </c>
      <c r="K249" s="476">
        <f>J249</f>
        <v>40</v>
      </c>
      <c r="L249" s="466"/>
      <c r="N249" s="466"/>
      <c r="O249" s="466"/>
    </row>
    <row r="250" spans="1:15" s="442" customFormat="1" x14ac:dyDescent="0.25">
      <c r="A250" s="520" t="s">
        <v>2245</v>
      </c>
      <c r="B250" s="615" t="s">
        <v>566</v>
      </c>
      <c r="C250" s="235">
        <v>13</v>
      </c>
      <c r="D250" s="443" t="s">
        <v>2162</v>
      </c>
      <c r="E250" s="238"/>
      <c r="F250" s="292">
        <f t="shared" ref="F250:H252" si="37">F251</f>
        <v>761</v>
      </c>
      <c r="G250" s="476">
        <f t="shared" si="37"/>
        <v>761</v>
      </c>
      <c r="H250" s="476">
        <f t="shared" si="37"/>
        <v>0</v>
      </c>
      <c r="I250" s="476"/>
      <c r="J250" s="476">
        <f>J251</f>
        <v>0</v>
      </c>
      <c r="K250" s="476"/>
      <c r="L250" s="466"/>
      <c r="N250" s="466"/>
      <c r="O250" s="466"/>
    </row>
    <row r="251" spans="1:15" s="442" customFormat="1" x14ac:dyDescent="0.25">
      <c r="A251" s="520" t="s">
        <v>2263</v>
      </c>
      <c r="B251" s="615" t="s">
        <v>566</v>
      </c>
      <c r="C251" s="235">
        <v>13</v>
      </c>
      <c r="D251" s="443" t="s">
        <v>2161</v>
      </c>
      <c r="E251" s="238"/>
      <c r="F251" s="292">
        <f t="shared" si="37"/>
        <v>761</v>
      </c>
      <c r="G251" s="476">
        <f t="shared" si="37"/>
        <v>761</v>
      </c>
      <c r="H251" s="476">
        <f t="shared" si="37"/>
        <v>0</v>
      </c>
      <c r="I251" s="476"/>
      <c r="J251" s="476">
        <f>J252</f>
        <v>0</v>
      </c>
      <c r="K251" s="476"/>
      <c r="L251" s="466"/>
      <c r="N251" s="466"/>
      <c r="O251" s="466"/>
    </row>
    <row r="252" spans="1:15" s="442" customFormat="1" x14ac:dyDescent="0.25">
      <c r="A252" s="524" t="s">
        <v>1782</v>
      </c>
      <c r="B252" s="615" t="s">
        <v>566</v>
      </c>
      <c r="C252" s="235">
        <v>13</v>
      </c>
      <c r="D252" s="443" t="s">
        <v>2161</v>
      </c>
      <c r="E252" s="238">
        <v>200</v>
      </c>
      <c r="F252" s="292">
        <f t="shared" si="37"/>
        <v>761</v>
      </c>
      <c r="G252" s="476">
        <f t="shared" si="37"/>
        <v>761</v>
      </c>
      <c r="H252" s="476">
        <f t="shared" si="37"/>
        <v>0</v>
      </c>
      <c r="I252" s="476"/>
      <c r="J252" s="476">
        <f>J253</f>
        <v>0</v>
      </c>
      <c r="K252" s="476"/>
      <c r="L252" s="466"/>
      <c r="N252" s="466"/>
      <c r="O252" s="466"/>
    </row>
    <row r="253" spans="1:15" s="442" customFormat="1" ht="31.5" x14ac:dyDescent="0.25">
      <c r="A253" s="524" t="s">
        <v>1274</v>
      </c>
      <c r="B253" s="615" t="s">
        <v>566</v>
      </c>
      <c r="C253" s="235">
        <v>13</v>
      </c>
      <c r="D253" s="443" t="s">
        <v>2161</v>
      </c>
      <c r="E253" s="238">
        <v>240</v>
      </c>
      <c r="F253" s="292">
        <f>'ведом. 2021-2023'!AD138</f>
        <v>761</v>
      </c>
      <c r="G253" s="476">
        <f>F253</f>
        <v>761</v>
      </c>
      <c r="H253" s="476">
        <f>'ведом. 2021-2023'!AE138</f>
        <v>0</v>
      </c>
      <c r="I253" s="476"/>
      <c r="J253" s="476">
        <f>'ведом. 2021-2023'!AF138</f>
        <v>0</v>
      </c>
      <c r="K253" s="476"/>
      <c r="L253" s="466"/>
      <c r="N253" s="466"/>
      <c r="O253" s="466"/>
    </row>
    <row r="254" spans="1:15" s="442" customFormat="1" x14ac:dyDescent="0.25">
      <c r="A254" s="521" t="s">
        <v>1958</v>
      </c>
      <c r="B254" s="615" t="s">
        <v>566</v>
      </c>
      <c r="C254" s="235">
        <v>13</v>
      </c>
      <c r="D254" s="443" t="s">
        <v>1959</v>
      </c>
      <c r="E254" s="238"/>
      <c r="F254" s="292">
        <f>F255</f>
        <v>32528</v>
      </c>
      <c r="G254" s="292">
        <f>G255</f>
        <v>181</v>
      </c>
      <c r="H254" s="292">
        <f t="shared" ref="H254:J254" si="38">H255</f>
        <v>26307</v>
      </c>
      <c r="I254" s="292"/>
      <c r="J254" s="292">
        <f t="shared" si="38"/>
        <v>26307</v>
      </c>
      <c r="K254" s="476"/>
      <c r="L254" s="466"/>
      <c r="N254" s="466"/>
      <c r="O254" s="466"/>
    </row>
    <row r="255" spans="1:15" s="442" customFormat="1" ht="57.6" customHeight="1" x14ac:dyDescent="0.25">
      <c r="A255" s="521" t="s">
        <v>2440</v>
      </c>
      <c r="B255" s="615" t="s">
        <v>566</v>
      </c>
      <c r="C255" s="235">
        <v>13</v>
      </c>
      <c r="D255" s="443" t="s">
        <v>1960</v>
      </c>
      <c r="E255" s="238"/>
      <c r="F255" s="292">
        <f>F256+F260</f>
        <v>32528</v>
      </c>
      <c r="G255" s="292">
        <f>G256+G260</f>
        <v>181</v>
      </c>
      <c r="H255" s="476">
        <f>H256</f>
        <v>26307</v>
      </c>
      <c r="I255" s="476"/>
      <c r="J255" s="476">
        <f>J256</f>
        <v>26307</v>
      </c>
      <c r="K255" s="476"/>
      <c r="L255" s="466"/>
      <c r="N255" s="466"/>
      <c r="O255" s="466"/>
    </row>
    <row r="256" spans="1:15" s="442" customFormat="1" ht="31.5" x14ac:dyDescent="0.25">
      <c r="A256" s="521" t="s">
        <v>1961</v>
      </c>
      <c r="B256" s="615" t="s">
        <v>566</v>
      </c>
      <c r="C256" s="235">
        <v>13</v>
      </c>
      <c r="D256" s="443" t="s">
        <v>1962</v>
      </c>
      <c r="E256" s="238"/>
      <c r="F256" s="292">
        <f>F257</f>
        <v>32307</v>
      </c>
      <c r="G256" s="476"/>
      <c r="H256" s="476">
        <f>H257</f>
        <v>26307</v>
      </c>
      <c r="I256" s="476"/>
      <c r="J256" s="476">
        <f>J257</f>
        <v>26307</v>
      </c>
      <c r="K256" s="476"/>
      <c r="L256" s="466"/>
      <c r="N256" s="466"/>
      <c r="O256" s="466"/>
    </row>
    <row r="257" spans="1:15" s="442" customFormat="1" ht="31.5" x14ac:dyDescent="0.25">
      <c r="A257" s="522" t="s">
        <v>1963</v>
      </c>
      <c r="B257" s="615" t="s">
        <v>566</v>
      </c>
      <c r="C257" s="235">
        <v>13</v>
      </c>
      <c r="D257" s="443" t="s">
        <v>1964</v>
      </c>
      <c r="E257" s="581"/>
      <c r="F257" s="292">
        <f>F258</f>
        <v>32307</v>
      </c>
      <c r="G257" s="476"/>
      <c r="H257" s="476">
        <f>H258</f>
        <v>26307</v>
      </c>
      <c r="I257" s="476"/>
      <c r="J257" s="476">
        <f>'ведом. 2021-2023'!AF142</f>
        <v>26307</v>
      </c>
      <c r="K257" s="476"/>
      <c r="L257" s="466"/>
      <c r="N257" s="466"/>
      <c r="O257" s="466"/>
    </row>
    <row r="258" spans="1:15" s="442" customFormat="1" ht="31.5" x14ac:dyDescent="0.25">
      <c r="A258" s="524" t="s">
        <v>1343</v>
      </c>
      <c r="B258" s="615" t="s">
        <v>566</v>
      </c>
      <c r="C258" s="235">
        <v>13</v>
      </c>
      <c r="D258" s="443" t="s">
        <v>1964</v>
      </c>
      <c r="E258" s="238">
        <v>600</v>
      </c>
      <c r="F258" s="292">
        <f>F259</f>
        <v>32307</v>
      </c>
      <c r="G258" s="476"/>
      <c r="H258" s="476">
        <f>H259</f>
        <v>26307</v>
      </c>
      <c r="I258" s="476"/>
      <c r="J258" s="476">
        <f>'ведом. 2021-2023'!AF143</f>
        <v>26307</v>
      </c>
      <c r="K258" s="476"/>
      <c r="L258" s="466"/>
      <c r="N258" s="466"/>
      <c r="O258" s="466"/>
    </row>
    <row r="259" spans="1:15" s="442" customFormat="1" x14ac:dyDescent="0.25">
      <c r="A259" s="524" t="s">
        <v>1344</v>
      </c>
      <c r="B259" s="615" t="s">
        <v>566</v>
      </c>
      <c r="C259" s="235">
        <v>13</v>
      </c>
      <c r="D259" s="443" t="s">
        <v>1964</v>
      </c>
      <c r="E259" s="238">
        <v>610</v>
      </c>
      <c r="F259" s="292">
        <f>'ведом. 2021-2023'!AD144</f>
        <v>32307</v>
      </c>
      <c r="G259" s="476"/>
      <c r="H259" s="476">
        <f>'ведом. 2021-2023'!AE144</f>
        <v>26307</v>
      </c>
      <c r="I259" s="476"/>
      <c r="J259" s="476">
        <f>'ведом. 2021-2023'!AF144</f>
        <v>26307</v>
      </c>
      <c r="K259" s="476"/>
      <c r="L259" s="466"/>
      <c r="N259" s="466"/>
      <c r="O259" s="466"/>
    </row>
    <row r="260" spans="1:15" s="514" customFormat="1" ht="47.25" x14ac:dyDescent="0.25">
      <c r="A260" s="520" t="s">
        <v>2425</v>
      </c>
      <c r="B260" s="235" t="s">
        <v>566</v>
      </c>
      <c r="C260" s="235">
        <v>13</v>
      </c>
      <c r="D260" s="443" t="s">
        <v>2426</v>
      </c>
      <c r="E260" s="238"/>
      <c r="F260" s="292">
        <f t="shared" ref="F260:G262" si="39">F261</f>
        <v>221</v>
      </c>
      <c r="G260" s="292">
        <f t="shared" si="39"/>
        <v>181</v>
      </c>
      <c r="H260" s="292">
        <f t="shared" ref="H260:J260" si="40">H261</f>
        <v>0</v>
      </c>
      <c r="I260" s="292"/>
      <c r="J260" s="292">
        <f t="shared" si="40"/>
        <v>0</v>
      </c>
      <c r="K260" s="476"/>
      <c r="L260" s="466"/>
      <c r="N260" s="466"/>
      <c r="O260" s="466"/>
    </row>
    <row r="261" spans="1:15" s="514" customFormat="1" ht="85.15" customHeight="1" x14ac:dyDescent="0.25">
      <c r="A261" s="520" t="s">
        <v>2443</v>
      </c>
      <c r="B261" s="235" t="s">
        <v>566</v>
      </c>
      <c r="C261" s="235">
        <v>13</v>
      </c>
      <c r="D261" s="443" t="s">
        <v>2427</v>
      </c>
      <c r="E261" s="238"/>
      <c r="F261" s="292">
        <f t="shared" si="39"/>
        <v>221</v>
      </c>
      <c r="G261" s="292">
        <f t="shared" si="39"/>
        <v>181</v>
      </c>
      <c r="H261" s="292">
        <f t="shared" ref="H261:J261" si="41">H262</f>
        <v>0</v>
      </c>
      <c r="I261" s="292"/>
      <c r="J261" s="292">
        <f t="shared" si="41"/>
        <v>0</v>
      </c>
      <c r="K261" s="476"/>
      <c r="L261" s="466"/>
      <c r="N261" s="466"/>
      <c r="O261" s="466"/>
    </row>
    <row r="262" spans="1:15" s="514" customFormat="1" ht="31.5" x14ac:dyDescent="0.25">
      <c r="A262" s="520" t="s">
        <v>1343</v>
      </c>
      <c r="B262" s="235" t="s">
        <v>566</v>
      </c>
      <c r="C262" s="235">
        <v>13</v>
      </c>
      <c r="D262" s="443" t="s">
        <v>2427</v>
      </c>
      <c r="E262" s="238">
        <v>600</v>
      </c>
      <c r="F262" s="292">
        <f t="shared" si="39"/>
        <v>221</v>
      </c>
      <c r="G262" s="292">
        <f t="shared" si="39"/>
        <v>181</v>
      </c>
      <c r="H262" s="292">
        <f t="shared" ref="H262:J262" si="42">H263</f>
        <v>0</v>
      </c>
      <c r="I262" s="292"/>
      <c r="J262" s="292">
        <f t="shared" si="42"/>
        <v>0</v>
      </c>
      <c r="K262" s="476"/>
      <c r="L262" s="466"/>
      <c r="N262" s="466"/>
      <c r="O262" s="466"/>
    </row>
    <row r="263" spans="1:15" s="514" customFormat="1" x14ac:dyDescent="0.25">
      <c r="A263" s="520" t="s">
        <v>1344</v>
      </c>
      <c r="B263" s="235" t="s">
        <v>566</v>
      </c>
      <c r="C263" s="235">
        <v>13</v>
      </c>
      <c r="D263" s="443" t="s">
        <v>2427</v>
      </c>
      <c r="E263" s="238">
        <v>610</v>
      </c>
      <c r="F263" s="292">
        <f>'ведом. 2021-2023'!AD148</f>
        <v>221</v>
      </c>
      <c r="G263" s="476">
        <v>181</v>
      </c>
      <c r="H263" s="476">
        <f>'ведом. 2021-2023'!AE148</f>
        <v>0</v>
      </c>
      <c r="I263" s="476"/>
      <c r="J263" s="476">
        <f>'ведом. 2021-2023'!AF148</f>
        <v>0</v>
      </c>
      <c r="K263" s="476"/>
      <c r="L263" s="466"/>
      <c r="N263" s="466"/>
      <c r="O263" s="466"/>
    </row>
    <row r="264" spans="1:15" s="442" customFormat="1" x14ac:dyDescent="0.25">
      <c r="A264" s="521" t="s">
        <v>1946</v>
      </c>
      <c r="B264" s="615" t="s">
        <v>566</v>
      </c>
      <c r="C264" s="235">
        <v>13</v>
      </c>
      <c r="D264" s="443" t="s">
        <v>1816</v>
      </c>
      <c r="E264" s="580"/>
      <c r="F264" s="292">
        <f>F265+F268</f>
        <v>1302.9000000000001</v>
      </c>
      <c r="G264" s="476"/>
      <c r="H264" s="476">
        <f>H265+H268</f>
        <v>100</v>
      </c>
      <c r="I264" s="476"/>
      <c r="J264" s="476">
        <f>J265+J268</f>
        <v>100</v>
      </c>
      <c r="K264" s="476"/>
      <c r="L264" s="466"/>
      <c r="N264" s="466"/>
      <c r="O264" s="466"/>
    </row>
    <row r="265" spans="1:15" s="442" customFormat="1" x14ac:dyDescent="0.25">
      <c r="A265" s="529" t="s">
        <v>1947</v>
      </c>
      <c r="B265" s="616" t="s">
        <v>566</v>
      </c>
      <c r="C265" s="242">
        <v>13</v>
      </c>
      <c r="D265" s="443" t="s">
        <v>1948</v>
      </c>
      <c r="E265" s="582"/>
      <c r="F265" s="292">
        <f>F266</f>
        <v>724.90000000000009</v>
      </c>
      <c r="G265" s="476"/>
      <c r="H265" s="476">
        <f>H266</f>
        <v>100</v>
      </c>
      <c r="I265" s="476"/>
      <c r="J265" s="476">
        <f>J266</f>
        <v>100</v>
      </c>
      <c r="K265" s="476"/>
      <c r="L265" s="466"/>
      <c r="N265" s="466"/>
      <c r="O265" s="466"/>
    </row>
    <row r="266" spans="1:15" s="442" customFormat="1" x14ac:dyDescent="0.25">
      <c r="A266" s="524" t="s">
        <v>924</v>
      </c>
      <c r="B266" s="616" t="s">
        <v>566</v>
      </c>
      <c r="C266" s="242">
        <v>13</v>
      </c>
      <c r="D266" s="443" t="s">
        <v>1948</v>
      </c>
      <c r="E266" s="582">
        <v>800</v>
      </c>
      <c r="F266" s="292">
        <f>F267</f>
        <v>724.90000000000009</v>
      </c>
      <c r="G266" s="476"/>
      <c r="H266" s="476">
        <f>H267</f>
        <v>100</v>
      </c>
      <c r="I266" s="476"/>
      <c r="J266" s="476">
        <f>J267</f>
        <v>100</v>
      </c>
      <c r="K266" s="476"/>
      <c r="L266" s="466"/>
      <c r="N266" s="466"/>
      <c r="O266" s="466"/>
    </row>
    <row r="267" spans="1:15" s="442" customFormat="1" x14ac:dyDescent="0.25">
      <c r="A267" s="524" t="s">
        <v>1811</v>
      </c>
      <c r="B267" s="616" t="s">
        <v>566</v>
      </c>
      <c r="C267" s="242">
        <v>13</v>
      </c>
      <c r="D267" s="443" t="s">
        <v>1948</v>
      </c>
      <c r="E267" s="582">
        <v>830</v>
      </c>
      <c r="F267" s="292">
        <f>'ведом. 2021-2023'!AD152+'ведом. 2021-2023'!AD676</f>
        <v>724.90000000000009</v>
      </c>
      <c r="G267" s="476"/>
      <c r="H267" s="476">
        <f>'ведом. 2021-2023'!AE152</f>
        <v>100</v>
      </c>
      <c r="I267" s="476"/>
      <c r="J267" s="476">
        <f>'ведом. 2021-2023'!AF152</f>
        <v>100</v>
      </c>
      <c r="K267" s="476"/>
      <c r="L267" s="466"/>
      <c r="N267" s="466"/>
      <c r="O267" s="466"/>
    </row>
    <row r="268" spans="1:15" s="514" customFormat="1" x14ac:dyDescent="0.25">
      <c r="A268" s="555" t="s">
        <v>2259</v>
      </c>
      <c r="B268" s="616" t="s">
        <v>566</v>
      </c>
      <c r="C268" s="242">
        <v>13</v>
      </c>
      <c r="D268" s="548" t="s">
        <v>2260</v>
      </c>
      <c r="E268" s="582"/>
      <c r="F268" s="292">
        <f>F269</f>
        <v>578</v>
      </c>
      <c r="G268" s="476"/>
      <c r="H268" s="476">
        <f t="shared" ref="H268:J270" si="43">H269</f>
        <v>0</v>
      </c>
      <c r="I268" s="476"/>
      <c r="J268" s="476">
        <f t="shared" si="43"/>
        <v>0</v>
      </c>
      <c r="K268" s="476"/>
      <c r="L268" s="466"/>
      <c r="N268" s="466"/>
      <c r="O268" s="466"/>
    </row>
    <row r="269" spans="1:15" s="514" customFormat="1" x14ac:dyDescent="0.25">
      <c r="A269" s="524" t="s">
        <v>2399</v>
      </c>
      <c r="B269" s="616" t="s">
        <v>566</v>
      </c>
      <c r="C269" s="242">
        <v>13</v>
      </c>
      <c r="D269" s="548" t="s">
        <v>2400</v>
      </c>
      <c r="E269" s="582"/>
      <c r="F269" s="292">
        <f>F270</f>
        <v>578</v>
      </c>
      <c r="G269" s="476"/>
      <c r="H269" s="476">
        <f t="shared" si="43"/>
        <v>0</v>
      </c>
      <c r="I269" s="476"/>
      <c r="J269" s="476">
        <f t="shared" si="43"/>
        <v>0</v>
      </c>
      <c r="K269" s="476"/>
      <c r="L269" s="466"/>
      <c r="N269" s="466"/>
      <c r="O269" s="466"/>
    </row>
    <row r="270" spans="1:15" s="514" customFormat="1" x14ac:dyDescent="0.25">
      <c r="A270" s="520" t="s">
        <v>924</v>
      </c>
      <c r="B270" s="616" t="s">
        <v>566</v>
      </c>
      <c r="C270" s="242">
        <v>13</v>
      </c>
      <c r="D270" s="548" t="s">
        <v>2400</v>
      </c>
      <c r="E270" s="582">
        <v>800</v>
      </c>
      <c r="F270" s="292">
        <f>F271</f>
        <v>578</v>
      </c>
      <c r="G270" s="476"/>
      <c r="H270" s="476">
        <f t="shared" si="43"/>
        <v>0</v>
      </c>
      <c r="I270" s="476"/>
      <c r="J270" s="476">
        <f t="shared" si="43"/>
        <v>0</v>
      </c>
      <c r="K270" s="476"/>
      <c r="L270" s="466"/>
      <c r="N270" s="466"/>
      <c r="O270" s="466"/>
    </row>
    <row r="271" spans="1:15" s="514" customFormat="1" x14ac:dyDescent="0.25">
      <c r="A271" s="520" t="s">
        <v>1320</v>
      </c>
      <c r="B271" s="616" t="s">
        <v>566</v>
      </c>
      <c r="C271" s="242">
        <v>13</v>
      </c>
      <c r="D271" s="548" t="s">
        <v>2400</v>
      </c>
      <c r="E271" s="582">
        <v>850</v>
      </c>
      <c r="F271" s="292">
        <f>'ведом. 2021-2023'!AD156</f>
        <v>578</v>
      </c>
      <c r="G271" s="476"/>
      <c r="H271" s="476">
        <f>'ведом. 2021-2023'!AE156</f>
        <v>0</v>
      </c>
      <c r="I271" s="476"/>
      <c r="J271" s="476">
        <f>'ведом. 2021-2023'!AF156</f>
        <v>0</v>
      </c>
      <c r="K271" s="476"/>
      <c r="L271" s="466"/>
      <c r="N271" s="466"/>
      <c r="O271" s="466"/>
    </row>
    <row r="272" spans="1:15" s="442" customFormat="1" x14ac:dyDescent="0.25">
      <c r="A272" s="609" t="s">
        <v>271</v>
      </c>
      <c r="B272" s="617" t="s">
        <v>567</v>
      </c>
      <c r="C272" s="247"/>
      <c r="D272" s="271"/>
      <c r="E272" s="576"/>
      <c r="F272" s="745">
        <f t="shared" ref="F272:K272" si="44">F273+F280</f>
        <v>4078.7</v>
      </c>
      <c r="G272" s="479">
        <f t="shared" si="44"/>
        <v>3773</v>
      </c>
      <c r="H272" s="479">
        <f t="shared" si="44"/>
        <v>3973</v>
      </c>
      <c r="I272" s="479">
        <f t="shared" si="44"/>
        <v>3773</v>
      </c>
      <c r="J272" s="479">
        <f t="shared" si="44"/>
        <v>3973</v>
      </c>
      <c r="K272" s="479">
        <f t="shared" si="44"/>
        <v>3773</v>
      </c>
      <c r="L272" s="466"/>
      <c r="N272" s="466"/>
      <c r="O272" s="466"/>
    </row>
    <row r="273" spans="1:15" s="442" customFormat="1" x14ac:dyDescent="0.25">
      <c r="A273" s="524" t="s">
        <v>281</v>
      </c>
      <c r="B273" s="615" t="s">
        <v>567</v>
      </c>
      <c r="C273" s="235" t="s">
        <v>193</v>
      </c>
      <c r="D273" s="249"/>
      <c r="E273" s="577"/>
      <c r="F273" s="292">
        <f t="shared" ref="F273:K278" si="45">F274</f>
        <v>3773</v>
      </c>
      <c r="G273" s="476">
        <f t="shared" si="45"/>
        <v>3773</v>
      </c>
      <c r="H273" s="476">
        <f t="shared" si="45"/>
        <v>3773</v>
      </c>
      <c r="I273" s="476">
        <f t="shared" si="45"/>
        <v>3773</v>
      </c>
      <c r="J273" s="476">
        <f t="shared" si="45"/>
        <v>3773</v>
      </c>
      <c r="K273" s="476">
        <f t="shared" si="45"/>
        <v>3773</v>
      </c>
      <c r="L273" s="466"/>
      <c r="N273" s="466"/>
      <c r="O273" s="466"/>
    </row>
    <row r="274" spans="1:15" s="442" customFormat="1" ht="31.5" x14ac:dyDescent="0.25">
      <c r="A274" s="521" t="s">
        <v>2104</v>
      </c>
      <c r="B274" s="615" t="s">
        <v>567</v>
      </c>
      <c r="C274" s="235" t="s">
        <v>193</v>
      </c>
      <c r="D274" s="443" t="s">
        <v>1806</v>
      </c>
      <c r="E274" s="577"/>
      <c r="F274" s="292">
        <f t="shared" si="45"/>
        <v>3773</v>
      </c>
      <c r="G274" s="476">
        <f t="shared" si="45"/>
        <v>3773</v>
      </c>
      <c r="H274" s="476">
        <f t="shared" si="45"/>
        <v>3773</v>
      </c>
      <c r="I274" s="476">
        <f t="shared" si="45"/>
        <v>3773</v>
      </c>
      <c r="J274" s="476">
        <f t="shared" si="45"/>
        <v>3773</v>
      </c>
      <c r="K274" s="476">
        <f t="shared" si="45"/>
        <v>3773</v>
      </c>
      <c r="L274" s="466"/>
      <c r="N274" s="466"/>
      <c r="O274" s="466"/>
    </row>
    <row r="275" spans="1:15" s="442" customFormat="1" x14ac:dyDescent="0.25">
      <c r="A275" s="521" t="s">
        <v>1161</v>
      </c>
      <c r="B275" s="615" t="s">
        <v>567</v>
      </c>
      <c r="C275" s="235" t="s">
        <v>193</v>
      </c>
      <c r="D275" s="443" t="s">
        <v>2119</v>
      </c>
      <c r="E275" s="577"/>
      <c r="F275" s="292">
        <f t="shared" ref="F275:K277" si="46">F276</f>
        <v>3773</v>
      </c>
      <c r="G275" s="476">
        <f t="shared" si="46"/>
        <v>3773</v>
      </c>
      <c r="H275" s="476">
        <f t="shared" si="46"/>
        <v>3773</v>
      </c>
      <c r="I275" s="476">
        <f t="shared" si="46"/>
        <v>3773</v>
      </c>
      <c r="J275" s="476">
        <f t="shared" si="46"/>
        <v>3773</v>
      </c>
      <c r="K275" s="476">
        <f t="shared" si="46"/>
        <v>3773</v>
      </c>
      <c r="L275" s="466"/>
      <c r="N275" s="466"/>
      <c r="O275" s="466"/>
    </row>
    <row r="276" spans="1:15" s="442" customFormat="1" ht="31.5" x14ac:dyDescent="0.25">
      <c r="A276" s="529" t="s">
        <v>2120</v>
      </c>
      <c r="B276" s="615" t="s">
        <v>567</v>
      </c>
      <c r="C276" s="235" t="s">
        <v>193</v>
      </c>
      <c r="D276" s="443" t="s">
        <v>2121</v>
      </c>
      <c r="E276" s="577"/>
      <c r="F276" s="292">
        <f t="shared" si="46"/>
        <v>3773</v>
      </c>
      <c r="G276" s="476">
        <f t="shared" si="46"/>
        <v>3773</v>
      </c>
      <c r="H276" s="476">
        <f t="shared" si="46"/>
        <v>3773</v>
      </c>
      <c r="I276" s="476">
        <f t="shared" si="46"/>
        <v>3773</v>
      </c>
      <c r="J276" s="476">
        <f t="shared" si="46"/>
        <v>3773</v>
      </c>
      <c r="K276" s="476">
        <f t="shared" si="46"/>
        <v>3773</v>
      </c>
      <c r="L276" s="466"/>
      <c r="N276" s="466"/>
      <c r="O276" s="466"/>
    </row>
    <row r="277" spans="1:15" s="442" customFormat="1" ht="31.5" x14ac:dyDescent="0.25">
      <c r="A277" s="521" t="s">
        <v>494</v>
      </c>
      <c r="B277" s="615" t="s">
        <v>567</v>
      </c>
      <c r="C277" s="235" t="s">
        <v>193</v>
      </c>
      <c r="D277" s="443" t="s">
        <v>2122</v>
      </c>
      <c r="E277" s="583"/>
      <c r="F277" s="292">
        <f t="shared" si="46"/>
        <v>3773</v>
      </c>
      <c r="G277" s="476">
        <f t="shared" si="46"/>
        <v>3773</v>
      </c>
      <c r="H277" s="476">
        <f t="shared" si="46"/>
        <v>3773</v>
      </c>
      <c r="I277" s="476">
        <f t="shared" si="46"/>
        <v>3773</v>
      </c>
      <c r="J277" s="476">
        <f t="shared" si="46"/>
        <v>3773</v>
      </c>
      <c r="K277" s="476">
        <f t="shared" si="46"/>
        <v>3773</v>
      </c>
      <c r="L277" s="466"/>
      <c r="N277" s="466"/>
      <c r="O277" s="466"/>
    </row>
    <row r="278" spans="1:15" s="442" customFormat="1" ht="47.25" x14ac:dyDescent="0.25">
      <c r="A278" s="524" t="s">
        <v>922</v>
      </c>
      <c r="B278" s="615" t="s">
        <v>567</v>
      </c>
      <c r="C278" s="235" t="s">
        <v>193</v>
      </c>
      <c r="D278" s="443" t="s">
        <v>2122</v>
      </c>
      <c r="E278" s="238">
        <v>100</v>
      </c>
      <c r="F278" s="292">
        <f t="shared" si="45"/>
        <v>3773</v>
      </c>
      <c r="G278" s="476">
        <f t="shared" si="45"/>
        <v>3773</v>
      </c>
      <c r="H278" s="476">
        <f t="shared" si="45"/>
        <v>3773</v>
      </c>
      <c r="I278" s="476">
        <f t="shared" si="45"/>
        <v>3773</v>
      </c>
      <c r="J278" s="476">
        <f t="shared" si="45"/>
        <v>3773</v>
      </c>
      <c r="K278" s="476">
        <f t="shared" si="45"/>
        <v>3773</v>
      </c>
      <c r="L278" s="466"/>
      <c r="N278" s="466"/>
      <c r="O278" s="466"/>
    </row>
    <row r="279" spans="1:15" s="442" customFormat="1" x14ac:dyDescent="0.25">
      <c r="A279" s="524" t="s">
        <v>1748</v>
      </c>
      <c r="B279" s="615" t="s">
        <v>567</v>
      </c>
      <c r="C279" s="235" t="s">
        <v>193</v>
      </c>
      <c r="D279" s="443" t="s">
        <v>2122</v>
      </c>
      <c r="E279" s="238">
        <v>120</v>
      </c>
      <c r="F279" s="292">
        <f>'ведом. 2021-2023'!AD164</f>
        <v>3773</v>
      </c>
      <c r="G279" s="476">
        <f>F279</f>
        <v>3773</v>
      </c>
      <c r="H279" s="476">
        <f>'ведом. 2021-2023'!AE164</f>
        <v>3773</v>
      </c>
      <c r="I279" s="476">
        <f>H279</f>
        <v>3773</v>
      </c>
      <c r="J279" s="476">
        <f>'ведом. 2021-2023'!AF164</f>
        <v>3773</v>
      </c>
      <c r="K279" s="476">
        <f>J279</f>
        <v>3773</v>
      </c>
      <c r="L279" s="466"/>
      <c r="N279" s="466"/>
      <c r="O279" s="466"/>
    </row>
    <row r="280" spans="1:15" s="442" customFormat="1" x14ac:dyDescent="0.25">
      <c r="A280" s="524" t="s">
        <v>1157</v>
      </c>
      <c r="B280" s="615" t="s">
        <v>567</v>
      </c>
      <c r="C280" s="235" t="s">
        <v>1182</v>
      </c>
      <c r="D280" s="249"/>
      <c r="E280" s="238"/>
      <c r="F280" s="292">
        <f t="shared" ref="F280:J285" si="47">F281</f>
        <v>305.7</v>
      </c>
      <c r="G280" s="476"/>
      <c r="H280" s="476">
        <f t="shared" si="47"/>
        <v>200</v>
      </c>
      <c r="I280" s="476"/>
      <c r="J280" s="476">
        <f t="shared" si="47"/>
        <v>200</v>
      </c>
      <c r="K280" s="476"/>
      <c r="L280" s="466"/>
      <c r="N280" s="466"/>
      <c r="O280" s="466"/>
    </row>
    <row r="281" spans="1:15" s="442" customFormat="1" x14ac:dyDescent="0.25">
      <c r="A281" s="521" t="s">
        <v>1899</v>
      </c>
      <c r="B281" s="615" t="s">
        <v>567</v>
      </c>
      <c r="C281" s="235" t="s">
        <v>1182</v>
      </c>
      <c r="D281" s="443" t="s">
        <v>1772</v>
      </c>
      <c r="E281" s="238"/>
      <c r="F281" s="292">
        <f t="shared" si="47"/>
        <v>305.7</v>
      </c>
      <c r="G281" s="476"/>
      <c r="H281" s="476">
        <f t="shared" si="47"/>
        <v>200</v>
      </c>
      <c r="I281" s="476"/>
      <c r="J281" s="476">
        <f t="shared" si="47"/>
        <v>200</v>
      </c>
      <c r="K281" s="476"/>
      <c r="L281" s="466"/>
      <c r="N281" s="466"/>
      <c r="O281" s="466"/>
    </row>
    <row r="282" spans="1:15" s="442" customFormat="1" x14ac:dyDescent="0.25">
      <c r="A282" s="521" t="s">
        <v>1908</v>
      </c>
      <c r="B282" s="615" t="s">
        <v>567</v>
      </c>
      <c r="C282" s="235" t="s">
        <v>1182</v>
      </c>
      <c r="D282" s="443" t="s">
        <v>1909</v>
      </c>
      <c r="E282" s="238"/>
      <c r="F282" s="292">
        <f t="shared" si="47"/>
        <v>305.7</v>
      </c>
      <c r="G282" s="476"/>
      <c r="H282" s="476">
        <f t="shared" si="47"/>
        <v>200</v>
      </c>
      <c r="I282" s="476"/>
      <c r="J282" s="476">
        <f t="shared" si="47"/>
        <v>200</v>
      </c>
      <c r="K282" s="476"/>
      <c r="L282" s="466"/>
      <c r="N282" s="466"/>
      <c r="O282" s="466"/>
    </row>
    <row r="283" spans="1:15" s="442" customFormat="1" ht="31.5" x14ac:dyDescent="0.25">
      <c r="A283" s="521" t="s">
        <v>1910</v>
      </c>
      <c r="B283" s="615" t="s">
        <v>567</v>
      </c>
      <c r="C283" s="235" t="s">
        <v>1182</v>
      </c>
      <c r="D283" s="443" t="s">
        <v>1911</v>
      </c>
      <c r="E283" s="238"/>
      <c r="F283" s="292">
        <f t="shared" si="47"/>
        <v>305.7</v>
      </c>
      <c r="G283" s="476"/>
      <c r="H283" s="476">
        <f t="shared" si="47"/>
        <v>200</v>
      </c>
      <c r="I283" s="476"/>
      <c r="J283" s="476">
        <f t="shared" si="47"/>
        <v>200</v>
      </c>
      <c r="K283" s="476"/>
      <c r="L283" s="466"/>
      <c r="N283" s="466"/>
      <c r="O283" s="466"/>
    </row>
    <row r="284" spans="1:15" s="442" customFormat="1" x14ac:dyDescent="0.25">
      <c r="A284" s="529" t="s">
        <v>1942</v>
      </c>
      <c r="B284" s="615" t="s">
        <v>567</v>
      </c>
      <c r="C284" s="235" t="s">
        <v>1182</v>
      </c>
      <c r="D284" s="472" t="s">
        <v>1943</v>
      </c>
      <c r="E284" s="576"/>
      <c r="F284" s="292">
        <f t="shared" si="47"/>
        <v>305.7</v>
      </c>
      <c r="G284" s="476"/>
      <c r="H284" s="476">
        <f t="shared" si="47"/>
        <v>200</v>
      </c>
      <c r="I284" s="476"/>
      <c r="J284" s="476">
        <f t="shared" si="47"/>
        <v>200</v>
      </c>
      <c r="K284" s="476"/>
      <c r="L284" s="466"/>
      <c r="N284" s="466"/>
      <c r="O284" s="466"/>
    </row>
    <row r="285" spans="1:15" s="442" customFormat="1" x14ac:dyDescent="0.25">
      <c r="A285" s="524" t="s">
        <v>1782</v>
      </c>
      <c r="B285" s="615" t="s">
        <v>567</v>
      </c>
      <c r="C285" s="235" t="s">
        <v>1182</v>
      </c>
      <c r="D285" s="472" t="s">
        <v>1943</v>
      </c>
      <c r="E285" s="584">
        <v>200</v>
      </c>
      <c r="F285" s="292">
        <f t="shared" si="47"/>
        <v>305.7</v>
      </c>
      <c r="G285" s="476"/>
      <c r="H285" s="476">
        <f t="shared" si="47"/>
        <v>200</v>
      </c>
      <c r="I285" s="476"/>
      <c r="J285" s="476">
        <f t="shared" si="47"/>
        <v>200</v>
      </c>
      <c r="K285" s="476"/>
      <c r="L285" s="466"/>
      <c r="N285" s="466"/>
      <c r="O285" s="466"/>
    </row>
    <row r="286" spans="1:15" s="442" customFormat="1" ht="31.5" x14ac:dyDescent="0.25">
      <c r="A286" s="524" t="s">
        <v>1274</v>
      </c>
      <c r="B286" s="615" t="s">
        <v>567</v>
      </c>
      <c r="C286" s="235" t="s">
        <v>1182</v>
      </c>
      <c r="D286" s="472" t="s">
        <v>1943</v>
      </c>
      <c r="E286" s="584">
        <v>240</v>
      </c>
      <c r="F286" s="292">
        <f>'ведом. 2021-2023'!AD171</f>
        <v>305.7</v>
      </c>
      <c r="G286" s="476"/>
      <c r="H286" s="476">
        <f>'ведом. 2021-2023'!AE171</f>
        <v>200</v>
      </c>
      <c r="I286" s="476"/>
      <c r="J286" s="476">
        <f>'ведом. 2021-2023'!AF171</f>
        <v>200</v>
      </c>
      <c r="K286" s="476"/>
      <c r="L286" s="466"/>
      <c r="N286" s="466"/>
      <c r="O286" s="466"/>
    </row>
    <row r="287" spans="1:15" s="442" customFormat="1" x14ac:dyDescent="0.25">
      <c r="A287" s="609" t="s">
        <v>1050</v>
      </c>
      <c r="B287" s="617" t="s">
        <v>193</v>
      </c>
      <c r="C287" s="247"/>
      <c r="D287" s="271"/>
      <c r="E287" s="576"/>
      <c r="F287" s="745">
        <f>F288+F300+F335</f>
        <v>43379.100000000006</v>
      </c>
      <c r="G287" s="479"/>
      <c r="H287" s="479">
        <f>H288+H300+H335</f>
        <v>27440.400000000001</v>
      </c>
      <c r="I287" s="479"/>
      <c r="J287" s="479">
        <f>J288+J300+J335</f>
        <v>27440.400000000001</v>
      </c>
      <c r="K287" s="479"/>
      <c r="L287" s="466"/>
      <c r="N287" s="466"/>
      <c r="O287" s="466"/>
    </row>
    <row r="288" spans="1:15" s="442" customFormat="1" x14ac:dyDescent="0.25">
      <c r="A288" s="520" t="s">
        <v>2315</v>
      </c>
      <c r="B288" s="615" t="s">
        <v>193</v>
      </c>
      <c r="C288" s="235" t="s">
        <v>406</v>
      </c>
      <c r="D288" s="249"/>
      <c r="E288" s="577"/>
      <c r="F288" s="292">
        <f>F289</f>
        <v>1319.9</v>
      </c>
      <c r="G288" s="476"/>
      <c r="H288" s="476">
        <f>H289</f>
        <v>1290</v>
      </c>
      <c r="I288" s="476"/>
      <c r="J288" s="476">
        <f>J289</f>
        <v>1290</v>
      </c>
      <c r="K288" s="476"/>
      <c r="L288" s="466"/>
      <c r="N288" s="466"/>
      <c r="O288" s="466"/>
    </row>
    <row r="289" spans="1:15" s="442" customFormat="1" ht="31.5" x14ac:dyDescent="0.25">
      <c r="A289" s="549" t="s">
        <v>1854</v>
      </c>
      <c r="B289" s="615" t="s">
        <v>193</v>
      </c>
      <c r="C289" s="235" t="s">
        <v>406</v>
      </c>
      <c r="D289" s="249" t="s">
        <v>1762</v>
      </c>
      <c r="E289" s="577"/>
      <c r="F289" s="292">
        <f>F290+F295</f>
        <v>1319.9</v>
      </c>
      <c r="G289" s="476"/>
      <c r="H289" s="476">
        <f>H290+H295</f>
        <v>1290</v>
      </c>
      <c r="I289" s="476"/>
      <c r="J289" s="476">
        <f>J290+J295</f>
        <v>1290</v>
      </c>
      <c r="K289" s="476"/>
      <c r="L289" s="466"/>
      <c r="N289" s="466"/>
      <c r="O289" s="466"/>
    </row>
    <row r="290" spans="1:15" s="442" customFormat="1" ht="31.5" x14ac:dyDescent="0.25">
      <c r="A290" s="549" t="s">
        <v>2276</v>
      </c>
      <c r="B290" s="615" t="s">
        <v>193</v>
      </c>
      <c r="C290" s="235" t="s">
        <v>406</v>
      </c>
      <c r="D290" s="443" t="s">
        <v>1763</v>
      </c>
      <c r="E290" s="577"/>
      <c r="F290" s="292">
        <f>F291</f>
        <v>807.9</v>
      </c>
      <c r="G290" s="476"/>
      <c r="H290" s="476">
        <f>H291</f>
        <v>593</v>
      </c>
      <c r="I290" s="476"/>
      <c r="J290" s="476">
        <f>J291</f>
        <v>593</v>
      </c>
      <c r="K290" s="476"/>
      <c r="L290" s="466"/>
      <c r="N290" s="466"/>
      <c r="O290" s="466"/>
    </row>
    <row r="291" spans="1:15" s="442" customFormat="1" ht="78.75" x14ac:dyDescent="0.25">
      <c r="A291" s="527" t="s">
        <v>2279</v>
      </c>
      <c r="B291" s="615" t="s">
        <v>193</v>
      </c>
      <c r="C291" s="235" t="s">
        <v>406</v>
      </c>
      <c r="D291" s="443" t="s">
        <v>1789</v>
      </c>
      <c r="E291" s="577"/>
      <c r="F291" s="292">
        <f t="shared" ref="F291:J292" si="48">F292</f>
        <v>807.9</v>
      </c>
      <c r="G291" s="476"/>
      <c r="H291" s="476">
        <f t="shared" si="48"/>
        <v>593</v>
      </c>
      <c r="I291" s="476"/>
      <c r="J291" s="476">
        <f t="shared" si="48"/>
        <v>593</v>
      </c>
      <c r="K291" s="476"/>
      <c r="L291" s="466"/>
      <c r="N291" s="466"/>
      <c r="O291" s="466"/>
    </row>
    <row r="292" spans="1:15" s="442" customFormat="1" ht="31.5" x14ac:dyDescent="0.25">
      <c r="A292" s="530" t="s">
        <v>1879</v>
      </c>
      <c r="B292" s="615" t="s">
        <v>193</v>
      </c>
      <c r="C292" s="235" t="s">
        <v>406</v>
      </c>
      <c r="D292" s="443" t="s">
        <v>1880</v>
      </c>
      <c r="E292" s="577"/>
      <c r="F292" s="292">
        <f>F293</f>
        <v>807.9</v>
      </c>
      <c r="G292" s="476"/>
      <c r="H292" s="476">
        <f t="shared" si="48"/>
        <v>593</v>
      </c>
      <c r="I292" s="476"/>
      <c r="J292" s="476">
        <f t="shared" si="48"/>
        <v>593</v>
      </c>
      <c r="K292" s="476"/>
      <c r="L292" s="466"/>
      <c r="N292" s="466"/>
      <c r="O292" s="466"/>
    </row>
    <row r="293" spans="1:15" s="442" customFormat="1" x14ac:dyDescent="0.25">
      <c r="A293" s="520" t="s">
        <v>1782</v>
      </c>
      <c r="B293" s="615" t="s">
        <v>193</v>
      </c>
      <c r="C293" s="235" t="s">
        <v>406</v>
      </c>
      <c r="D293" s="443" t="s">
        <v>1880</v>
      </c>
      <c r="E293" s="577">
        <v>200</v>
      </c>
      <c r="F293" s="292">
        <f>F294</f>
        <v>807.9</v>
      </c>
      <c r="G293" s="476"/>
      <c r="H293" s="476">
        <f>H294</f>
        <v>593</v>
      </c>
      <c r="I293" s="476"/>
      <c r="J293" s="476">
        <f>J294</f>
        <v>593</v>
      </c>
      <c r="K293" s="476"/>
      <c r="L293" s="466"/>
      <c r="N293" s="466"/>
      <c r="O293" s="466"/>
    </row>
    <row r="294" spans="1:15" s="442" customFormat="1" ht="31.5" x14ac:dyDescent="0.25">
      <c r="A294" s="520" t="s">
        <v>1274</v>
      </c>
      <c r="B294" s="615" t="s">
        <v>193</v>
      </c>
      <c r="C294" s="235" t="s">
        <v>406</v>
      </c>
      <c r="D294" s="443" t="s">
        <v>1880</v>
      </c>
      <c r="E294" s="577">
        <v>240</v>
      </c>
      <c r="F294" s="292">
        <f>'ведом. 2021-2023'!AD179</f>
        <v>807.9</v>
      </c>
      <c r="G294" s="476"/>
      <c r="H294" s="476">
        <f>'ведом. 2021-2023'!AE179</f>
        <v>593</v>
      </c>
      <c r="I294" s="476"/>
      <c r="J294" s="476">
        <f>'ведом. 2021-2023'!AF179</f>
        <v>593</v>
      </c>
      <c r="K294" s="476"/>
      <c r="L294" s="466"/>
      <c r="N294" s="466"/>
      <c r="O294" s="466"/>
    </row>
    <row r="295" spans="1:15" s="442" customFormat="1" ht="31.5" x14ac:dyDescent="0.25">
      <c r="A295" s="549" t="s">
        <v>2278</v>
      </c>
      <c r="B295" s="615" t="s">
        <v>193</v>
      </c>
      <c r="C295" s="235" t="s">
        <v>406</v>
      </c>
      <c r="D295" s="443" t="s">
        <v>1768</v>
      </c>
      <c r="E295" s="580"/>
      <c r="F295" s="292">
        <f>F296</f>
        <v>512</v>
      </c>
      <c r="G295" s="476"/>
      <c r="H295" s="476">
        <f>H296</f>
        <v>697</v>
      </c>
      <c r="I295" s="476"/>
      <c r="J295" s="476">
        <f>J296</f>
        <v>697</v>
      </c>
      <c r="K295" s="476"/>
      <c r="L295" s="466"/>
      <c r="N295" s="466"/>
      <c r="O295" s="466"/>
    </row>
    <row r="296" spans="1:15" s="442" customFormat="1" ht="31.5" x14ac:dyDescent="0.25">
      <c r="A296" s="530" t="s">
        <v>1882</v>
      </c>
      <c r="B296" s="615" t="s">
        <v>193</v>
      </c>
      <c r="C296" s="235" t="s">
        <v>406</v>
      </c>
      <c r="D296" s="443" t="s">
        <v>1791</v>
      </c>
      <c r="E296" s="580"/>
      <c r="F296" s="292">
        <f>F297</f>
        <v>512</v>
      </c>
      <c r="G296" s="476"/>
      <c r="H296" s="476">
        <f>H297</f>
        <v>697</v>
      </c>
      <c r="I296" s="476"/>
      <c r="J296" s="476">
        <f>J297</f>
        <v>697</v>
      </c>
      <c r="K296" s="476"/>
      <c r="L296" s="466"/>
      <c r="N296" s="466"/>
      <c r="O296" s="466"/>
    </row>
    <row r="297" spans="1:15" s="442" customFormat="1" ht="31.5" x14ac:dyDescent="0.25">
      <c r="A297" s="532" t="s">
        <v>1883</v>
      </c>
      <c r="B297" s="615" t="s">
        <v>193</v>
      </c>
      <c r="C297" s="235" t="s">
        <v>406</v>
      </c>
      <c r="D297" s="443" t="s">
        <v>1884</v>
      </c>
      <c r="E297" s="580"/>
      <c r="F297" s="292">
        <f>F298</f>
        <v>512</v>
      </c>
      <c r="G297" s="476"/>
      <c r="H297" s="476">
        <f>H298</f>
        <v>697</v>
      </c>
      <c r="I297" s="476"/>
      <c r="J297" s="476">
        <f>J298</f>
        <v>697</v>
      </c>
      <c r="K297" s="476"/>
      <c r="L297" s="466"/>
      <c r="N297" s="466"/>
      <c r="O297" s="466"/>
    </row>
    <row r="298" spans="1:15" s="442" customFormat="1" x14ac:dyDescent="0.25">
      <c r="A298" s="520" t="s">
        <v>1782</v>
      </c>
      <c r="B298" s="615" t="s">
        <v>193</v>
      </c>
      <c r="C298" s="235" t="s">
        <v>406</v>
      </c>
      <c r="D298" s="443" t="s">
        <v>1884</v>
      </c>
      <c r="E298" s="580" t="s">
        <v>821</v>
      </c>
      <c r="F298" s="292">
        <f>F299</f>
        <v>512</v>
      </c>
      <c r="G298" s="476"/>
      <c r="H298" s="476">
        <f>H299</f>
        <v>697</v>
      </c>
      <c r="I298" s="476"/>
      <c r="J298" s="476">
        <f>J299</f>
        <v>697</v>
      </c>
      <c r="K298" s="476"/>
      <c r="L298" s="466"/>
      <c r="N298" s="466"/>
      <c r="O298" s="466"/>
    </row>
    <row r="299" spans="1:15" s="442" customFormat="1" ht="31.5" x14ac:dyDescent="0.25">
      <c r="A299" s="520" t="s">
        <v>1274</v>
      </c>
      <c r="B299" s="615" t="s">
        <v>193</v>
      </c>
      <c r="C299" s="235" t="s">
        <v>406</v>
      </c>
      <c r="D299" s="443" t="s">
        <v>1884</v>
      </c>
      <c r="E299" s="580" t="s">
        <v>1480</v>
      </c>
      <c r="F299" s="292">
        <f>'ведом. 2021-2023'!AD184</f>
        <v>512</v>
      </c>
      <c r="G299" s="476"/>
      <c r="H299" s="476">
        <f>'ведом. 2021-2023'!AE184</f>
        <v>697</v>
      </c>
      <c r="I299" s="476"/>
      <c r="J299" s="476">
        <f>'ведом. 2021-2023'!AF184</f>
        <v>697</v>
      </c>
      <c r="K299" s="476"/>
      <c r="L299" s="466"/>
      <c r="N299" s="466"/>
      <c r="O299" s="466"/>
    </row>
    <row r="300" spans="1:15" s="442" customFormat="1" ht="31.5" x14ac:dyDescent="0.25">
      <c r="A300" s="520" t="s">
        <v>2326</v>
      </c>
      <c r="B300" s="615" t="s">
        <v>193</v>
      </c>
      <c r="C300" s="235" t="s">
        <v>768</v>
      </c>
      <c r="D300" s="249"/>
      <c r="E300" s="577"/>
      <c r="F300" s="292">
        <f>F301+F329</f>
        <v>22129.899999999998</v>
      </c>
      <c r="G300" s="476"/>
      <c r="H300" s="476">
        <f>H301+H329</f>
        <v>18952.400000000001</v>
      </c>
      <c r="I300" s="476"/>
      <c r="J300" s="476">
        <f>J301+J329</f>
        <v>18952.400000000001</v>
      </c>
      <c r="K300" s="476"/>
      <c r="L300" s="466"/>
      <c r="N300" s="466"/>
      <c r="O300" s="466"/>
    </row>
    <row r="301" spans="1:15" s="442" customFormat="1" ht="31.5" x14ac:dyDescent="0.25">
      <c r="A301" s="549" t="s">
        <v>1854</v>
      </c>
      <c r="B301" s="615" t="s">
        <v>193</v>
      </c>
      <c r="C301" s="235" t="s">
        <v>768</v>
      </c>
      <c r="D301" s="249" t="s">
        <v>1762</v>
      </c>
      <c r="E301" s="577"/>
      <c r="F301" s="292">
        <f>F302+F315+F320</f>
        <v>22125.399999999998</v>
      </c>
      <c r="G301" s="476"/>
      <c r="H301" s="476">
        <f>H302+H315+H320</f>
        <v>18947.900000000001</v>
      </c>
      <c r="I301" s="476"/>
      <c r="J301" s="476">
        <f>J302+J315+J320</f>
        <v>18947.900000000001</v>
      </c>
      <c r="K301" s="476"/>
      <c r="L301" s="466"/>
      <c r="N301" s="466"/>
      <c r="O301" s="466"/>
    </row>
    <row r="302" spans="1:15" s="442" customFormat="1" ht="47.25" x14ac:dyDescent="0.25">
      <c r="A302" s="549" t="s">
        <v>2339</v>
      </c>
      <c r="B302" s="615" t="s">
        <v>193</v>
      </c>
      <c r="C302" s="235" t="s">
        <v>768</v>
      </c>
      <c r="D302" s="443" t="s">
        <v>1767</v>
      </c>
      <c r="E302" s="580"/>
      <c r="F302" s="292">
        <f>F303+F309</f>
        <v>1450.1</v>
      </c>
      <c r="G302" s="476"/>
      <c r="H302" s="476">
        <f>H303+H309</f>
        <v>780</v>
      </c>
      <c r="I302" s="476"/>
      <c r="J302" s="476">
        <f>J303+J309</f>
        <v>780</v>
      </c>
      <c r="K302" s="476"/>
      <c r="L302" s="466"/>
      <c r="N302" s="466"/>
      <c r="O302" s="466"/>
    </row>
    <row r="303" spans="1:15" s="442" customFormat="1" ht="47.25" x14ac:dyDescent="0.25">
      <c r="A303" s="527" t="s">
        <v>2275</v>
      </c>
      <c r="B303" s="615" t="s">
        <v>193</v>
      </c>
      <c r="C303" s="235" t="s">
        <v>768</v>
      </c>
      <c r="D303" s="443" t="s">
        <v>1788</v>
      </c>
      <c r="E303" s="580"/>
      <c r="F303" s="292">
        <f>F304</f>
        <v>710</v>
      </c>
      <c r="G303" s="476"/>
      <c r="H303" s="476">
        <f>H304</f>
        <v>710</v>
      </c>
      <c r="I303" s="476"/>
      <c r="J303" s="476">
        <f>J304</f>
        <v>710</v>
      </c>
      <c r="K303" s="476"/>
      <c r="L303" s="466"/>
      <c r="N303" s="466"/>
      <c r="O303" s="466"/>
    </row>
    <row r="304" spans="1:15" s="442" customFormat="1" ht="31.5" x14ac:dyDescent="0.25">
      <c r="A304" s="530" t="s">
        <v>1872</v>
      </c>
      <c r="B304" s="615" t="s">
        <v>193</v>
      </c>
      <c r="C304" s="235" t="s">
        <v>768</v>
      </c>
      <c r="D304" s="443" t="s">
        <v>1873</v>
      </c>
      <c r="E304" s="580"/>
      <c r="F304" s="292">
        <f>F305+F308</f>
        <v>710</v>
      </c>
      <c r="G304" s="292"/>
      <c r="H304" s="292">
        <f t="shared" ref="H304:J304" si="49">H305+H308</f>
        <v>710</v>
      </c>
      <c r="I304" s="292"/>
      <c r="J304" s="292">
        <f t="shared" si="49"/>
        <v>710</v>
      </c>
      <c r="K304" s="476"/>
      <c r="L304" s="466"/>
      <c r="N304" s="466"/>
      <c r="O304" s="466"/>
    </row>
    <row r="305" spans="1:15" s="442" customFormat="1" x14ac:dyDescent="0.25">
      <c r="A305" s="524" t="s">
        <v>1782</v>
      </c>
      <c r="B305" s="615" t="s">
        <v>193</v>
      </c>
      <c r="C305" s="235" t="s">
        <v>768</v>
      </c>
      <c r="D305" s="443" t="s">
        <v>1873</v>
      </c>
      <c r="E305" s="585" t="s">
        <v>821</v>
      </c>
      <c r="F305" s="292">
        <f>F306</f>
        <v>644</v>
      </c>
      <c r="G305" s="476"/>
      <c r="H305" s="476">
        <f>H306</f>
        <v>710</v>
      </c>
      <c r="I305" s="476"/>
      <c r="J305" s="476">
        <f>J306</f>
        <v>710</v>
      </c>
      <c r="K305" s="476"/>
      <c r="L305" s="466"/>
      <c r="N305" s="466"/>
      <c r="O305" s="466"/>
    </row>
    <row r="306" spans="1:15" s="442" customFormat="1" ht="31.5" x14ac:dyDescent="0.25">
      <c r="A306" s="524" t="s">
        <v>1274</v>
      </c>
      <c r="B306" s="615" t="s">
        <v>193</v>
      </c>
      <c r="C306" s="235" t="s">
        <v>768</v>
      </c>
      <c r="D306" s="443" t="s">
        <v>1873</v>
      </c>
      <c r="E306" s="585" t="s">
        <v>1480</v>
      </c>
      <c r="F306" s="292">
        <f>'ведом. 2021-2023'!AD191</f>
        <v>644</v>
      </c>
      <c r="G306" s="476"/>
      <c r="H306" s="476">
        <f xml:space="preserve"> 'ведом. 2021-2023'!AE191</f>
        <v>710</v>
      </c>
      <c r="I306" s="476"/>
      <c r="J306" s="476">
        <f>'ведом. 2021-2023'!AF191</f>
        <v>710</v>
      </c>
      <c r="K306" s="476"/>
      <c r="L306" s="466"/>
      <c r="N306" s="466"/>
      <c r="O306" s="466"/>
    </row>
    <row r="307" spans="1:15" s="514" customFormat="1" ht="31.5" x14ac:dyDescent="0.25">
      <c r="A307" s="520" t="s">
        <v>1343</v>
      </c>
      <c r="B307" s="615" t="s">
        <v>193</v>
      </c>
      <c r="C307" s="235" t="s">
        <v>768</v>
      </c>
      <c r="D307" s="443" t="s">
        <v>1873</v>
      </c>
      <c r="E307" s="580" t="s">
        <v>2397</v>
      </c>
      <c r="F307" s="292">
        <f>F308</f>
        <v>66</v>
      </c>
      <c r="G307" s="292"/>
      <c r="H307" s="292">
        <f t="shared" ref="H307:J307" si="50">H308</f>
        <v>0</v>
      </c>
      <c r="I307" s="292"/>
      <c r="J307" s="292">
        <f t="shared" si="50"/>
        <v>0</v>
      </c>
      <c r="K307" s="476"/>
      <c r="L307" s="466"/>
      <c r="N307" s="466"/>
      <c r="O307" s="466"/>
    </row>
    <row r="308" spans="1:15" s="514" customFormat="1" x14ac:dyDescent="0.25">
      <c r="A308" s="520" t="s">
        <v>1344</v>
      </c>
      <c r="B308" s="615" t="s">
        <v>193</v>
      </c>
      <c r="C308" s="235" t="s">
        <v>768</v>
      </c>
      <c r="D308" s="443" t="s">
        <v>1873</v>
      </c>
      <c r="E308" s="580" t="s">
        <v>2398</v>
      </c>
      <c r="F308" s="292">
        <f>'ведом. 2021-2023'!AD708</f>
        <v>66</v>
      </c>
      <c r="G308" s="476"/>
      <c r="H308" s="476">
        <f>'ведом. 2021-2023'!AE708</f>
        <v>0</v>
      </c>
      <c r="I308" s="476"/>
      <c r="J308" s="476">
        <f>'ведом. 2021-2023'!AF708</f>
        <v>0</v>
      </c>
      <c r="K308" s="476"/>
      <c r="L308" s="466"/>
      <c r="N308" s="466"/>
      <c r="O308" s="466"/>
    </row>
    <row r="309" spans="1:15" s="442" customFormat="1" ht="31.5" x14ac:dyDescent="0.25">
      <c r="A309" s="530" t="s">
        <v>2274</v>
      </c>
      <c r="B309" s="615" t="s">
        <v>193</v>
      </c>
      <c r="C309" s="235" t="s">
        <v>768</v>
      </c>
      <c r="D309" s="443" t="s">
        <v>1874</v>
      </c>
      <c r="E309" s="238"/>
      <c r="F309" s="292">
        <f>F310</f>
        <v>740.1</v>
      </c>
      <c r="G309" s="476"/>
      <c r="H309" s="476">
        <f>H310</f>
        <v>70</v>
      </c>
      <c r="I309" s="476"/>
      <c r="J309" s="476">
        <f>J310</f>
        <v>70</v>
      </c>
      <c r="K309" s="476"/>
      <c r="L309" s="466"/>
      <c r="N309" s="466"/>
      <c r="O309" s="466"/>
    </row>
    <row r="310" spans="1:15" s="442" customFormat="1" ht="31.5" x14ac:dyDescent="0.25">
      <c r="A310" s="530" t="s">
        <v>1875</v>
      </c>
      <c r="B310" s="615" t="s">
        <v>193</v>
      </c>
      <c r="C310" s="235" t="s">
        <v>768</v>
      </c>
      <c r="D310" s="443" t="s">
        <v>1876</v>
      </c>
      <c r="E310" s="238"/>
      <c r="F310" s="292">
        <f>F311+F313</f>
        <v>740.1</v>
      </c>
      <c r="G310" s="292"/>
      <c r="H310" s="292">
        <f>H311+H313</f>
        <v>70</v>
      </c>
      <c r="I310" s="292"/>
      <c r="J310" s="292">
        <f>J311+J313</f>
        <v>70</v>
      </c>
      <c r="K310" s="476"/>
      <c r="L310" s="466"/>
      <c r="N310" s="466"/>
      <c r="O310" s="466"/>
    </row>
    <row r="311" spans="1:15" s="442" customFormat="1" x14ac:dyDescent="0.25">
      <c r="A311" s="520" t="s">
        <v>1782</v>
      </c>
      <c r="B311" s="615" t="s">
        <v>193</v>
      </c>
      <c r="C311" s="235" t="s">
        <v>768</v>
      </c>
      <c r="D311" s="443" t="s">
        <v>1876</v>
      </c>
      <c r="E311" s="580" t="s">
        <v>821</v>
      </c>
      <c r="F311" s="292">
        <f>F312</f>
        <v>40.1</v>
      </c>
      <c r="G311" s="292"/>
      <c r="H311" s="292">
        <f>H312</f>
        <v>70</v>
      </c>
      <c r="I311" s="292"/>
      <c r="J311" s="292">
        <f>J312</f>
        <v>70</v>
      </c>
      <c r="K311" s="476"/>
      <c r="L311" s="466"/>
      <c r="N311" s="466"/>
      <c r="O311" s="466"/>
    </row>
    <row r="312" spans="1:15" s="514" customFormat="1" ht="31.5" x14ac:dyDescent="0.25">
      <c r="A312" s="520" t="s">
        <v>1274</v>
      </c>
      <c r="B312" s="615" t="s">
        <v>193</v>
      </c>
      <c r="C312" s="235" t="s">
        <v>768</v>
      </c>
      <c r="D312" s="443" t="s">
        <v>1876</v>
      </c>
      <c r="E312" s="580" t="s">
        <v>1480</v>
      </c>
      <c r="F312" s="292">
        <f>'ведом. 2021-2023'!AD195</f>
        <v>40.1</v>
      </c>
      <c r="G312" s="292"/>
      <c r="H312" s="292">
        <f>'ведом. 2021-2023'!AE195</f>
        <v>70</v>
      </c>
      <c r="I312" s="292"/>
      <c r="J312" s="292">
        <f>'ведом. 2021-2023'!AF195</f>
        <v>70</v>
      </c>
      <c r="K312" s="476"/>
      <c r="L312" s="466"/>
      <c r="N312" s="466"/>
      <c r="O312" s="466"/>
    </row>
    <row r="313" spans="1:15" s="514" customFormat="1" ht="31.5" x14ac:dyDescent="0.25">
      <c r="A313" s="520" t="s">
        <v>1343</v>
      </c>
      <c r="B313" s="615" t="s">
        <v>193</v>
      </c>
      <c r="C313" s="235" t="s">
        <v>768</v>
      </c>
      <c r="D313" s="443" t="s">
        <v>1876</v>
      </c>
      <c r="E313" s="580" t="s">
        <v>2397</v>
      </c>
      <c r="F313" s="292">
        <f>F314</f>
        <v>700</v>
      </c>
      <c r="G313" s="292"/>
      <c r="H313" s="292">
        <f>H314</f>
        <v>0</v>
      </c>
      <c r="I313" s="292"/>
      <c r="J313" s="292">
        <f>J314</f>
        <v>0</v>
      </c>
      <c r="K313" s="476"/>
      <c r="L313" s="466"/>
      <c r="N313" s="466"/>
      <c r="O313" s="466"/>
    </row>
    <row r="314" spans="1:15" s="514" customFormat="1" x14ac:dyDescent="0.25">
      <c r="A314" s="520" t="s">
        <v>1344</v>
      </c>
      <c r="B314" s="615" t="s">
        <v>193</v>
      </c>
      <c r="C314" s="235" t="s">
        <v>768</v>
      </c>
      <c r="D314" s="443" t="s">
        <v>1876</v>
      </c>
      <c r="E314" s="580" t="s">
        <v>2398</v>
      </c>
      <c r="F314" s="292">
        <f>'ведом. 2021-2023'!AD197</f>
        <v>700</v>
      </c>
      <c r="G314" s="292"/>
      <c r="H314" s="292">
        <f>'ведом. 2021-2023'!AE197</f>
        <v>0</v>
      </c>
      <c r="I314" s="292"/>
      <c r="J314" s="292">
        <f>'ведом. 2021-2023'!AF197</f>
        <v>0</v>
      </c>
      <c r="K314" s="476"/>
      <c r="L314" s="466"/>
      <c r="N314" s="466"/>
      <c r="O314" s="466"/>
    </row>
    <row r="315" spans="1:15" s="442" customFormat="1" ht="31.5" x14ac:dyDescent="0.25">
      <c r="A315" s="549" t="s">
        <v>2277</v>
      </c>
      <c r="B315" s="615" t="s">
        <v>193</v>
      </c>
      <c r="C315" s="235" t="s">
        <v>768</v>
      </c>
      <c r="D315" s="443" t="s">
        <v>1764</v>
      </c>
      <c r="E315" s="238"/>
      <c r="F315" s="292">
        <f>F316</f>
        <v>478.3</v>
      </c>
      <c r="G315" s="476"/>
      <c r="H315" s="476">
        <f>H316</f>
        <v>656</v>
      </c>
      <c r="I315" s="476"/>
      <c r="J315" s="476">
        <f>J316</f>
        <v>656</v>
      </c>
      <c r="K315" s="476"/>
      <c r="L315" s="466"/>
      <c r="N315" s="466"/>
      <c r="O315" s="466"/>
    </row>
    <row r="316" spans="1:15" s="442" customFormat="1" x14ac:dyDescent="0.25">
      <c r="A316" s="530" t="s">
        <v>1881</v>
      </c>
      <c r="B316" s="615" t="s">
        <v>193</v>
      </c>
      <c r="C316" s="235" t="s">
        <v>768</v>
      </c>
      <c r="D316" s="443" t="s">
        <v>1790</v>
      </c>
      <c r="E316" s="580"/>
      <c r="F316" s="292">
        <f>F317</f>
        <v>478.3</v>
      </c>
      <c r="G316" s="476"/>
      <c r="H316" s="476">
        <f>H317</f>
        <v>656</v>
      </c>
      <c r="I316" s="476"/>
      <c r="J316" s="476">
        <f>J317</f>
        <v>656</v>
      </c>
      <c r="K316" s="476"/>
      <c r="L316" s="466"/>
      <c r="N316" s="466"/>
      <c r="O316" s="466"/>
    </row>
    <row r="317" spans="1:15" s="442" customFormat="1" x14ac:dyDescent="0.25">
      <c r="A317" s="520" t="s">
        <v>1877</v>
      </c>
      <c r="B317" s="615" t="s">
        <v>193</v>
      </c>
      <c r="C317" s="235" t="s">
        <v>768</v>
      </c>
      <c r="D317" s="443" t="s">
        <v>1878</v>
      </c>
      <c r="E317" s="238"/>
      <c r="F317" s="292">
        <f>F318</f>
        <v>478.3</v>
      </c>
      <c r="G317" s="292"/>
      <c r="H317" s="292">
        <f t="shared" ref="H317:J317" si="51">H318</f>
        <v>656</v>
      </c>
      <c r="I317" s="292"/>
      <c r="J317" s="292">
        <f t="shared" si="51"/>
        <v>656</v>
      </c>
      <c r="K317" s="476"/>
      <c r="L317" s="466"/>
      <c r="N317" s="466"/>
      <c r="O317" s="466"/>
    </row>
    <row r="318" spans="1:15" s="442" customFormat="1" x14ac:dyDescent="0.25">
      <c r="A318" s="520" t="s">
        <v>1782</v>
      </c>
      <c r="B318" s="615" t="s">
        <v>193</v>
      </c>
      <c r="C318" s="235" t="s">
        <v>768</v>
      </c>
      <c r="D318" s="443" t="s">
        <v>1878</v>
      </c>
      <c r="E318" s="580" t="s">
        <v>821</v>
      </c>
      <c r="F318" s="292">
        <f>F319</f>
        <v>478.3</v>
      </c>
      <c r="G318" s="476"/>
      <c r="H318" s="476">
        <f>H319</f>
        <v>656</v>
      </c>
      <c r="I318" s="476"/>
      <c r="J318" s="476">
        <f>J319</f>
        <v>656</v>
      </c>
      <c r="K318" s="476"/>
      <c r="L318" s="466"/>
      <c r="N318" s="466"/>
      <c r="O318" s="466"/>
    </row>
    <row r="319" spans="1:15" s="442" customFormat="1" ht="31.5" x14ac:dyDescent="0.25">
      <c r="A319" s="520" t="s">
        <v>1274</v>
      </c>
      <c r="B319" s="615" t="s">
        <v>193</v>
      </c>
      <c r="C319" s="235" t="s">
        <v>768</v>
      </c>
      <c r="D319" s="443" t="s">
        <v>1878</v>
      </c>
      <c r="E319" s="580" t="s">
        <v>1480</v>
      </c>
      <c r="F319" s="292">
        <f>'ведом. 2021-2023'!AD202</f>
        <v>478.3</v>
      </c>
      <c r="G319" s="476"/>
      <c r="H319" s="476">
        <f>'ведом. 2021-2023'!AE202</f>
        <v>656</v>
      </c>
      <c r="I319" s="476"/>
      <c r="J319" s="476">
        <f>'ведом. 2021-2023'!AF202</f>
        <v>656</v>
      </c>
      <c r="K319" s="476"/>
      <c r="L319" s="466"/>
      <c r="N319" s="466"/>
      <c r="O319" s="466"/>
    </row>
    <row r="320" spans="1:15" s="514" customFormat="1" x14ac:dyDescent="0.25">
      <c r="A320" s="530" t="s">
        <v>1161</v>
      </c>
      <c r="B320" s="615" t="s">
        <v>193</v>
      </c>
      <c r="C320" s="235" t="s">
        <v>768</v>
      </c>
      <c r="D320" s="443" t="s">
        <v>1765</v>
      </c>
      <c r="E320" s="580"/>
      <c r="F320" s="292">
        <f>F321</f>
        <v>20196.999999999996</v>
      </c>
      <c r="G320" s="476"/>
      <c r="H320" s="476">
        <f>H321</f>
        <v>17511.900000000001</v>
      </c>
      <c r="I320" s="476"/>
      <c r="J320" s="476">
        <f>J321</f>
        <v>17511.900000000001</v>
      </c>
      <c r="K320" s="476"/>
      <c r="L320" s="466"/>
      <c r="N320" s="466"/>
      <c r="O320" s="466"/>
    </row>
    <row r="321" spans="1:15" s="514" customFormat="1" ht="31.5" x14ac:dyDescent="0.25">
      <c r="A321" s="530" t="s">
        <v>2043</v>
      </c>
      <c r="B321" s="615" t="s">
        <v>193</v>
      </c>
      <c r="C321" s="235" t="s">
        <v>768</v>
      </c>
      <c r="D321" s="443" t="s">
        <v>2248</v>
      </c>
      <c r="E321" s="580"/>
      <c r="F321" s="292">
        <f>F322</f>
        <v>20196.999999999996</v>
      </c>
      <c r="G321" s="476"/>
      <c r="H321" s="476">
        <f>H322</f>
        <v>17511.900000000001</v>
      </c>
      <c r="I321" s="476"/>
      <c r="J321" s="476">
        <f>J322</f>
        <v>17511.900000000001</v>
      </c>
      <c r="K321" s="476"/>
      <c r="L321" s="466"/>
      <c r="N321" s="466"/>
      <c r="O321" s="466"/>
    </row>
    <row r="322" spans="1:15" s="442" customFormat="1" x14ac:dyDescent="0.25">
      <c r="A322" s="530" t="s">
        <v>1885</v>
      </c>
      <c r="B322" s="615" t="s">
        <v>193</v>
      </c>
      <c r="C322" s="235" t="s">
        <v>768</v>
      </c>
      <c r="D322" s="443" t="s">
        <v>1886</v>
      </c>
      <c r="E322" s="580"/>
      <c r="F322" s="292">
        <f>F323+F325+F327</f>
        <v>20196.999999999996</v>
      </c>
      <c r="G322" s="476"/>
      <c r="H322" s="476">
        <f>H323+H325+H327</f>
        <v>17511.900000000001</v>
      </c>
      <c r="I322" s="476"/>
      <c r="J322" s="476">
        <f>J323+J325+J327</f>
        <v>17511.900000000001</v>
      </c>
      <c r="K322" s="476"/>
      <c r="L322" s="466"/>
      <c r="N322" s="466"/>
      <c r="O322" s="466"/>
    </row>
    <row r="323" spans="1:15" s="442" customFormat="1" ht="47.25" x14ac:dyDescent="0.25">
      <c r="A323" s="520" t="s">
        <v>1834</v>
      </c>
      <c r="B323" s="615" t="s">
        <v>193</v>
      </c>
      <c r="C323" s="235" t="s">
        <v>768</v>
      </c>
      <c r="D323" s="443" t="s">
        <v>1886</v>
      </c>
      <c r="E323" s="580" t="s">
        <v>1798</v>
      </c>
      <c r="F323" s="292">
        <f>F324</f>
        <v>17768.899999999998</v>
      </c>
      <c r="G323" s="476"/>
      <c r="H323" s="476">
        <f>H324</f>
        <v>15082.9</v>
      </c>
      <c r="I323" s="476"/>
      <c r="J323" s="476">
        <f>J324</f>
        <v>15082.9</v>
      </c>
      <c r="K323" s="476"/>
      <c r="L323" s="466"/>
      <c r="N323" s="466"/>
      <c r="O323" s="466"/>
    </row>
    <row r="324" spans="1:15" s="442" customFormat="1" x14ac:dyDescent="0.25">
      <c r="A324" s="520" t="s">
        <v>1569</v>
      </c>
      <c r="B324" s="615" t="s">
        <v>193</v>
      </c>
      <c r="C324" s="235" t="s">
        <v>768</v>
      </c>
      <c r="D324" s="443" t="s">
        <v>1886</v>
      </c>
      <c r="E324" s="580" t="s">
        <v>1799</v>
      </c>
      <c r="F324" s="292">
        <f>'ведом. 2021-2023'!AD207</f>
        <v>17768.899999999998</v>
      </c>
      <c r="G324" s="476"/>
      <c r="H324" s="476">
        <f>'ведом. 2021-2023'!AE207</f>
        <v>15082.9</v>
      </c>
      <c r="I324" s="476"/>
      <c r="J324" s="476">
        <f>'ведом. 2021-2023'!AF207</f>
        <v>15082.9</v>
      </c>
      <c r="K324" s="476"/>
      <c r="L324" s="466"/>
      <c r="N324" s="466"/>
      <c r="O324" s="466"/>
    </row>
    <row r="325" spans="1:15" s="442" customFormat="1" x14ac:dyDescent="0.25">
      <c r="A325" s="520" t="s">
        <v>1782</v>
      </c>
      <c r="B325" s="615" t="s">
        <v>193</v>
      </c>
      <c r="C325" s="235" t="s">
        <v>768</v>
      </c>
      <c r="D325" s="443" t="s">
        <v>1886</v>
      </c>
      <c r="E325" s="580" t="s">
        <v>821</v>
      </c>
      <c r="F325" s="292">
        <f>F326</f>
        <v>2428</v>
      </c>
      <c r="G325" s="476"/>
      <c r="H325" s="476">
        <f>H326</f>
        <v>2429</v>
      </c>
      <c r="I325" s="476"/>
      <c r="J325" s="476">
        <f>J326</f>
        <v>2429</v>
      </c>
      <c r="K325" s="476"/>
      <c r="L325" s="466"/>
      <c r="N325" s="466"/>
      <c r="O325" s="466"/>
    </row>
    <row r="326" spans="1:15" s="442" customFormat="1" ht="31.5" x14ac:dyDescent="0.25">
      <c r="A326" s="520" t="s">
        <v>1274</v>
      </c>
      <c r="B326" s="615" t="s">
        <v>193</v>
      </c>
      <c r="C326" s="235" t="s">
        <v>768</v>
      </c>
      <c r="D326" s="443" t="s">
        <v>1886</v>
      </c>
      <c r="E326" s="580" t="s">
        <v>1480</v>
      </c>
      <c r="F326" s="292">
        <f>'ведом. 2021-2023'!AD209</f>
        <v>2428</v>
      </c>
      <c r="G326" s="476"/>
      <c r="H326" s="476">
        <f>'ведом. 2021-2023'!AE209</f>
        <v>2429</v>
      </c>
      <c r="I326" s="476"/>
      <c r="J326" s="476">
        <f>'ведом. 2021-2023'!AF209</f>
        <v>2429</v>
      </c>
      <c r="K326" s="476"/>
      <c r="L326" s="466"/>
      <c r="N326" s="466"/>
      <c r="O326" s="466"/>
    </row>
    <row r="327" spans="1:15" s="514" customFormat="1" x14ac:dyDescent="0.25">
      <c r="A327" s="520" t="s">
        <v>924</v>
      </c>
      <c r="B327" s="615" t="s">
        <v>193</v>
      </c>
      <c r="C327" s="235" t="s">
        <v>768</v>
      </c>
      <c r="D327" s="443" t="s">
        <v>1886</v>
      </c>
      <c r="E327" s="580" t="s">
        <v>2242</v>
      </c>
      <c r="F327" s="292">
        <f>F328</f>
        <v>0.1</v>
      </c>
      <c r="G327" s="476"/>
      <c r="H327" s="476">
        <f>H328</f>
        <v>0</v>
      </c>
      <c r="I327" s="476"/>
      <c r="J327" s="476">
        <f>J328</f>
        <v>0</v>
      </c>
      <c r="K327" s="476"/>
      <c r="L327" s="466"/>
      <c r="N327" s="466"/>
      <c r="O327" s="466"/>
    </row>
    <row r="328" spans="1:15" s="514" customFormat="1" x14ac:dyDescent="0.25">
      <c r="A328" s="520" t="s">
        <v>1320</v>
      </c>
      <c r="B328" s="615" t="s">
        <v>193</v>
      </c>
      <c r="C328" s="235" t="s">
        <v>768</v>
      </c>
      <c r="D328" s="443" t="s">
        <v>1886</v>
      </c>
      <c r="E328" s="580" t="s">
        <v>2394</v>
      </c>
      <c r="F328" s="292">
        <f>'ведом. 2021-2023'!AD211</f>
        <v>0.1</v>
      </c>
      <c r="G328" s="476"/>
      <c r="H328" s="476">
        <f>'ведом. 2021-2023'!AE211</f>
        <v>0</v>
      </c>
      <c r="I328" s="476"/>
      <c r="J328" s="476">
        <f>'ведом. 2021-2023'!AF211</f>
        <v>0</v>
      </c>
      <c r="K328" s="476"/>
      <c r="L328" s="466"/>
      <c r="N328" s="466"/>
      <c r="O328" s="466"/>
    </row>
    <row r="329" spans="1:15" s="442" customFormat="1" ht="31.5" x14ac:dyDescent="0.25">
      <c r="A329" s="521" t="s">
        <v>2104</v>
      </c>
      <c r="B329" s="615" t="s">
        <v>193</v>
      </c>
      <c r="C329" s="235" t="s">
        <v>768</v>
      </c>
      <c r="D329" s="443" t="s">
        <v>1806</v>
      </c>
      <c r="E329" s="238"/>
      <c r="F329" s="292">
        <f>F330</f>
        <v>4.5</v>
      </c>
      <c r="G329" s="476"/>
      <c r="H329" s="476">
        <f>H330</f>
        <v>4.5</v>
      </c>
      <c r="I329" s="476"/>
      <c r="J329" s="476">
        <f>J330</f>
        <v>4.5</v>
      </c>
      <c r="K329" s="476"/>
      <c r="L329" s="466"/>
      <c r="N329" s="466"/>
      <c r="O329" s="466"/>
    </row>
    <row r="330" spans="1:15" s="442" customFormat="1" ht="47.25" x14ac:dyDescent="0.25">
      <c r="A330" s="521" t="s">
        <v>2105</v>
      </c>
      <c r="B330" s="615" t="s">
        <v>193</v>
      </c>
      <c r="C330" s="235" t="s">
        <v>768</v>
      </c>
      <c r="D330" s="443" t="s">
        <v>2106</v>
      </c>
      <c r="E330" s="238"/>
      <c r="F330" s="292">
        <f>F331</f>
        <v>4.5</v>
      </c>
      <c r="G330" s="476"/>
      <c r="H330" s="476">
        <f>H331</f>
        <v>4.5</v>
      </c>
      <c r="I330" s="476"/>
      <c r="J330" s="476">
        <f>J331</f>
        <v>4.5</v>
      </c>
      <c r="K330" s="476"/>
      <c r="L330" s="466"/>
      <c r="N330" s="466"/>
      <c r="O330" s="466"/>
    </row>
    <row r="331" spans="1:15" s="442" customFormat="1" ht="31.5" x14ac:dyDescent="0.25">
      <c r="A331" s="529" t="s">
        <v>2107</v>
      </c>
      <c r="B331" s="615" t="s">
        <v>193</v>
      </c>
      <c r="C331" s="235" t="s">
        <v>768</v>
      </c>
      <c r="D331" s="443" t="s">
        <v>2108</v>
      </c>
      <c r="E331" s="238"/>
      <c r="F331" s="292">
        <f>F332</f>
        <v>4.5</v>
      </c>
      <c r="G331" s="476"/>
      <c r="H331" s="476">
        <f>H332</f>
        <v>4.5</v>
      </c>
      <c r="I331" s="476"/>
      <c r="J331" s="476">
        <f>J332</f>
        <v>4.5</v>
      </c>
      <c r="K331" s="476"/>
      <c r="L331" s="466"/>
      <c r="N331" s="466"/>
      <c r="O331" s="466"/>
    </row>
    <row r="332" spans="1:15" s="442" customFormat="1" ht="94.5" x14ac:dyDescent="0.25">
      <c r="A332" s="529" t="s">
        <v>2244</v>
      </c>
      <c r="B332" s="615" t="s">
        <v>193</v>
      </c>
      <c r="C332" s="235" t="s">
        <v>768</v>
      </c>
      <c r="D332" s="472" t="s">
        <v>2109</v>
      </c>
      <c r="E332" s="238"/>
      <c r="F332" s="292">
        <f>F333</f>
        <v>4.5</v>
      </c>
      <c r="G332" s="476"/>
      <c r="H332" s="476">
        <f>H333</f>
        <v>4.5</v>
      </c>
      <c r="I332" s="476"/>
      <c r="J332" s="476">
        <f>J333</f>
        <v>4.5</v>
      </c>
      <c r="K332" s="476"/>
      <c r="L332" s="466"/>
      <c r="N332" s="466"/>
      <c r="O332" s="466"/>
    </row>
    <row r="333" spans="1:15" s="442" customFormat="1" x14ac:dyDescent="0.25">
      <c r="A333" s="520" t="s">
        <v>1782</v>
      </c>
      <c r="B333" s="615" t="s">
        <v>193</v>
      </c>
      <c r="C333" s="235" t="s">
        <v>768</v>
      </c>
      <c r="D333" s="472" t="s">
        <v>2109</v>
      </c>
      <c r="E333" s="238">
        <v>200</v>
      </c>
      <c r="F333" s="292">
        <f>F334</f>
        <v>4.5</v>
      </c>
      <c r="G333" s="476"/>
      <c r="H333" s="476">
        <f>H334</f>
        <v>4.5</v>
      </c>
      <c r="I333" s="476"/>
      <c r="J333" s="476">
        <f>J334</f>
        <v>4.5</v>
      </c>
      <c r="K333" s="476"/>
      <c r="L333" s="466"/>
      <c r="N333" s="466"/>
      <c r="O333" s="466"/>
    </row>
    <row r="334" spans="1:15" s="442" customFormat="1" ht="31.5" x14ac:dyDescent="0.25">
      <c r="A334" s="520" t="s">
        <v>1274</v>
      </c>
      <c r="B334" s="615" t="s">
        <v>193</v>
      </c>
      <c r="C334" s="235" t="s">
        <v>768</v>
      </c>
      <c r="D334" s="472" t="s">
        <v>2109</v>
      </c>
      <c r="E334" s="238">
        <v>240</v>
      </c>
      <c r="F334" s="292">
        <f>'ведом. 2021-2023'!AD217</f>
        <v>4.5</v>
      </c>
      <c r="G334" s="476"/>
      <c r="H334" s="476">
        <f>'ведом. 2021-2023'!AE217</f>
        <v>4.5</v>
      </c>
      <c r="I334" s="476"/>
      <c r="J334" s="476">
        <f>'ведом. 2021-2023'!AF217</f>
        <v>4.5</v>
      </c>
      <c r="K334" s="476"/>
      <c r="L334" s="466"/>
      <c r="N334" s="466"/>
      <c r="O334" s="466"/>
    </row>
    <row r="335" spans="1:15" s="442" customFormat="1" ht="31.5" x14ac:dyDescent="0.25">
      <c r="A335" s="520" t="s">
        <v>1835</v>
      </c>
      <c r="B335" s="615" t="s">
        <v>193</v>
      </c>
      <c r="C335" s="235">
        <v>14</v>
      </c>
      <c r="D335" s="249"/>
      <c r="E335" s="580"/>
      <c r="F335" s="292">
        <f>F336</f>
        <v>19929.300000000003</v>
      </c>
      <c r="G335" s="476"/>
      <c r="H335" s="476">
        <f>H336</f>
        <v>7198</v>
      </c>
      <c r="I335" s="476"/>
      <c r="J335" s="476">
        <f>J336</f>
        <v>7198</v>
      </c>
      <c r="K335" s="476"/>
      <c r="L335" s="466"/>
      <c r="N335" s="466"/>
      <c r="O335" s="466"/>
    </row>
    <row r="336" spans="1:15" s="442" customFormat="1" ht="31.5" x14ac:dyDescent="0.25">
      <c r="A336" s="549" t="s">
        <v>1854</v>
      </c>
      <c r="B336" s="615" t="s">
        <v>193</v>
      </c>
      <c r="C336" s="235">
        <v>14</v>
      </c>
      <c r="D336" s="249" t="s">
        <v>1762</v>
      </c>
      <c r="E336" s="580"/>
      <c r="F336" s="292">
        <f>F337</f>
        <v>19929.300000000003</v>
      </c>
      <c r="G336" s="476"/>
      <c r="H336" s="476">
        <f>H337</f>
        <v>7198</v>
      </c>
      <c r="I336" s="476"/>
      <c r="J336" s="476">
        <f>J337</f>
        <v>7198</v>
      </c>
      <c r="K336" s="476"/>
      <c r="L336" s="466"/>
      <c r="N336" s="466"/>
      <c r="O336" s="466"/>
    </row>
    <row r="337" spans="1:15" s="442" customFormat="1" x14ac:dyDescent="0.25">
      <c r="A337" s="549" t="s">
        <v>1855</v>
      </c>
      <c r="B337" s="615" t="s">
        <v>193</v>
      </c>
      <c r="C337" s="235">
        <v>14</v>
      </c>
      <c r="D337" s="249" t="s">
        <v>1766</v>
      </c>
      <c r="E337" s="580"/>
      <c r="F337" s="292">
        <f>F338+F343+F349+F353</f>
        <v>19929.300000000003</v>
      </c>
      <c r="G337" s="476"/>
      <c r="H337" s="476">
        <f>H338+H343+H349+H353</f>
        <v>7198</v>
      </c>
      <c r="I337" s="476"/>
      <c r="J337" s="476">
        <f>J338+J343+J349+J353</f>
        <v>7198</v>
      </c>
      <c r="K337" s="476"/>
      <c r="L337" s="466"/>
      <c r="N337" s="466"/>
      <c r="O337" s="466"/>
    </row>
    <row r="338" spans="1:15" s="442" customFormat="1" ht="47.25" x14ac:dyDescent="0.25">
      <c r="A338" s="515" t="s">
        <v>2255</v>
      </c>
      <c r="B338" s="615" t="s">
        <v>193</v>
      </c>
      <c r="C338" s="235">
        <v>14</v>
      </c>
      <c r="D338" s="443" t="s">
        <v>1786</v>
      </c>
      <c r="E338" s="580"/>
      <c r="F338" s="292">
        <f>F339</f>
        <v>270.99999999999994</v>
      </c>
      <c r="G338" s="476"/>
      <c r="H338" s="476">
        <f>H339</f>
        <v>400</v>
      </c>
      <c r="I338" s="476"/>
      <c r="J338" s="476">
        <f>J339</f>
        <v>400</v>
      </c>
      <c r="K338" s="476"/>
      <c r="L338" s="466"/>
      <c r="N338" s="466"/>
      <c r="O338" s="466"/>
    </row>
    <row r="339" spans="1:15" s="442" customFormat="1" ht="47.25" x14ac:dyDescent="0.25">
      <c r="A339" s="549" t="s">
        <v>1856</v>
      </c>
      <c r="B339" s="615" t="s">
        <v>193</v>
      </c>
      <c r="C339" s="235">
        <v>14</v>
      </c>
      <c r="D339" s="443" t="s">
        <v>1857</v>
      </c>
      <c r="E339" s="580"/>
      <c r="F339" s="292">
        <f>F340</f>
        <v>270.99999999999994</v>
      </c>
      <c r="G339" s="476"/>
      <c r="H339" s="476">
        <f>H340</f>
        <v>400</v>
      </c>
      <c r="I339" s="476"/>
      <c r="J339" s="476">
        <f>J340</f>
        <v>400</v>
      </c>
      <c r="K339" s="476"/>
      <c r="L339" s="466"/>
      <c r="N339" s="466"/>
      <c r="O339" s="466"/>
    </row>
    <row r="340" spans="1:15" s="442" customFormat="1" ht="63" x14ac:dyDescent="0.25">
      <c r="A340" s="525" t="s">
        <v>2250</v>
      </c>
      <c r="B340" s="615" t="s">
        <v>193</v>
      </c>
      <c r="C340" s="235">
        <v>14</v>
      </c>
      <c r="D340" s="443" t="s">
        <v>1858</v>
      </c>
      <c r="E340" s="580"/>
      <c r="F340" s="292">
        <f>F341</f>
        <v>270.99999999999994</v>
      </c>
      <c r="G340" s="292"/>
      <c r="H340" s="292">
        <f t="shared" ref="H340:J340" si="52">H341</f>
        <v>400</v>
      </c>
      <c r="I340" s="292"/>
      <c r="J340" s="292">
        <f t="shared" si="52"/>
        <v>400</v>
      </c>
      <c r="K340" s="476"/>
      <c r="L340" s="466"/>
      <c r="N340" s="466"/>
      <c r="O340" s="466"/>
    </row>
    <row r="341" spans="1:15" s="442" customFormat="1" x14ac:dyDescent="0.25">
      <c r="A341" s="520" t="s">
        <v>1782</v>
      </c>
      <c r="B341" s="615" t="s">
        <v>193</v>
      </c>
      <c r="C341" s="235">
        <v>14</v>
      </c>
      <c r="D341" s="443" t="s">
        <v>1858</v>
      </c>
      <c r="E341" s="577">
        <v>200</v>
      </c>
      <c r="F341" s="292">
        <f>F342</f>
        <v>270.99999999999994</v>
      </c>
      <c r="G341" s="476"/>
      <c r="H341" s="476">
        <f>H342</f>
        <v>400</v>
      </c>
      <c r="I341" s="476"/>
      <c r="J341" s="476">
        <f>J342</f>
        <v>400</v>
      </c>
      <c r="K341" s="476"/>
      <c r="L341" s="466"/>
      <c r="N341" s="466"/>
      <c r="O341" s="466"/>
    </row>
    <row r="342" spans="1:15" s="442" customFormat="1" ht="31.5" x14ac:dyDescent="0.25">
      <c r="A342" s="520" t="s">
        <v>1274</v>
      </c>
      <c r="B342" s="615" t="s">
        <v>193</v>
      </c>
      <c r="C342" s="235">
        <v>14</v>
      </c>
      <c r="D342" s="443" t="s">
        <v>1858</v>
      </c>
      <c r="E342" s="577">
        <v>240</v>
      </c>
      <c r="F342" s="292">
        <f>'ведом. 2021-2023'!AD225</f>
        <v>270.99999999999994</v>
      </c>
      <c r="G342" s="476"/>
      <c r="H342" s="476">
        <f>'ведом. 2021-2023'!AE225</f>
        <v>400</v>
      </c>
      <c r="I342" s="476"/>
      <c r="J342" s="476">
        <f>'ведом. 2021-2023'!AF225</f>
        <v>400</v>
      </c>
      <c r="K342" s="476"/>
      <c r="L342" s="466"/>
      <c r="N342" s="466"/>
      <c r="O342" s="466"/>
    </row>
    <row r="343" spans="1:15" s="442" customFormat="1" ht="31.5" x14ac:dyDescent="0.25">
      <c r="A343" s="530" t="s">
        <v>1859</v>
      </c>
      <c r="B343" s="615" t="s">
        <v>193</v>
      </c>
      <c r="C343" s="235">
        <v>14</v>
      </c>
      <c r="D343" s="443" t="s">
        <v>1787</v>
      </c>
      <c r="E343" s="577"/>
      <c r="F343" s="292">
        <f>F344</f>
        <v>267</v>
      </c>
      <c r="G343" s="476"/>
      <c r="H343" s="476">
        <f>H344</f>
        <v>267</v>
      </c>
      <c r="I343" s="476"/>
      <c r="J343" s="476">
        <f>J344</f>
        <v>267</v>
      </c>
      <c r="K343" s="476"/>
      <c r="L343" s="466"/>
      <c r="N343" s="466"/>
      <c r="O343" s="466"/>
    </row>
    <row r="344" spans="1:15" s="442" customFormat="1" ht="31.5" x14ac:dyDescent="0.25">
      <c r="A344" s="530" t="s">
        <v>1860</v>
      </c>
      <c r="B344" s="615" t="s">
        <v>193</v>
      </c>
      <c r="C344" s="235">
        <v>14</v>
      </c>
      <c r="D344" s="443" t="s">
        <v>1861</v>
      </c>
      <c r="E344" s="577"/>
      <c r="F344" s="292">
        <f>F345+F347</f>
        <v>267</v>
      </c>
      <c r="G344" s="292"/>
      <c r="H344" s="292">
        <f t="shared" ref="H344:J344" si="53">H345+H347</f>
        <v>267</v>
      </c>
      <c r="I344" s="292"/>
      <c r="J344" s="292">
        <f t="shared" si="53"/>
        <v>267</v>
      </c>
      <c r="K344" s="476"/>
      <c r="L344" s="466"/>
      <c r="N344" s="466"/>
      <c r="O344" s="466"/>
    </row>
    <row r="345" spans="1:15" s="514" customFormat="1" x14ac:dyDescent="0.25">
      <c r="A345" s="520" t="s">
        <v>1782</v>
      </c>
      <c r="B345" s="615" t="s">
        <v>193</v>
      </c>
      <c r="C345" s="235">
        <v>14</v>
      </c>
      <c r="D345" s="443" t="s">
        <v>1861</v>
      </c>
      <c r="E345" s="577">
        <v>200</v>
      </c>
      <c r="F345" s="292">
        <f>F346</f>
        <v>0</v>
      </c>
      <c r="G345" s="292"/>
      <c r="H345" s="292">
        <f t="shared" ref="H345:J345" si="54">H346</f>
        <v>267</v>
      </c>
      <c r="I345" s="292"/>
      <c r="J345" s="292">
        <f t="shared" si="54"/>
        <v>267</v>
      </c>
      <c r="K345" s="476"/>
      <c r="L345" s="466"/>
      <c r="N345" s="466"/>
      <c r="O345" s="466"/>
    </row>
    <row r="346" spans="1:15" s="514" customFormat="1" ht="31.5" x14ac:dyDescent="0.25">
      <c r="A346" s="520" t="s">
        <v>1274</v>
      </c>
      <c r="B346" s="615" t="s">
        <v>193</v>
      </c>
      <c r="C346" s="235">
        <v>14</v>
      </c>
      <c r="D346" s="443" t="s">
        <v>1861</v>
      </c>
      <c r="E346" s="577">
        <v>240</v>
      </c>
      <c r="F346" s="292">
        <f>'ведом. 2021-2023'!AD229</f>
        <v>0</v>
      </c>
      <c r="G346" s="476"/>
      <c r="H346" s="476">
        <f>'ведом. 2021-2023'!AE227</f>
        <v>267</v>
      </c>
      <c r="I346" s="476"/>
      <c r="J346" s="476">
        <f>'ведом. 2021-2023'!AF229</f>
        <v>267</v>
      </c>
      <c r="K346" s="476"/>
      <c r="L346" s="466"/>
      <c r="N346" s="466"/>
      <c r="O346" s="466"/>
    </row>
    <row r="347" spans="1:15" s="442" customFormat="1" ht="31.5" x14ac:dyDescent="0.25">
      <c r="A347" s="461" t="s">
        <v>1343</v>
      </c>
      <c r="B347" s="615" t="s">
        <v>193</v>
      </c>
      <c r="C347" s="235">
        <v>14</v>
      </c>
      <c r="D347" s="443" t="s">
        <v>1861</v>
      </c>
      <c r="E347" s="238">
        <v>600</v>
      </c>
      <c r="F347" s="292">
        <f>F348</f>
        <v>267</v>
      </c>
      <c r="G347" s="476"/>
      <c r="H347" s="476">
        <f>H348</f>
        <v>0</v>
      </c>
      <c r="I347" s="476"/>
      <c r="J347" s="476">
        <f>J348</f>
        <v>0</v>
      </c>
      <c r="K347" s="476"/>
      <c r="L347" s="466"/>
      <c r="N347" s="466"/>
      <c r="O347" s="466"/>
    </row>
    <row r="348" spans="1:15" s="442" customFormat="1" ht="31.5" x14ac:dyDescent="0.25">
      <c r="A348" s="461" t="s">
        <v>869</v>
      </c>
      <c r="B348" s="615" t="s">
        <v>193</v>
      </c>
      <c r="C348" s="235">
        <v>14</v>
      </c>
      <c r="D348" s="443" t="s">
        <v>1861</v>
      </c>
      <c r="E348" s="238">
        <v>630</v>
      </c>
      <c r="F348" s="292">
        <f>'ведом. 2021-2023'!AD231</f>
        <v>267</v>
      </c>
      <c r="G348" s="476"/>
      <c r="H348" s="476">
        <f>'ведом. 2021-2023'!AE231</f>
        <v>0</v>
      </c>
      <c r="I348" s="476"/>
      <c r="J348" s="476">
        <f>'ведом. 2021-2023'!AF231</f>
        <v>0</v>
      </c>
      <c r="K348" s="476"/>
      <c r="L348" s="466"/>
      <c r="N348" s="466"/>
      <c r="O348" s="466"/>
    </row>
    <row r="349" spans="1:15" s="442" customFormat="1" ht="47.25" x14ac:dyDescent="0.25">
      <c r="A349" s="527" t="s">
        <v>2256</v>
      </c>
      <c r="B349" s="615" t="s">
        <v>193</v>
      </c>
      <c r="C349" s="235">
        <v>14</v>
      </c>
      <c r="D349" s="443" t="s">
        <v>1862</v>
      </c>
      <c r="E349" s="238"/>
      <c r="F349" s="292">
        <f>F350</f>
        <v>40</v>
      </c>
      <c r="G349" s="476"/>
      <c r="H349" s="476">
        <f>H350</f>
        <v>40</v>
      </c>
      <c r="I349" s="476"/>
      <c r="J349" s="476">
        <f>J350</f>
        <v>40</v>
      </c>
      <c r="K349" s="476"/>
      <c r="L349" s="466"/>
      <c r="N349" s="466"/>
      <c r="O349" s="466"/>
    </row>
    <row r="350" spans="1:15" s="442" customFormat="1" ht="47.25" x14ac:dyDescent="0.25">
      <c r="A350" s="549" t="s">
        <v>1856</v>
      </c>
      <c r="B350" s="615" t="s">
        <v>193</v>
      </c>
      <c r="C350" s="235">
        <v>14</v>
      </c>
      <c r="D350" s="443" t="s">
        <v>1863</v>
      </c>
      <c r="E350" s="238"/>
      <c r="F350" s="292">
        <f>F351</f>
        <v>40</v>
      </c>
      <c r="G350" s="476"/>
      <c r="H350" s="476">
        <f>H351</f>
        <v>40</v>
      </c>
      <c r="I350" s="476"/>
      <c r="J350" s="476">
        <f>J351</f>
        <v>40</v>
      </c>
      <c r="K350" s="476"/>
      <c r="L350" s="466"/>
      <c r="N350" s="466"/>
      <c r="O350" s="466"/>
    </row>
    <row r="351" spans="1:15" s="442" customFormat="1" x14ac:dyDescent="0.25">
      <c r="A351" s="520" t="s">
        <v>1782</v>
      </c>
      <c r="B351" s="615" t="s">
        <v>193</v>
      </c>
      <c r="C351" s="235">
        <v>14</v>
      </c>
      <c r="D351" s="443" t="s">
        <v>1863</v>
      </c>
      <c r="E351" s="238">
        <v>200</v>
      </c>
      <c r="F351" s="292">
        <f>F352</f>
        <v>40</v>
      </c>
      <c r="G351" s="476"/>
      <c r="H351" s="476">
        <f>H352</f>
        <v>40</v>
      </c>
      <c r="I351" s="476"/>
      <c r="J351" s="476">
        <f>J352</f>
        <v>40</v>
      </c>
      <c r="K351" s="476"/>
      <c r="L351" s="466"/>
      <c r="N351" s="466"/>
      <c r="O351" s="466"/>
    </row>
    <row r="352" spans="1:15" s="442" customFormat="1" ht="31.5" x14ac:dyDescent="0.25">
      <c r="A352" s="520" t="s">
        <v>1274</v>
      </c>
      <c r="B352" s="615" t="s">
        <v>193</v>
      </c>
      <c r="C352" s="235">
        <v>14</v>
      </c>
      <c r="D352" s="443" t="s">
        <v>1863</v>
      </c>
      <c r="E352" s="238">
        <v>240</v>
      </c>
      <c r="F352" s="292">
        <f>'ведом. 2021-2023'!AD235</f>
        <v>40</v>
      </c>
      <c r="G352" s="476"/>
      <c r="H352" s="476">
        <f>'ведом. 2021-2023'!AE235</f>
        <v>40</v>
      </c>
      <c r="I352" s="476"/>
      <c r="J352" s="476">
        <f>'ведом. 2021-2023'!AF235</f>
        <v>40</v>
      </c>
      <c r="K352" s="476"/>
      <c r="L352" s="466"/>
      <c r="N352" s="466"/>
      <c r="O352" s="466"/>
    </row>
    <row r="353" spans="1:15" s="442" customFormat="1" ht="31.5" x14ac:dyDescent="0.25">
      <c r="A353" s="530" t="s">
        <v>1864</v>
      </c>
      <c r="B353" s="615" t="s">
        <v>193</v>
      </c>
      <c r="C353" s="235" t="s">
        <v>956</v>
      </c>
      <c r="D353" s="443" t="s">
        <v>1865</v>
      </c>
      <c r="E353" s="238"/>
      <c r="F353" s="292">
        <f t="shared" ref="F353:J354" si="55">F354</f>
        <v>19351.300000000003</v>
      </c>
      <c r="G353" s="476"/>
      <c r="H353" s="476">
        <f t="shared" si="55"/>
        <v>6491</v>
      </c>
      <c r="I353" s="476"/>
      <c r="J353" s="476">
        <f t="shared" si="55"/>
        <v>6491</v>
      </c>
      <c r="K353" s="476"/>
      <c r="L353" s="466"/>
      <c r="N353" s="466"/>
      <c r="O353" s="466"/>
    </row>
    <row r="354" spans="1:15" s="442" customFormat="1" x14ac:dyDescent="0.25">
      <c r="A354" s="549" t="s">
        <v>1866</v>
      </c>
      <c r="B354" s="615" t="s">
        <v>193</v>
      </c>
      <c r="C354" s="235" t="s">
        <v>956</v>
      </c>
      <c r="D354" s="443" t="s">
        <v>1867</v>
      </c>
      <c r="E354" s="238"/>
      <c r="F354" s="292">
        <f>F355</f>
        <v>19351.300000000003</v>
      </c>
      <c r="G354" s="476"/>
      <c r="H354" s="476">
        <f t="shared" si="55"/>
        <v>6491</v>
      </c>
      <c r="I354" s="476"/>
      <c r="J354" s="476">
        <f t="shared" si="55"/>
        <v>6491</v>
      </c>
      <c r="K354" s="476"/>
      <c r="L354" s="466"/>
      <c r="N354" s="466"/>
      <c r="O354" s="466"/>
    </row>
    <row r="355" spans="1:15" s="514" customFormat="1" x14ac:dyDescent="0.25">
      <c r="A355" s="520" t="s">
        <v>1782</v>
      </c>
      <c r="B355" s="615" t="s">
        <v>193</v>
      </c>
      <c r="C355" s="235" t="s">
        <v>956</v>
      </c>
      <c r="D355" s="443" t="s">
        <v>1867</v>
      </c>
      <c r="E355" s="238">
        <v>200</v>
      </c>
      <c r="F355" s="292">
        <f>F356</f>
        <v>19351.300000000003</v>
      </c>
      <c r="G355" s="476"/>
      <c r="H355" s="476">
        <f>H356</f>
        <v>6491</v>
      </c>
      <c r="I355" s="476"/>
      <c r="J355" s="476">
        <f>J356</f>
        <v>6491</v>
      </c>
      <c r="K355" s="476"/>
      <c r="L355" s="466"/>
      <c r="N355" s="466"/>
      <c r="O355" s="466"/>
    </row>
    <row r="356" spans="1:15" s="514" customFormat="1" ht="31.5" x14ac:dyDescent="0.25">
      <c r="A356" s="520" t="s">
        <v>1274</v>
      </c>
      <c r="B356" s="615" t="s">
        <v>193</v>
      </c>
      <c r="C356" s="235" t="s">
        <v>956</v>
      </c>
      <c r="D356" s="443" t="s">
        <v>1867</v>
      </c>
      <c r="E356" s="238">
        <v>240</v>
      </c>
      <c r="F356" s="292">
        <f>'ведом. 2021-2023'!AD239</f>
        <v>19351.300000000003</v>
      </c>
      <c r="G356" s="476"/>
      <c r="H356" s="476">
        <f>'ведом. 2021-2023'!AE239</f>
        <v>6491</v>
      </c>
      <c r="I356" s="476"/>
      <c r="J356" s="476">
        <f>'ведом. 2021-2023'!AF239</f>
        <v>6491</v>
      </c>
      <c r="K356" s="476"/>
      <c r="L356" s="466"/>
      <c r="N356" s="466"/>
      <c r="O356" s="466"/>
    </row>
    <row r="357" spans="1:15" s="442" customFormat="1" x14ac:dyDescent="0.25">
      <c r="A357" s="609" t="s">
        <v>994</v>
      </c>
      <c r="B357" s="617" t="s">
        <v>1182</v>
      </c>
      <c r="C357" s="247"/>
      <c r="D357" s="271"/>
      <c r="E357" s="576"/>
      <c r="F357" s="745">
        <f t="shared" ref="F357:K357" si="56">F365+F433+F383+F414+F358</f>
        <v>117984.9</v>
      </c>
      <c r="G357" s="479">
        <f t="shared" si="56"/>
        <v>43892.2</v>
      </c>
      <c r="H357" s="479">
        <f t="shared" si="56"/>
        <v>50685.7</v>
      </c>
      <c r="I357" s="479">
        <f t="shared" si="56"/>
        <v>6501</v>
      </c>
      <c r="J357" s="479">
        <f t="shared" si="56"/>
        <v>52753.7</v>
      </c>
      <c r="K357" s="479">
        <f t="shared" si="56"/>
        <v>8478</v>
      </c>
      <c r="L357" s="466"/>
      <c r="N357" s="466"/>
      <c r="O357" s="466"/>
    </row>
    <row r="358" spans="1:15" s="442" customFormat="1" ht="18.75" x14ac:dyDescent="0.3">
      <c r="A358" s="524" t="s">
        <v>289</v>
      </c>
      <c r="B358" s="246" t="s">
        <v>1182</v>
      </c>
      <c r="C358" s="235" t="s">
        <v>175</v>
      </c>
      <c r="D358" s="278"/>
      <c r="E358" s="596"/>
      <c r="F358" s="292">
        <f t="shared" ref="F358:K361" si="57">F359</f>
        <v>1070</v>
      </c>
      <c r="G358" s="476">
        <f t="shared" si="57"/>
        <v>1070</v>
      </c>
      <c r="H358" s="476">
        <f t="shared" si="57"/>
        <v>655</v>
      </c>
      <c r="I358" s="476">
        <f t="shared" si="57"/>
        <v>655</v>
      </c>
      <c r="J358" s="476">
        <f t="shared" si="57"/>
        <v>655</v>
      </c>
      <c r="K358" s="476">
        <f t="shared" si="57"/>
        <v>655</v>
      </c>
      <c r="L358" s="466"/>
      <c r="N358" s="466"/>
      <c r="O358" s="466"/>
    </row>
    <row r="359" spans="1:15" s="442" customFormat="1" ht="18.75" x14ac:dyDescent="0.3">
      <c r="A359" s="607" t="s">
        <v>1967</v>
      </c>
      <c r="B359" s="246" t="s">
        <v>1182</v>
      </c>
      <c r="C359" s="235" t="s">
        <v>175</v>
      </c>
      <c r="D359" s="443" t="s">
        <v>1817</v>
      </c>
      <c r="E359" s="596"/>
      <c r="F359" s="292">
        <f t="shared" si="57"/>
        <v>1070</v>
      </c>
      <c r="G359" s="476">
        <f t="shared" si="57"/>
        <v>1070</v>
      </c>
      <c r="H359" s="476">
        <f t="shared" si="57"/>
        <v>655</v>
      </c>
      <c r="I359" s="476">
        <f t="shared" si="57"/>
        <v>655</v>
      </c>
      <c r="J359" s="476">
        <f t="shared" si="57"/>
        <v>655</v>
      </c>
      <c r="K359" s="476">
        <f t="shared" si="57"/>
        <v>655</v>
      </c>
      <c r="L359" s="466"/>
      <c r="N359" s="466"/>
      <c r="O359" s="466"/>
    </row>
    <row r="360" spans="1:15" s="442" customFormat="1" ht="18.75" x14ac:dyDescent="0.3">
      <c r="A360" s="521" t="s">
        <v>1968</v>
      </c>
      <c r="B360" s="246" t="s">
        <v>1182</v>
      </c>
      <c r="C360" s="235" t="s">
        <v>175</v>
      </c>
      <c r="D360" s="443" t="s">
        <v>1969</v>
      </c>
      <c r="E360" s="596"/>
      <c r="F360" s="292">
        <f t="shared" si="57"/>
        <v>1070</v>
      </c>
      <c r="G360" s="476">
        <f t="shared" si="57"/>
        <v>1070</v>
      </c>
      <c r="H360" s="476">
        <f t="shared" si="57"/>
        <v>655</v>
      </c>
      <c r="I360" s="476">
        <f t="shared" si="57"/>
        <v>655</v>
      </c>
      <c r="J360" s="476">
        <f t="shared" si="57"/>
        <v>655</v>
      </c>
      <c r="K360" s="476">
        <f t="shared" si="57"/>
        <v>655</v>
      </c>
      <c r="L360" s="466"/>
      <c r="N360" s="466"/>
      <c r="O360" s="466"/>
    </row>
    <row r="361" spans="1:15" s="442" customFormat="1" ht="48" x14ac:dyDescent="0.3">
      <c r="A361" s="521" t="s">
        <v>1970</v>
      </c>
      <c r="B361" s="246" t="s">
        <v>1182</v>
      </c>
      <c r="C361" s="235" t="s">
        <v>175</v>
      </c>
      <c r="D361" s="443" t="s">
        <v>1971</v>
      </c>
      <c r="E361" s="596"/>
      <c r="F361" s="292">
        <f t="shared" si="57"/>
        <v>1070</v>
      </c>
      <c r="G361" s="476">
        <f t="shared" si="57"/>
        <v>1070</v>
      </c>
      <c r="H361" s="476">
        <f t="shared" si="57"/>
        <v>655</v>
      </c>
      <c r="I361" s="476">
        <f t="shared" si="57"/>
        <v>655</v>
      </c>
      <c r="J361" s="476">
        <f t="shared" si="57"/>
        <v>655</v>
      </c>
      <c r="K361" s="476">
        <f t="shared" si="57"/>
        <v>655</v>
      </c>
      <c r="L361" s="466"/>
      <c r="N361" s="466"/>
      <c r="O361" s="466"/>
    </row>
    <row r="362" spans="1:15" s="442" customFormat="1" ht="31.5" x14ac:dyDescent="0.25">
      <c r="A362" s="521" t="s">
        <v>2281</v>
      </c>
      <c r="B362" s="246" t="s">
        <v>1182</v>
      </c>
      <c r="C362" s="235" t="s">
        <v>175</v>
      </c>
      <c r="D362" s="443" t="s">
        <v>1972</v>
      </c>
      <c r="E362" s="238"/>
      <c r="F362" s="292">
        <f t="shared" ref="F362:K363" si="58">F363</f>
        <v>1070</v>
      </c>
      <c r="G362" s="476">
        <f t="shared" si="58"/>
        <v>1070</v>
      </c>
      <c r="H362" s="476">
        <f t="shared" si="58"/>
        <v>655</v>
      </c>
      <c r="I362" s="476">
        <f t="shared" si="58"/>
        <v>655</v>
      </c>
      <c r="J362" s="476">
        <f t="shared" si="58"/>
        <v>655</v>
      </c>
      <c r="K362" s="476">
        <f t="shared" si="58"/>
        <v>655</v>
      </c>
      <c r="L362" s="466"/>
      <c r="N362" s="466"/>
      <c r="O362" s="466"/>
    </row>
    <row r="363" spans="1:15" s="442" customFormat="1" x14ac:dyDescent="0.25">
      <c r="A363" s="524" t="s">
        <v>1782</v>
      </c>
      <c r="B363" s="246" t="s">
        <v>1182</v>
      </c>
      <c r="C363" s="235" t="s">
        <v>175</v>
      </c>
      <c r="D363" s="443" t="s">
        <v>1972</v>
      </c>
      <c r="E363" s="577">
        <v>200</v>
      </c>
      <c r="F363" s="292">
        <f t="shared" si="58"/>
        <v>1070</v>
      </c>
      <c r="G363" s="476">
        <f t="shared" si="58"/>
        <v>1070</v>
      </c>
      <c r="H363" s="476">
        <f t="shared" si="58"/>
        <v>655</v>
      </c>
      <c r="I363" s="476">
        <f t="shared" si="58"/>
        <v>655</v>
      </c>
      <c r="J363" s="476">
        <f t="shared" si="58"/>
        <v>655</v>
      </c>
      <c r="K363" s="476">
        <f t="shared" si="58"/>
        <v>655</v>
      </c>
      <c r="L363" s="466"/>
      <c r="N363" s="466"/>
      <c r="O363" s="466"/>
    </row>
    <row r="364" spans="1:15" s="442" customFormat="1" ht="31.5" x14ac:dyDescent="0.25">
      <c r="A364" s="524" t="s">
        <v>1274</v>
      </c>
      <c r="B364" s="246" t="s">
        <v>1182</v>
      </c>
      <c r="C364" s="235" t="s">
        <v>175</v>
      </c>
      <c r="D364" s="443" t="s">
        <v>1972</v>
      </c>
      <c r="E364" s="238">
        <v>240</v>
      </c>
      <c r="F364" s="292">
        <f>'ведом. 2021-2023'!AD895</f>
        <v>1070</v>
      </c>
      <c r="G364" s="476">
        <f>F364</f>
        <v>1070</v>
      </c>
      <c r="H364" s="476">
        <f>'ведом. 2021-2023'!AE895</f>
        <v>655</v>
      </c>
      <c r="I364" s="476">
        <f>H364</f>
        <v>655</v>
      </c>
      <c r="J364" s="476">
        <f>'ведом. 2021-2023'!AF895</f>
        <v>655</v>
      </c>
      <c r="K364" s="476">
        <f>J364</f>
        <v>655</v>
      </c>
      <c r="L364" s="466"/>
      <c r="N364" s="466"/>
      <c r="O364" s="466"/>
    </row>
    <row r="365" spans="1:15" s="442" customFormat="1" x14ac:dyDescent="0.25">
      <c r="A365" s="524" t="s">
        <v>1597</v>
      </c>
      <c r="B365" s="615" t="s">
        <v>1182</v>
      </c>
      <c r="C365" s="235" t="s">
        <v>290</v>
      </c>
      <c r="D365" s="249"/>
      <c r="E365" s="577"/>
      <c r="F365" s="292">
        <f>F366+F373</f>
        <v>21336.9</v>
      </c>
      <c r="G365" s="476"/>
      <c r="H365" s="476">
        <f>H366+H373</f>
        <v>20965.7</v>
      </c>
      <c r="I365" s="476"/>
      <c r="J365" s="476">
        <f>J366+J373</f>
        <v>20965.7</v>
      </c>
      <c r="K365" s="476"/>
      <c r="L365" s="466"/>
      <c r="N365" s="466"/>
      <c r="O365" s="466"/>
    </row>
    <row r="366" spans="1:15" s="442" customFormat="1" x14ac:dyDescent="0.25">
      <c r="A366" s="521" t="s">
        <v>1899</v>
      </c>
      <c r="B366" s="616" t="s">
        <v>1182</v>
      </c>
      <c r="C366" s="242" t="s">
        <v>290</v>
      </c>
      <c r="D366" s="443" t="s">
        <v>1772</v>
      </c>
      <c r="E366" s="582"/>
      <c r="F366" s="292">
        <f t="shared" ref="F366:J371" si="59">F367</f>
        <v>21221.9</v>
      </c>
      <c r="G366" s="476"/>
      <c r="H366" s="476">
        <f t="shared" si="59"/>
        <v>20840.8</v>
      </c>
      <c r="I366" s="476"/>
      <c r="J366" s="476">
        <f t="shared" si="59"/>
        <v>20840.8</v>
      </c>
      <c r="K366" s="476"/>
      <c r="L366" s="466"/>
      <c r="N366" s="466"/>
      <c r="O366" s="466"/>
    </row>
    <row r="367" spans="1:15" s="442" customFormat="1" x14ac:dyDescent="0.25">
      <c r="A367" s="521" t="s">
        <v>1908</v>
      </c>
      <c r="B367" s="616" t="s">
        <v>1182</v>
      </c>
      <c r="C367" s="242" t="s">
        <v>290</v>
      </c>
      <c r="D367" s="443" t="s">
        <v>1909</v>
      </c>
      <c r="E367" s="582"/>
      <c r="F367" s="292">
        <f t="shared" si="59"/>
        <v>21221.9</v>
      </c>
      <c r="G367" s="476"/>
      <c r="H367" s="476">
        <f t="shared" si="59"/>
        <v>20840.8</v>
      </c>
      <c r="I367" s="476"/>
      <c r="J367" s="476">
        <f t="shared" si="59"/>
        <v>20840.8</v>
      </c>
      <c r="K367" s="476"/>
      <c r="L367" s="466"/>
      <c r="N367" s="466"/>
      <c r="O367" s="466"/>
    </row>
    <row r="368" spans="1:15" s="442" customFormat="1" ht="31.5" x14ac:dyDescent="0.25">
      <c r="A368" s="521" t="s">
        <v>1910</v>
      </c>
      <c r="B368" s="616" t="s">
        <v>1182</v>
      </c>
      <c r="C368" s="242" t="s">
        <v>290</v>
      </c>
      <c r="D368" s="443" t="s">
        <v>1911</v>
      </c>
      <c r="E368" s="582"/>
      <c r="F368" s="292">
        <f t="shared" si="59"/>
        <v>21221.9</v>
      </c>
      <c r="G368" s="476"/>
      <c r="H368" s="476">
        <f t="shared" si="59"/>
        <v>20840.8</v>
      </c>
      <c r="I368" s="476"/>
      <c r="J368" s="476">
        <f t="shared" si="59"/>
        <v>20840.8</v>
      </c>
      <c r="K368" s="476"/>
      <c r="L368" s="466"/>
      <c r="N368" s="466"/>
      <c r="O368" s="466"/>
    </row>
    <row r="369" spans="1:15" s="442" customFormat="1" ht="31.5" x14ac:dyDescent="0.25">
      <c r="A369" s="529" t="s">
        <v>1922</v>
      </c>
      <c r="B369" s="616" t="s">
        <v>1182</v>
      </c>
      <c r="C369" s="242" t="s">
        <v>290</v>
      </c>
      <c r="D369" s="472" t="s">
        <v>1923</v>
      </c>
      <c r="E369" s="582"/>
      <c r="F369" s="292">
        <f t="shared" si="59"/>
        <v>21221.9</v>
      </c>
      <c r="G369" s="476"/>
      <c r="H369" s="476">
        <f t="shared" si="59"/>
        <v>20840.8</v>
      </c>
      <c r="I369" s="476"/>
      <c r="J369" s="476">
        <f t="shared" si="59"/>
        <v>20840.8</v>
      </c>
      <c r="K369" s="476"/>
      <c r="L369" s="466"/>
      <c r="N369" s="466"/>
      <c r="O369" s="466"/>
    </row>
    <row r="370" spans="1:15" s="442" customFormat="1" ht="47.25" x14ac:dyDescent="0.25">
      <c r="A370" s="532" t="s">
        <v>2333</v>
      </c>
      <c r="B370" s="616" t="s">
        <v>1182</v>
      </c>
      <c r="C370" s="242" t="s">
        <v>290</v>
      </c>
      <c r="D370" s="472" t="s">
        <v>2135</v>
      </c>
      <c r="E370" s="582"/>
      <c r="F370" s="292">
        <f t="shared" si="59"/>
        <v>21221.9</v>
      </c>
      <c r="G370" s="476"/>
      <c r="H370" s="476">
        <f t="shared" si="59"/>
        <v>20840.8</v>
      </c>
      <c r="I370" s="476"/>
      <c r="J370" s="476">
        <f t="shared" si="59"/>
        <v>20840.8</v>
      </c>
      <c r="K370" s="476"/>
      <c r="L370" s="466"/>
      <c r="N370" s="466"/>
      <c r="O370" s="466"/>
    </row>
    <row r="371" spans="1:15" s="442" customFormat="1" ht="31.5" x14ac:dyDescent="0.25">
      <c r="A371" s="524" t="s">
        <v>1343</v>
      </c>
      <c r="B371" s="616" t="s">
        <v>1182</v>
      </c>
      <c r="C371" s="242" t="s">
        <v>290</v>
      </c>
      <c r="D371" s="472" t="s">
        <v>2135</v>
      </c>
      <c r="E371" s="582">
        <v>600</v>
      </c>
      <c r="F371" s="292">
        <f t="shared" si="59"/>
        <v>21221.9</v>
      </c>
      <c r="G371" s="476"/>
      <c r="H371" s="476">
        <f t="shared" si="59"/>
        <v>20840.8</v>
      </c>
      <c r="I371" s="476"/>
      <c r="J371" s="476">
        <f t="shared" si="59"/>
        <v>20840.8</v>
      </c>
      <c r="K371" s="476"/>
      <c r="L371" s="466"/>
      <c r="N371" s="466"/>
      <c r="O371" s="466"/>
    </row>
    <row r="372" spans="1:15" s="442" customFormat="1" x14ac:dyDescent="0.25">
      <c r="A372" s="524" t="s">
        <v>1344</v>
      </c>
      <c r="B372" s="616" t="s">
        <v>1182</v>
      </c>
      <c r="C372" s="242" t="s">
        <v>290</v>
      </c>
      <c r="D372" s="472" t="s">
        <v>2135</v>
      </c>
      <c r="E372" s="582">
        <v>610</v>
      </c>
      <c r="F372" s="292">
        <f>'ведом. 2021-2023'!AD248</f>
        <v>21221.9</v>
      </c>
      <c r="G372" s="476"/>
      <c r="H372" s="476">
        <f>'ведом. 2021-2023'!AE248</f>
        <v>20840.8</v>
      </c>
      <c r="I372" s="476"/>
      <c r="J372" s="476">
        <f>'ведом. 2021-2023'!AF248</f>
        <v>20840.8</v>
      </c>
      <c r="K372" s="476"/>
      <c r="L372" s="466"/>
      <c r="N372" s="466"/>
      <c r="O372" s="466"/>
    </row>
    <row r="373" spans="1:15" s="442" customFormat="1" ht="31.5" x14ac:dyDescent="0.25">
      <c r="A373" s="521" t="s">
        <v>1950</v>
      </c>
      <c r="B373" s="615" t="s">
        <v>1182</v>
      </c>
      <c r="C373" s="235" t="s">
        <v>290</v>
      </c>
      <c r="D373" s="443" t="s">
        <v>1951</v>
      </c>
      <c r="E373" s="577"/>
      <c r="F373" s="292">
        <f t="shared" ref="F373:J377" si="60">F374</f>
        <v>115</v>
      </c>
      <c r="G373" s="476"/>
      <c r="H373" s="476">
        <f t="shared" si="60"/>
        <v>124.9</v>
      </c>
      <c r="I373" s="476"/>
      <c r="J373" s="476">
        <f t="shared" si="60"/>
        <v>124.9</v>
      </c>
      <c r="K373" s="476"/>
      <c r="L373" s="466"/>
      <c r="N373" s="466"/>
      <c r="O373" s="466"/>
    </row>
    <row r="374" spans="1:15" s="442" customFormat="1" x14ac:dyDescent="0.25">
      <c r="A374" s="521" t="s">
        <v>1952</v>
      </c>
      <c r="B374" s="615" t="s">
        <v>1182</v>
      </c>
      <c r="C374" s="235" t="s">
        <v>290</v>
      </c>
      <c r="D374" s="443" t="s">
        <v>1953</v>
      </c>
      <c r="E374" s="238"/>
      <c r="F374" s="292">
        <f t="shared" si="60"/>
        <v>115</v>
      </c>
      <c r="G374" s="476"/>
      <c r="H374" s="476">
        <f t="shared" si="60"/>
        <v>124.9</v>
      </c>
      <c r="I374" s="476"/>
      <c r="J374" s="476">
        <f t="shared" si="60"/>
        <v>124.9</v>
      </c>
      <c r="K374" s="476"/>
      <c r="L374" s="466"/>
      <c r="N374" s="466"/>
      <c r="O374" s="466"/>
    </row>
    <row r="375" spans="1:15" s="442" customFormat="1" ht="63" x14ac:dyDescent="0.25">
      <c r="A375" s="530" t="s">
        <v>2235</v>
      </c>
      <c r="B375" s="615" t="s">
        <v>1182</v>
      </c>
      <c r="C375" s="235" t="s">
        <v>290</v>
      </c>
      <c r="D375" s="443" t="s">
        <v>2209</v>
      </c>
      <c r="E375" s="238"/>
      <c r="F375" s="292">
        <f t="shared" si="60"/>
        <v>115</v>
      </c>
      <c r="G375" s="476"/>
      <c r="H375" s="476">
        <f t="shared" si="60"/>
        <v>124.9</v>
      </c>
      <c r="I375" s="476"/>
      <c r="J375" s="476">
        <f t="shared" si="60"/>
        <v>124.9</v>
      </c>
      <c r="K375" s="476"/>
      <c r="L375" s="466"/>
      <c r="N375" s="466"/>
      <c r="O375" s="466"/>
    </row>
    <row r="376" spans="1:15" s="442" customFormat="1" ht="47.25" x14ac:dyDescent="0.25">
      <c r="A376" s="522" t="s">
        <v>1954</v>
      </c>
      <c r="B376" s="615" t="s">
        <v>1182</v>
      </c>
      <c r="C376" s="235" t="s">
        <v>290</v>
      </c>
      <c r="D376" s="443" t="s">
        <v>2210</v>
      </c>
      <c r="E376" s="238"/>
      <c r="F376" s="292">
        <f>F377+F380</f>
        <v>115</v>
      </c>
      <c r="G376" s="476"/>
      <c r="H376" s="476">
        <f>H377+H380</f>
        <v>124.9</v>
      </c>
      <c r="I376" s="476"/>
      <c r="J376" s="476">
        <f>J377+J380</f>
        <v>124.9</v>
      </c>
      <c r="K376" s="476"/>
      <c r="L376" s="466"/>
      <c r="N376" s="466"/>
      <c r="O376" s="466"/>
    </row>
    <row r="377" spans="1:15" s="442" customFormat="1" ht="47.25" x14ac:dyDescent="0.25">
      <c r="A377" s="522" t="s">
        <v>2141</v>
      </c>
      <c r="B377" s="615" t="s">
        <v>1182</v>
      </c>
      <c r="C377" s="235" t="s">
        <v>290</v>
      </c>
      <c r="D377" s="443" t="s">
        <v>2211</v>
      </c>
      <c r="E377" s="238"/>
      <c r="F377" s="292">
        <f t="shared" si="60"/>
        <v>0.1</v>
      </c>
      <c r="G377" s="476"/>
      <c r="H377" s="476">
        <f t="shared" si="60"/>
        <v>10</v>
      </c>
      <c r="I377" s="476"/>
      <c r="J377" s="476">
        <f t="shared" si="60"/>
        <v>10</v>
      </c>
      <c r="K377" s="476"/>
      <c r="L377" s="466"/>
      <c r="N377" s="466"/>
      <c r="O377" s="466"/>
    </row>
    <row r="378" spans="1:15" s="442" customFormat="1" x14ac:dyDescent="0.25">
      <c r="A378" s="524" t="s">
        <v>1782</v>
      </c>
      <c r="B378" s="615" t="s">
        <v>1182</v>
      </c>
      <c r="C378" s="235" t="s">
        <v>290</v>
      </c>
      <c r="D378" s="443" t="s">
        <v>2211</v>
      </c>
      <c r="E378" s="238">
        <v>200</v>
      </c>
      <c r="F378" s="292">
        <f>'ведом. 2021-2023'!AD255</f>
        <v>0.1</v>
      </c>
      <c r="G378" s="476"/>
      <c r="H378" s="476">
        <f>'ведом. 2021-2023'!AE255</f>
        <v>10</v>
      </c>
      <c r="I378" s="476"/>
      <c r="J378" s="476">
        <f>J379</f>
        <v>10</v>
      </c>
      <c r="K378" s="476"/>
      <c r="L378" s="466"/>
      <c r="N378" s="466"/>
      <c r="O378" s="466"/>
    </row>
    <row r="379" spans="1:15" s="442" customFormat="1" ht="31.5" x14ac:dyDescent="0.25">
      <c r="A379" s="524" t="s">
        <v>1274</v>
      </c>
      <c r="B379" s="616" t="s">
        <v>1182</v>
      </c>
      <c r="C379" s="242" t="s">
        <v>290</v>
      </c>
      <c r="D379" s="443" t="s">
        <v>2211</v>
      </c>
      <c r="E379" s="238">
        <v>240</v>
      </c>
      <c r="F379" s="292">
        <f>'ведом. 2021-2023'!AD255</f>
        <v>0.1</v>
      </c>
      <c r="G379" s="476"/>
      <c r="H379" s="476">
        <f>'ведом. 2021-2023'!AE255</f>
        <v>10</v>
      </c>
      <c r="I379" s="476"/>
      <c r="J379" s="476">
        <f>'ведом. 2021-2023'!AF255</f>
        <v>10</v>
      </c>
      <c r="K379" s="476"/>
      <c r="L379" s="466"/>
      <c r="N379" s="466"/>
      <c r="O379" s="466"/>
    </row>
    <row r="380" spans="1:15" s="442" customFormat="1" ht="47.25" x14ac:dyDescent="0.25">
      <c r="A380" s="524" t="s">
        <v>2142</v>
      </c>
      <c r="B380" s="616" t="s">
        <v>1182</v>
      </c>
      <c r="C380" s="242" t="s">
        <v>290</v>
      </c>
      <c r="D380" s="443" t="s">
        <v>2212</v>
      </c>
      <c r="E380" s="238"/>
      <c r="F380" s="292">
        <f>F381</f>
        <v>114.9</v>
      </c>
      <c r="G380" s="476"/>
      <c r="H380" s="476">
        <f>H381</f>
        <v>114.9</v>
      </c>
      <c r="I380" s="476"/>
      <c r="J380" s="476">
        <f>J381</f>
        <v>114.9</v>
      </c>
      <c r="K380" s="476"/>
      <c r="L380" s="466"/>
      <c r="N380" s="466"/>
      <c r="O380" s="466"/>
    </row>
    <row r="381" spans="1:15" s="442" customFormat="1" x14ac:dyDescent="0.25">
      <c r="A381" s="524" t="s">
        <v>1782</v>
      </c>
      <c r="B381" s="616" t="s">
        <v>1182</v>
      </c>
      <c r="C381" s="242" t="s">
        <v>290</v>
      </c>
      <c r="D381" s="443" t="s">
        <v>2212</v>
      </c>
      <c r="E381" s="238">
        <v>200</v>
      </c>
      <c r="F381" s="292">
        <f>F382</f>
        <v>114.9</v>
      </c>
      <c r="G381" s="476"/>
      <c r="H381" s="476">
        <f>H382</f>
        <v>114.9</v>
      </c>
      <c r="I381" s="476"/>
      <c r="J381" s="476">
        <f>J382</f>
        <v>114.9</v>
      </c>
      <c r="K381" s="476"/>
      <c r="L381" s="466"/>
      <c r="N381" s="466"/>
      <c r="O381" s="466"/>
    </row>
    <row r="382" spans="1:15" s="442" customFormat="1" ht="31.5" x14ac:dyDescent="0.25">
      <c r="A382" s="524" t="s">
        <v>1274</v>
      </c>
      <c r="B382" s="616" t="s">
        <v>1182</v>
      </c>
      <c r="C382" s="242" t="s">
        <v>290</v>
      </c>
      <c r="D382" s="443" t="s">
        <v>2212</v>
      </c>
      <c r="E382" s="238">
        <v>240</v>
      </c>
      <c r="F382" s="292">
        <f>'ведом. 2021-2023'!AD258</f>
        <v>114.9</v>
      </c>
      <c r="G382" s="476"/>
      <c r="H382" s="476">
        <f>'ведом. 2021-2023'!AE258</f>
        <v>114.9</v>
      </c>
      <c r="I382" s="476"/>
      <c r="J382" s="476">
        <f>'ведом. 2021-2023'!AF258</f>
        <v>114.9</v>
      </c>
      <c r="K382" s="476"/>
      <c r="L382" s="466"/>
      <c r="N382" s="466"/>
      <c r="O382" s="466"/>
    </row>
    <row r="383" spans="1:15" s="442" customFormat="1" x14ac:dyDescent="0.25">
      <c r="A383" s="524" t="s">
        <v>1740</v>
      </c>
      <c r="B383" s="615" t="s">
        <v>1182</v>
      </c>
      <c r="C383" s="235" t="s">
        <v>406</v>
      </c>
      <c r="D383" s="256"/>
      <c r="E383" s="238"/>
      <c r="F383" s="292">
        <f t="shared" ref="F383:K383" si="61">F384+F401</f>
        <v>92301</v>
      </c>
      <c r="G383" s="292">
        <f t="shared" si="61"/>
        <v>42296.2</v>
      </c>
      <c r="H383" s="292">
        <f t="shared" si="61"/>
        <v>28046</v>
      </c>
      <c r="I383" s="292">
        <f t="shared" si="61"/>
        <v>5319</v>
      </c>
      <c r="J383" s="292">
        <f t="shared" si="61"/>
        <v>30113</v>
      </c>
      <c r="K383" s="292">
        <f t="shared" si="61"/>
        <v>7282</v>
      </c>
      <c r="L383" s="466"/>
      <c r="N383" s="466"/>
      <c r="O383" s="466"/>
    </row>
    <row r="384" spans="1:15" s="442" customFormat="1" ht="31.5" x14ac:dyDescent="0.25">
      <c r="A384" s="521" t="s">
        <v>1950</v>
      </c>
      <c r="B384" s="615" t="s">
        <v>1182</v>
      </c>
      <c r="C384" s="235" t="s">
        <v>406</v>
      </c>
      <c r="D384" s="443" t="s">
        <v>1951</v>
      </c>
      <c r="E384" s="238"/>
      <c r="F384" s="292">
        <f t="shared" ref="F384:K384" si="62">F385+F396</f>
        <v>69664.100000000006</v>
      </c>
      <c r="G384" s="476">
        <f t="shared" si="62"/>
        <v>23734</v>
      </c>
      <c r="H384" s="476">
        <f t="shared" si="62"/>
        <v>28046</v>
      </c>
      <c r="I384" s="476">
        <f t="shared" si="62"/>
        <v>5319</v>
      </c>
      <c r="J384" s="476">
        <f t="shared" si="62"/>
        <v>30113</v>
      </c>
      <c r="K384" s="476">
        <f t="shared" si="62"/>
        <v>7282</v>
      </c>
      <c r="L384" s="466"/>
      <c r="N384" s="466"/>
      <c r="O384" s="466"/>
    </row>
    <row r="385" spans="1:15" s="442" customFormat="1" x14ac:dyDescent="0.25">
      <c r="A385" s="521" t="s">
        <v>1956</v>
      </c>
      <c r="B385" s="615" t="s">
        <v>1182</v>
      </c>
      <c r="C385" s="235" t="s">
        <v>406</v>
      </c>
      <c r="D385" s="443" t="s">
        <v>1957</v>
      </c>
      <c r="E385" s="238"/>
      <c r="F385" s="292">
        <f t="shared" ref="F385:K385" si="63">F386</f>
        <v>31709.5</v>
      </c>
      <c r="G385" s="476">
        <f t="shared" si="63"/>
        <v>23734</v>
      </c>
      <c r="H385" s="476">
        <f t="shared" si="63"/>
        <v>7327.9</v>
      </c>
      <c r="I385" s="476">
        <f t="shared" si="63"/>
        <v>5319</v>
      </c>
      <c r="J385" s="476">
        <f t="shared" si="63"/>
        <v>9394.9</v>
      </c>
      <c r="K385" s="476">
        <f t="shared" si="63"/>
        <v>7282</v>
      </c>
      <c r="L385" s="466"/>
      <c r="N385" s="466"/>
      <c r="O385" s="466"/>
    </row>
    <row r="386" spans="1:15" s="442" customFormat="1" ht="31.5" x14ac:dyDescent="0.25">
      <c r="A386" s="522" t="s">
        <v>1955</v>
      </c>
      <c r="B386" s="618" t="s">
        <v>1182</v>
      </c>
      <c r="C386" s="254" t="s">
        <v>406</v>
      </c>
      <c r="D386" s="443" t="s">
        <v>2213</v>
      </c>
      <c r="E386" s="577"/>
      <c r="F386" s="292">
        <f t="shared" ref="F386:K386" si="64">F390+F393+F387</f>
        <v>31709.5</v>
      </c>
      <c r="G386" s="476">
        <f t="shared" si="64"/>
        <v>23734</v>
      </c>
      <c r="H386" s="476">
        <f t="shared" si="64"/>
        <v>7327.9</v>
      </c>
      <c r="I386" s="476">
        <f t="shared" si="64"/>
        <v>5319</v>
      </c>
      <c r="J386" s="476">
        <f t="shared" si="64"/>
        <v>9394.9</v>
      </c>
      <c r="K386" s="476">
        <f t="shared" si="64"/>
        <v>7282</v>
      </c>
      <c r="L386" s="466"/>
      <c r="N386" s="466"/>
      <c r="O386" s="466"/>
    </row>
    <row r="387" spans="1:15" s="514" customFormat="1" ht="31.5" x14ac:dyDescent="0.25">
      <c r="A387" s="605" t="s">
        <v>2270</v>
      </c>
      <c r="B387" s="615" t="s">
        <v>1182</v>
      </c>
      <c r="C387" s="235" t="s">
        <v>406</v>
      </c>
      <c r="D387" s="443" t="s">
        <v>2271</v>
      </c>
      <c r="E387" s="577"/>
      <c r="F387" s="292">
        <f>F388</f>
        <v>2076.5000000000005</v>
      </c>
      <c r="G387" s="476"/>
      <c r="H387" s="476">
        <f>H388</f>
        <v>728.9</v>
      </c>
      <c r="I387" s="476"/>
      <c r="J387" s="476">
        <f>J388</f>
        <v>728.9</v>
      </c>
      <c r="K387" s="476"/>
      <c r="L387" s="466"/>
      <c r="N387" s="466"/>
      <c r="O387" s="466"/>
    </row>
    <row r="388" spans="1:15" s="514" customFormat="1" x14ac:dyDescent="0.25">
      <c r="A388" s="520" t="s">
        <v>1782</v>
      </c>
      <c r="B388" s="615" t="s">
        <v>1182</v>
      </c>
      <c r="C388" s="235" t="s">
        <v>406</v>
      </c>
      <c r="D388" s="443" t="s">
        <v>2271</v>
      </c>
      <c r="E388" s="238">
        <v>200</v>
      </c>
      <c r="F388" s="292">
        <f>F389</f>
        <v>2076.5000000000005</v>
      </c>
      <c r="G388" s="476"/>
      <c r="H388" s="476">
        <f>H389</f>
        <v>728.9</v>
      </c>
      <c r="I388" s="476"/>
      <c r="J388" s="476">
        <f>J389</f>
        <v>728.9</v>
      </c>
      <c r="K388" s="476"/>
      <c r="L388" s="466"/>
      <c r="N388" s="466"/>
      <c r="O388" s="466"/>
    </row>
    <row r="389" spans="1:15" s="514" customFormat="1" ht="31.5" x14ac:dyDescent="0.25">
      <c r="A389" s="520" t="s">
        <v>1274</v>
      </c>
      <c r="B389" s="618" t="s">
        <v>1182</v>
      </c>
      <c r="C389" s="254" t="s">
        <v>406</v>
      </c>
      <c r="D389" s="443" t="s">
        <v>2271</v>
      </c>
      <c r="E389" s="238">
        <v>240</v>
      </c>
      <c r="F389" s="292">
        <f>'ведом. 2021-2023'!AD902</f>
        <v>2076.5000000000005</v>
      </c>
      <c r="G389" s="476"/>
      <c r="H389" s="476">
        <f>'ведом. 2021-2023'!AE902</f>
        <v>728.9</v>
      </c>
      <c r="I389" s="476"/>
      <c r="J389" s="476">
        <f>'ведом. 2021-2023'!AF902</f>
        <v>728.9</v>
      </c>
      <c r="K389" s="476"/>
      <c r="L389" s="466"/>
      <c r="N389" s="466"/>
      <c r="O389" s="466"/>
    </row>
    <row r="390" spans="1:15" s="442" customFormat="1" x14ac:dyDescent="0.25">
      <c r="A390" s="532" t="s">
        <v>2236</v>
      </c>
      <c r="B390" s="618" t="s">
        <v>1182</v>
      </c>
      <c r="C390" s="254" t="s">
        <v>406</v>
      </c>
      <c r="D390" s="443" t="s">
        <v>2237</v>
      </c>
      <c r="E390" s="238"/>
      <c r="F390" s="292">
        <f>F391</f>
        <v>4649</v>
      </c>
      <c r="G390" s="476"/>
      <c r="H390" s="476">
        <f>H391</f>
        <v>1000</v>
      </c>
      <c r="I390" s="476"/>
      <c r="J390" s="476">
        <f>J391</f>
        <v>1000</v>
      </c>
      <c r="K390" s="476"/>
      <c r="L390" s="466"/>
      <c r="N390" s="466"/>
      <c r="O390" s="466"/>
    </row>
    <row r="391" spans="1:15" s="442" customFormat="1" ht="31.5" x14ac:dyDescent="0.25">
      <c r="A391" s="524" t="s">
        <v>1274</v>
      </c>
      <c r="B391" s="615" t="s">
        <v>1182</v>
      </c>
      <c r="C391" s="235" t="s">
        <v>406</v>
      </c>
      <c r="D391" s="443" t="s">
        <v>2237</v>
      </c>
      <c r="E391" s="238">
        <v>200</v>
      </c>
      <c r="F391" s="292">
        <f>F392</f>
        <v>4649</v>
      </c>
      <c r="G391" s="476"/>
      <c r="H391" s="476">
        <f>H392</f>
        <v>1000</v>
      </c>
      <c r="I391" s="476"/>
      <c r="J391" s="476">
        <f>J392</f>
        <v>1000</v>
      </c>
      <c r="K391" s="476"/>
      <c r="L391" s="466"/>
      <c r="N391" s="466"/>
      <c r="O391" s="466"/>
    </row>
    <row r="392" spans="1:15" s="442" customFormat="1" x14ac:dyDescent="0.25">
      <c r="A392" s="524" t="s">
        <v>1782</v>
      </c>
      <c r="B392" s="615" t="s">
        <v>1182</v>
      </c>
      <c r="C392" s="235" t="s">
        <v>406</v>
      </c>
      <c r="D392" s="443" t="s">
        <v>2237</v>
      </c>
      <c r="E392" s="238">
        <v>240</v>
      </c>
      <c r="F392" s="292">
        <f>'ведом. 2021-2023'!AD905</f>
        <v>4649</v>
      </c>
      <c r="G392" s="476"/>
      <c r="H392" s="476">
        <f>'ведом. 2021-2023'!AE905</f>
        <v>1000</v>
      </c>
      <c r="I392" s="476"/>
      <c r="J392" s="476">
        <f>'ведом. 2021-2023'!AF905</f>
        <v>1000</v>
      </c>
      <c r="K392" s="476"/>
      <c r="L392" s="466"/>
      <c r="N392" s="466"/>
      <c r="O392" s="466"/>
    </row>
    <row r="393" spans="1:15" s="442" customFormat="1" ht="31.5" x14ac:dyDescent="0.25">
      <c r="A393" s="522" t="s">
        <v>2149</v>
      </c>
      <c r="B393" s="618" t="s">
        <v>1182</v>
      </c>
      <c r="C393" s="254" t="s">
        <v>406</v>
      </c>
      <c r="D393" s="443" t="s">
        <v>2214</v>
      </c>
      <c r="E393" s="238"/>
      <c r="F393" s="292">
        <f t="shared" ref="F393:K394" si="65">F394</f>
        <v>24984</v>
      </c>
      <c r="G393" s="476">
        <f>G394</f>
        <v>23734</v>
      </c>
      <c r="H393" s="476">
        <f t="shared" si="65"/>
        <v>5599</v>
      </c>
      <c r="I393" s="476">
        <f t="shared" si="65"/>
        <v>5319</v>
      </c>
      <c r="J393" s="476">
        <f t="shared" si="65"/>
        <v>7666</v>
      </c>
      <c r="K393" s="476">
        <f t="shared" si="65"/>
        <v>7282</v>
      </c>
      <c r="L393" s="466"/>
      <c r="N393" s="466"/>
      <c r="O393" s="466"/>
    </row>
    <row r="394" spans="1:15" s="442" customFormat="1" x14ac:dyDescent="0.25">
      <c r="A394" s="524" t="s">
        <v>1782</v>
      </c>
      <c r="B394" s="618" t="s">
        <v>1182</v>
      </c>
      <c r="C394" s="254" t="s">
        <v>406</v>
      </c>
      <c r="D394" s="443" t="s">
        <v>2214</v>
      </c>
      <c r="E394" s="238">
        <v>200</v>
      </c>
      <c r="F394" s="292">
        <f t="shared" si="65"/>
        <v>24984</v>
      </c>
      <c r="G394" s="476">
        <f>G395</f>
        <v>23734</v>
      </c>
      <c r="H394" s="476">
        <f t="shared" si="65"/>
        <v>5599</v>
      </c>
      <c r="I394" s="476">
        <f t="shared" si="65"/>
        <v>5319</v>
      </c>
      <c r="J394" s="476">
        <f t="shared" si="65"/>
        <v>7666</v>
      </c>
      <c r="K394" s="476">
        <f t="shared" si="65"/>
        <v>7282</v>
      </c>
      <c r="L394" s="466"/>
      <c r="N394" s="466"/>
      <c r="O394" s="466"/>
    </row>
    <row r="395" spans="1:15" s="442" customFormat="1" ht="31.5" x14ac:dyDescent="0.25">
      <c r="A395" s="524" t="s">
        <v>1274</v>
      </c>
      <c r="B395" s="618" t="s">
        <v>1182</v>
      </c>
      <c r="C395" s="254" t="s">
        <v>406</v>
      </c>
      <c r="D395" s="443" t="s">
        <v>2214</v>
      </c>
      <c r="E395" s="238">
        <v>240</v>
      </c>
      <c r="F395" s="292">
        <f>'ведом. 2021-2023'!AD908</f>
        <v>24984</v>
      </c>
      <c r="G395" s="476">
        <f>25534-1800</f>
        <v>23734</v>
      </c>
      <c r="H395" s="476">
        <f>'ведом. 2021-2023'!AE908</f>
        <v>5599</v>
      </c>
      <c r="I395" s="476">
        <v>5319</v>
      </c>
      <c r="J395" s="476">
        <f>'ведом. 2021-2023'!AF908</f>
        <v>7666</v>
      </c>
      <c r="K395" s="476">
        <f>13592-6310</f>
        <v>7282</v>
      </c>
      <c r="L395" s="466"/>
      <c r="N395" s="466"/>
      <c r="O395" s="466"/>
    </row>
    <row r="396" spans="1:15" s="442" customFormat="1" x14ac:dyDescent="0.25">
      <c r="A396" s="521" t="s">
        <v>1161</v>
      </c>
      <c r="B396" s="618" t="s">
        <v>1182</v>
      </c>
      <c r="C396" s="254" t="s">
        <v>406</v>
      </c>
      <c r="D396" s="443" t="s">
        <v>2215</v>
      </c>
      <c r="E396" s="577"/>
      <c r="F396" s="292">
        <f>F397</f>
        <v>37954.6</v>
      </c>
      <c r="G396" s="476"/>
      <c r="H396" s="476">
        <f>H397</f>
        <v>20718.099999999999</v>
      </c>
      <c r="I396" s="476"/>
      <c r="J396" s="476">
        <f>J397</f>
        <v>20718.099999999999</v>
      </c>
      <c r="K396" s="476"/>
      <c r="L396" s="466"/>
      <c r="N396" s="466"/>
      <c r="O396" s="466"/>
    </row>
    <row r="397" spans="1:15" s="442" customFormat="1" ht="31.5" x14ac:dyDescent="0.25">
      <c r="A397" s="521" t="s">
        <v>1910</v>
      </c>
      <c r="B397" s="618" t="s">
        <v>1182</v>
      </c>
      <c r="C397" s="254" t="s">
        <v>406</v>
      </c>
      <c r="D397" s="443" t="s">
        <v>2216</v>
      </c>
      <c r="E397" s="238"/>
      <c r="F397" s="292">
        <f>F398</f>
        <v>37954.6</v>
      </c>
      <c r="G397" s="476"/>
      <c r="H397" s="476">
        <f>H398</f>
        <v>20718.099999999999</v>
      </c>
      <c r="I397" s="476"/>
      <c r="J397" s="476">
        <f>J398</f>
        <v>20718.099999999999</v>
      </c>
      <c r="K397" s="476"/>
      <c r="L397" s="466"/>
      <c r="N397" s="466"/>
      <c r="O397" s="466"/>
    </row>
    <row r="398" spans="1:15" s="442" customFormat="1" ht="31.5" x14ac:dyDescent="0.25">
      <c r="A398" s="529" t="s">
        <v>2140</v>
      </c>
      <c r="B398" s="618" t="s">
        <v>1182</v>
      </c>
      <c r="C398" s="254" t="s">
        <v>406</v>
      </c>
      <c r="D398" s="443" t="s">
        <v>2217</v>
      </c>
      <c r="E398" s="238"/>
      <c r="F398" s="292">
        <f>F399</f>
        <v>37954.6</v>
      </c>
      <c r="G398" s="476"/>
      <c r="H398" s="476">
        <f>H399</f>
        <v>20718.099999999999</v>
      </c>
      <c r="I398" s="476"/>
      <c r="J398" s="476">
        <f>J399</f>
        <v>20718.099999999999</v>
      </c>
      <c r="K398" s="476"/>
      <c r="L398" s="466"/>
      <c r="N398" s="466"/>
      <c r="O398" s="466"/>
    </row>
    <row r="399" spans="1:15" s="442" customFormat="1" ht="31.5" x14ac:dyDescent="0.25">
      <c r="A399" s="524" t="s">
        <v>1343</v>
      </c>
      <c r="B399" s="618" t="s">
        <v>1182</v>
      </c>
      <c r="C399" s="254" t="s">
        <v>406</v>
      </c>
      <c r="D399" s="443" t="s">
        <v>2217</v>
      </c>
      <c r="E399" s="238">
        <v>600</v>
      </c>
      <c r="F399" s="292">
        <f>F400</f>
        <v>37954.6</v>
      </c>
      <c r="G399" s="476"/>
      <c r="H399" s="476">
        <f>H400</f>
        <v>20718.099999999999</v>
      </c>
      <c r="I399" s="476"/>
      <c r="J399" s="476">
        <f>J400</f>
        <v>20718.099999999999</v>
      </c>
      <c r="K399" s="476"/>
      <c r="L399" s="466"/>
      <c r="N399" s="466"/>
      <c r="O399" s="466"/>
    </row>
    <row r="400" spans="1:15" s="442" customFormat="1" x14ac:dyDescent="0.25">
      <c r="A400" s="524" t="s">
        <v>1344</v>
      </c>
      <c r="B400" s="618" t="s">
        <v>1182</v>
      </c>
      <c r="C400" s="254" t="s">
        <v>406</v>
      </c>
      <c r="D400" s="443" t="s">
        <v>2217</v>
      </c>
      <c r="E400" s="238">
        <v>610</v>
      </c>
      <c r="F400" s="292">
        <f>'ведом. 2021-2023'!AD265</f>
        <v>37954.6</v>
      </c>
      <c r="G400" s="476"/>
      <c r="H400" s="476">
        <f>'ведом. 2021-2023'!AE265</f>
        <v>20718.099999999999</v>
      </c>
      <c r="I400" s="476"/>
      <c r="J400" s="476">
        <f>'ведом. 2021-2023'!AF265</f>
        <v>20718.099999999999</v>
      </c>
      <c r="K400" s="476"/>
      <c r="L400" s="466"/>
      <c r="N400" s="466"/>
      <c r="O400" s="466"/>
    </row>
    <row r="401" spans="1:15" s="514" customFormat="1" x14ac:dyDescent="0.25">
      <c r="A401" s="549" t="s">
        <v>1973</v>
      </c>
      <c r="B401" s="254" t="s">
        <v>1182</v>
      </c>
      <c r="C401" s="254" t="s">
        <v>406</v>
      </c>
      <c r="D401" s="443" t="s">
        <v>1974</v>
      </c>
      <c r="E401" s="238"/>
      <c r="F401" s="292">
        <f t="shared" ref="F401:J412" si="66">F402</f>
        <v>22636.9</v>
      </c>
      <c r="G401" s="292">
        <f t="shared" si="66"/>
        <v>18562.2</v>
      </c>
      <c r="H401" s="292">
        <f t="shared" si="66"/>
        <v>0</v>
      </c>
      <c r="I401" s="292"/>
      <c r="J401" s="292">
        <f t="shared" si="66"/>
        <v>0</v>
      </c>
      <c r="K401" s="292"/>
      <c r="L401" s="466"/>
      <c r="N401" s="466"/>
      <c r="O401" s="466"/>
    </row>
    <row r="402" spans="1:15" s="514" customFormat="1" x14ac:dyDescent="0.25">
      <c r="A402" s="549" t="s">
        <v>2343</v>
      </c>
      <c r="B402" s="254" t="s">
        <v>1182</v>
      </c>
      <c r="C402" s="254" t="s">
        <v>406</v>
      </c>
      <c r="D402" s="443" t="s">
        <v>2344</v>
      </c>
      <c r="E402" s="238"/>
      <c r="F402" s="292">
        <f>F410+F403</f>
        <v>22636.9</v>
      </c>
      <c r="G402" s="292">
        <f t="shared" ref="G402:J402" si="67">G410+G403</f>
        <v>18562.2</v>
      </c>
      <c r="H402" s="292">
        <f t="shared" si="67"/>
        <v>0</v>
      </c>
      <c r="I402" s="292"/>
      <c r="J402" s="292">
        <f t="shared" si="67"/>
        <v>0</v>
      </c>
      <c r="K402" s="292"/>
      <c r="L402" s="466"/>
      <c r="N402" s="466"/>
      <c r="O402" s="466"/>
    </row>
    <row r="403" spans="1:15" s="514" customFormat="1" ht="31.5" x14ac:dyDescent="0.25">
      <c r="A403" s="549" t="s">
        <v>2410</v>
      </c>
      <c r="B403" s="254" t="s">
        <v>1182</v>
      </c>
      <c r="C403" s="254" t="s">
        <v>406</v>
      </c>
      <c r="D403" s="443" t="s">
        <v>2411</v>
      </c>
      <c r="E403" s="238"/>
      <c r="F403" s="292">
        <f>F404+F407</f>
        <v>7888.2</v>
      </c>
      <c r="G403" s="292">
        <f>G404+G407</f>
        <v>6468.3</v>
      </c>
      <c r="H403" s="292">
        <f t="shared" ref="H403:J403" si="68">H404</f>
        <v>0</v>
      </c>
      <c r="I403" s="292"/>
      <c r="J403" s="292">
        <f t="shared" si="68"/>
        <v>0</v>
      </c>
      <c r="K403" s="292"/>
      <c r="L403" s="466"/>
      <c r="N403" s="466"/>
      <c r="O403" s="466"/>
    </row>
    <row r="404" spans="1:15" s="514" customFormat="1" x14ac:dyDescent="0.25">
      <c r="A404" s="520" t="s">
        <v>2437</v>
      </c>
      <c r="B404" s="254" t="s">
        <v>1182</v>
      </c>
      <c r="C404" s="254" t="s">
        <v>406</v>
      </c>
      <c r="D404" s="443" t="s">
        <v>2438</v>
      </c>
      <c r="E404" s="580"/>
      <c r="F404" s="292">
        <f>F405</f>
        <v>7303.5</v>
      </c>
      <c r="G404" s="292">
        <f t="shared" ref="G404:J405" si="69">G405</f>
        <v>5988.8</v>
      </c>
      <c r="H404" s="292">
        <f t="shared" si="69"/>
        <v>0</v>
      </c>
      <c r="I404" s="292"/>
      <c r="J404" s="292">
        <f t="shared" si="69"/>
        <v>0</v>
      </c>
      <c r="K404" s="292"/>
      <c r="L404" s="466"/>
      <c r="N404" s="466"/>
      <c r="O404" s="466"/>
    </row>
    <row r="405" spans="1:15" s="514" customFormat="1" x14ac:dyDescent="0.25">
      <c r="A405" s="520" t="s">
        <v>1782</v>
      </c>
      <c r="B405" s="254" t="s">
        <v>1182</v>
      </c>
      <c r="C405" s="254" t="s">
        <v>406</v>
      </c>
      <c r="D405" s="443" t="s">
        <v>2438</v>
      </c>
      <c r="E405" s="580" t="s">
        <v>821</v>
      </c>
      <c r="F405" s="292">
        <f>F406</f>
        <v>7303.5</v>
      </c>
      <c r="G405" s="292">
        <f t="shared" ref="G405:H405" si="70">G406</f>
        <v>5988.8</v>
      </c>
      <c r="H405" s="292">
        <f t="shared" si="70"/>
        <v>0</v>
      </c>
      <c r="I405" s="292"/>
      <c r="J405" s="292">
        <f t="shared" si="69"/>
        <v>0</v>
      </c>
      <c r="K405" s="292"/>
      <c r="L405" s="466"/>
      <c r="N405" s="466"/>
      <c r="O405" s="466"/>
    </row>
    <row r="406" spans="1:15" s="514" customFormat="1" ht="31.5" x14ac:dyDescent="0.25">
      <c r="A406" s="520" t="s">
        <v>1274</v>
      </c>
      <c r="B406" s="254" t="s">
        <v>1182</v>
      </c>
      <c r="C406" s="254" t="s">
        <v>406</v>
      </c>
      <c r="D406" s="443" t="s">
        <v>2438</v>
      </c>
      <c r="E406" s="580" t="s">
        <v>1480</v>
      </c>
      <c r="F406" s="292">
        <f>'ведом. 2021-2023'!AD914</f>
        <v>7303.5</v>
      </c>
      <c r="G406" s="292">
        <f>2633.9+3354.9</f>
        <v>5988.8</v>
      </c>
      <c r="H406" s="292">
        <v>0</v>
      </c>
      <c r="I406" s="292"/>
      <c r="J406" s="292">
        <v>0</v>
      </c>
      <c r="K406" s="292"/>
      <c r="L406" s="466"/>
      <c r="N406" s="466"/>
      <c r="O406" s="466"/>
    </row>
    <row r="407" spans="1:15" s="514" customFormat="1" x14ac:dyDescent="0.25">
      <c r="A407" s="520" t="s">
        <v>2442</v>
      </c>
      <c r="B407" s="254" t="s">
        <v>1182</v>
      </c>
      <c r="C407" s="254" t="s">
        <v>406</v>
      </c>
      <c r="D407" s="443" t="s">
        <v>2441</v>
      </c>
      <c r="E407" s="580"/>
      <c r="F407" s="292">
        <f>F408</f>
        <v>584.70000000000005</v>
      </c>
      <c r="G407" s="292">
        <f>G408</f>
        <v>479.5</v>
      </c>
      <c r="H407" s="292">
        <f t="shared" ref="H407:K407" si="71">H408</f>
        <v>0</v>
      </c>
      <c r="I407" s="292">
        <f t="shared" si="71"/>
        <v>0</v>
      </c>
      <c r="J407" s="292">
        <f t="shared" si="71"/>
        <v>0</v>
      </c>
      <c r="K407" s="292">
        <f t="shared" si="71"/>
        <v>0</v>
      </c>
      <c r="L407" s="466"/>
      <c r="N407" s="466"/>
      <c r="O407" s="466"/>
    </row>
    <row r="408" spans="1:15" s="514" customFormat="1" x14ac:dyDescent="0.25">
      <c r="A408" s="520" t="s">
        <v>1782</v>
      </c>
      <c r="B408" s="254" t="s">
        <v>1182</v>
      </c>
      <c r="C408" s="254" t="s">
        <v>406</v>
      </c>
      <c r="D408" s="443" t="s">
        <v>2441</v>
      </c>
      <c r="E408" s="580" t="s">
        <v>821</v>
      </c>
      <c r="F408" s="292">
        <f>F409</f>
        <v>584.70000000000005</v>
      </c>
      <c r="G408" s="292">
        <f>G409</f>
        <v>479.5</v>
      </c>
      <c r="H408" s="292">
        <f t="shared" ref="H408:K408" si="72">H409</f>
        <v>0</v>
      </c>
      <c r="I408" s="292">
        <f t="shared" si="72"/>
        <v>0</v>
      </c>
      <c r="J408" s="292">
        <f t="shared" si="72"/>
        <v>0</v>
      </c>
      <c r="K408" s="292">
        <f t="shared" si="72"/>
        <v>0</v>
      </c>
      <c r="L408" s="466"/>
      <c r="N408" s="466"/>
      <c r="O408" s="466"/>
    </row>
    <row r="409" spans="1:15" s="514" customFormat="1" ht="31.5" x14ac:dyDescent="0.25">
      <c r="A409" s="520" t="s">
        <v>1274</v>
      </c>
      <c r="B409" s="254" t="s">
        <v>1182</v>
      </c>
      <c r="C409" s="254" t="s">
        <v>406</v>
      </c>
      <c r="D409" s="443" t="s">
        <v>2441</v>
      </c>
      <c r="E409" s="580" t="s">
        <v>1480</v>
      </c>
      <c r="F409" s="292">
        <f>'ведом. 2021-2023'!AD917</f>
        <v>584.70000000000005</v>
      </c>
      <c r="G409" s="292">
        <v>479.5</v>
      </c>
      <c r="H409" s="292">
        <v>0</v>
      </c>
      <c r="I409" s="292">
        <v>0</v>
      </c>
      <c r="J409" s="292">
        <v>0</v>
      </c>
      <c r="K409" s="292">
        <v>0</v>
      </c>
      <c r="L409" s="466"/>
      <c r="N409" s="466"/>
      <c r="O409" s="466"/>
    </row>
    <row r="410" spans="1:15" s="514" customFormat="1" x14ac:dyDescent="0.25">
      <c r="A410" s="520" t="s">
        <v>2345</v>
      </c>
      <c r="B410" s="254" t="s">
        <v>1182</v>
      </c>
      <c r="C410" s="254" t="s">
        <v>406</v>
      </c>
      <c r="D410" s="443" t="s">
        <v>2348</v>
      </c>
      <c r="E410" s="238"/>
      <c r="F410" s="292">
        <f t="shared" si="66"/>
        <v>14748.7</v>
      </c>
      <c r="G410" s="292">
        <f t="shared" si="66"/>
        <v>12093.9</v>
      </c>
      <c r="H410" s="292">
        <f t="shared" si="66"/>
        <v>0</v>
      </c>
      <c r="I410" s="292"/>
      <c r="J410" s="292">
        <f t="shared" si="66"/>
        <v>0</v>
      </c>
      <c r="K410" s="292"/>
      <c r="L410" s="466"/>
      <c r="N410" s="466"/>
      <c r="O410" s="466"/>
    </row>
    <row r="411" spans="1:15" s="514" customFormat="1" x14ac:dyDescent="0.25">
      <c r="A411" s="520" t="s">
        <v>2421</v>
      </c>
      <c r="B411" s="254" t="s">
        <v>1182</v>
      </c>
      <c r="C411" s="254" t="s">
        <v>406</v>
      </c>
      <c r="D411" s="835" t="s">
        <v>2422</v>
      </c>
      <c r="E411" s="238"/>
      <c r="F411" s="292">
        <f t="shared" si="66"/>
        <v>14748.7</v>
      </c>
      <c r="G411" s="292">
        <f t="shared" si="66"/>
        <v>12093.9</v>
      </c>
      <c r="H411" s="292">
        <f t="shared" si="66"/>
        <v>0</v>
      </c>
      <c r="I411" s="292"/>
      <c r="J411" s="292">
        <f t="shared" si="66"/>
        <v>0</v>
      </c>
      <c r="K411" s="292"/>
      <c r="L411" s="466"/>
      <c r="N411" s="466"/>
      <c r="O411" s="466"/>
    </row>
    <row r="412" spans="1:15" s="514" customFormat="1" x14ac:dyDescent="0.25">
      <c r="A412" s="520" t="s">
        <v>1782</v>
      </c>
      <c r="B412" s="254" t="s">
        <v>1182</v>
      </c>
      <c r="C412" s="254" t="s">
        <v>406</v>
      </c>
      <c r="D412" s="835" t="s">
        <v>2422</v>
      </c>
      <c r="E412" s="238">
        <v>200</v>
      </c>
      <c r="F412" s="292">
        <f t="shared" si="66"/>
        <v>14748.7</v>
      </c>
      <c r="G412" s="292">
        <f t="shared" si="66"/>
        <v>12093.9</v>
      </c>
      <c r="H412" s="292">
        <f t="shared" si="66"/>
        <v>0</v>
      </c>
      <c r="I412" s="292"/>
      <c r="J412" s="292">
        <f t="shared" si="66"/>
        <v>0</v>
      </c>
      <c r="K412" s="292"/>
      <c r="L412" s="466"/>
      <c r="N412" s="466"/>
      <c r="O412" s="466"/>
    </row>
    <row r="413" spans="1:15" s="514" customFormat="1" ht="31.5" x14ac:dyDescent="0.25">
      <c r="A413" s="520" t="s">
        <v>1274</v>
      </c>
      <c r="B413" s="254" t="s">
        <v>1182</v>
      </c>
      <c r="C413" s="254" t="s">
        <v>406</v>
      </c>
      <c r="D413" s="835" t="s">
        <v>2422</v>
      </c>
      <c r="E413" s="238">
        <v>240</v>
      </c>
      <c r="F413" s="292">
        <f>'ведом. 2021-2023'!AD921</f>
        <v>14748.7</v>
      </c>
      <c r="G413" s="476">
        <v>12093.9</v>
      </c>
      <c r="H413" s="476">
        <v>0</v>
      </c>
      <c r="I413" s="476"/>
      <c r="J413" s="476">
        <f>'ведом. 2021-2023'!AF921</f>
        <v>0</v>
      </c>
      <c r="K413" s="476"/>
      <c r="L413" s="466"/>
      <c r="N413" s="466"/>
      <c r="O413" s="466"/>
    </row>
    <row r="414" spans="1:15" s="442" customFormat="1" x14ac:dyDescent="0.25">
      <c r="A414" s="610" t="s">
        <v>626</v>
      </c>
      <c r="B414" s="615" t="s">
        <v>1182</v>
      </c>
      <c r="C414" s="235">
        <v>10</v>
      </c>
      <c r="D414" s="256"/>
      <c r="E414" s="238"/>
      <c r="F414" s="292">
        <f t="shared" ref="F414:K414" si="73">F415</f>
        <v>2651</v>
      </c>
      <c r="G414" s="476">
        <f t="shared" si="73"/>
        <v>275</v>
      </c>
      <c r="H414" s="476">
        <f t="shared" si="73"/>
        <v>693</v>
      </c>
      <c r="I414" s="476">
        <f t="shared" si="73"/>
        <v>276</v>
      </c>
      <c r="J414" s="476">
        <f t="shared" si="73"/>
        <v>694</v>
      </c>
      <c r="K414" s="476">
        <f t="shared" si="73"/>
        <v>290</v>
      </c>
      <c r="L414" s="466"/>
      <c r="N414" s="466"/>
      <c r="O414" s="466"/>
    </row>
    <row r="415" spans="1:15" s="442" customFormat="1" x14ac:dyDescent="0.25">
      <c r="A415" s="521" t="s">
        <v>1958</v>
      </c>
      <c r="B415" s="246" t="s">
        <v>1182</v>
      </c>
      <c r="C415" s="255">
        <v>10</v>
      </c>
      <c r="D415" s="443" t="s">
        <v>1959</v>
      </c>
      <c r="E415" s="238"/>
      <c r="F415" s="292">
        <f t="shared" ref="F415:K415" si="74">F416</f>
        <v>2651</v>
      </c>
      <c r="G415" s="476">
        <f t="shared" si="74"/>
        <v>275</v>
      </c>
      <c r="H415" s="476">
        <f t="shared" si="74"/>
        <v>693</v>
      </c>
      <c r="I415" s="476">
        <f t="shared" si="74"/>
        <v>276</v>
      </c>
      <c r="J415" s="476">
        <f t="shared" si="74"/>
        <v>694</v>
      </c>
      <c r="K415" s="476">
        <f t="shared" si="74"/>
        <v>290</v>
      </c>
      <c r="L415" s="466"/>
      <c r="N415" s="466"/>
      <c r="O415" s="466"/>
    </row>
    <row r="416" spans="1:15" s="442" customFormat="1" ht="31.5" x14ac:dyDescent="0.25">
      <c r="A416" s="521" t="s">
        <v>1965</v>
      </c>
      <c r="B416" s="246" t="s">
        <v>1182</v>
      </c>
      <c r="C416" s="255">
        <v>10</v>
      </c>
      <c r="D416" s="443" t="s">
        <v>1966</v>
      </c>
      <c r="E416" s="587"/>
      <c r="F416" s="292">
        <f t="shared" ref="F416:K416" si="75">F429+F417+F425+F421</f>
        <v>2651</v>
      </c>
      <c r="G416" s="476">
        <f t="shared" si="75"/>
        <v>275</v>
      </c>
      <c r="H416" s="476">
        <f t="shared" si="75"/>
        <v>693</v>
      </c>
      <c r="I416" s="476">
        <f t="shared" si="75"/>
        <v>276</v>
      </c>
      <c r="J416" s="476">
        <f t="shared" si="75"/>
        <v>694</v>
      </c>
      <c r="K416" s="476">
        <f t="shared" si="75"/>
        <v>290</v>
      </c>
      <c r="L416" s="466"/>
      <c r="N416" s="466"/>
      <c r="O416" s="466"/>
    </row>
    <row r="417" spans="1:15" s="514" customFormat="1" x14ac:dyDescent="0.25">
      <c r="A417" s="549" t="s">
        <v>2355</v>
      </c>
      <c r="B417" s="246" t="s">
        <v>1182</v>
      </c>
      <c r="C417" s="255">
        <v>10</v>
      </c>
      <c r="D417" s="443" t="s">
        <v>2356</v>
      </c>
      <c r="E417" s="587"/>
      <c r="F417" s="292">
        <f>F418</f>
        <v>1550</v>
      </c>
      <c r="G417" s="476"/>
      <c r="H417" s="476">
        <f>H418</f>
        <v>0</v>
      </c>
      <c r="I417" s="476"/>
      <c r="J417" s="476">
        <f>J418</f>
        <v>0</v>
      </c>
      <c r="K417" s="476"/>
      <c r="L417" s="466"/>
      <c r="N417" s="466"/>
      <c r="O417" s="466"/>
    </row>
    <row r="418" spans="1:15" s="514" customFormat="1" x14ac:dyDescent="0.25">
      <c r="A418" s="532" t="s">
        <v>2357</v>
      </c>
      <c r="B418" s="246" t="s">
        <v>1182</v>
      </c>
      <c r="C418" s="255">
        <v>10</v>
      </c>
      <c r="D418" s="443" t="s">
        <v>2358</v>
      </c>
      <c r="E418" s="588"/>
      <c r="F418" s="292">
        <f>F419</f>
        <v>1550</v>
      </c>
      <c r="G418" s="476"/>
      <c r="H418" s="476">
        <f>H419</f>
        <v>0</v>
      </c>
      <c r="I418" s="476"/>
      <c r="J418" s="476">
        <f>J419</f>
        <v>0</v>
      </c>
      <c r="K418" s="476"/>
      <c r="L418" s="466"/>
      <c r="N418" s="466"/>
      <c r="O418" s="466"/>
    </row>
    <row r="419" spans="1:15" s="514" customFormat="1" x14ac:dyDescent="0.25">
      <c r="A419" s="520" t="s">
        <v>1782</v>
      </c>
      <c r="B419" s="246" t="s">
        <v>1182</v>
      </c>
      <c r="C419" s="255">
        <v>10</v>
      </c>
      <c r="D419" s="443" t="s">
        <v>2358</v>
      </c>
      <c r="E419" s="238">
        <v>200</v>
      </c>
      <c r="F419" s="292">
        <f>F420</f>
        <v>1550</v>
      </c>
      <c r="G419" s="476"/>
      <c r="H419" s="476">
        <f>H420</f>
        <v>0</v>
      </c>
      <c r="I419" s="476"/>
      <c r="J419" s="476">
        <f>J420</f>
        <v>0</v>
      </c>
      <c r="K419" s="476"/>
      <c r="L419" s="466"/>
      <c r="N419" s="466"/>
      <c r="O419" s="466"/>
    </row>
    <row r="420" spans="1:15" s="514" customFormat="1" ht="31.5" x14ac:dyDescent="0.25">
      <c r="A420" s="520" t="s">
        <v>1274</v>
      </c>
      <c r="B420" s="246" t="s">
        <v>1182</v>
      </c>
      <c r="C420" s="255">
        <v>10</v>
      </c>
      <c r="D420" s="443" t="s">
        <v>2358</v>
      </c>
      <c r="E420" s="238">
        <v>240</v>
      </c>
      <c r="F420" s="292">
        <f>'ведом. 2021-2023'!AD272</f>
        <v>1550</v>
      </c>
      <c r="G420" s="476"/>
      <c r="H420" s="476">
        <f>'ведом. 2021-2023'!AE272</f>
        <v>0</v>
      </c>
      <c r="I420" s="476"/>
      <c r="J420" s="476">
        <f>'ведом. 2021-2023'!AF272</f>
        <v>0</v>
      </c>
      <c r="K420" s="476"/>
      <c r="L420" s="466"/>
      <c r="N420" s="466"/>
      <c r="O420" s="466"/>
    </row>
    <row r="421" spans="1:15" s="514" customFormat="1" x14ac:dyDescent="0.25">
      <c r="A421" s="549" t="s">
        <v>2406</v>
      </c>
      <c r="B421" s="246" t="s">
        <v>1182</v>
      </c>
      <c r="C421" s="255">
        <v>10</v>
      </c>
      <c r="D421" s="443" t="s">
        <v>2407</v>
      </c>
      <c r="E421" s="238"/>
      <c r="F421" s="292">
        <f>F422</f>
        <v>110</v>
      </c>
      <c r="G421" s="476"/>
      <c r="H421" s="476">
        <f>H422</f>
        <v>0</v>
      </c>
      <c r="I421" s="476"/>
      <c r="J421" s="476">
        <f>J422</f>
        <v>0</v>
      </c>
      <c r="K421" s="476"/>
      <c r="L421" s="466"/>
      <c r="N421" s="466"/>
      <c r="O421" s="466"/>
    </row>
    <row r="422" spans="1:15" s="514" customFormat="1" x14ac:dyDescent="0.25">
      <c r="A422" s="532" t="s">
        <v>2408</v>
      </c>
      <c r="B422" s="246" t="s">
        <v>1182</v>
      </c>
      <c r="C422" s="255">
        <v>10</v>
      </c>
      <c r="D422" s="443" t="s">
        <v>2409</v>
      </c>
      <c r="E422" s="238"/>
      <c r="F422" s="292">
        <f>F423</f>
        <v>110</v>
      </c>
      <c r="G422" s="476"/>
      <c r="H422" s="476">
        <f>H423</f>
        <v>0</v>
      </c>
      <c r="I422" s="476"/>
      <c r="J422" s="476">
        <f>J423</f>
        <v>0</v>
      </c>
      <c r="K422" s="476"/>
      <c r="L422" s="466"/>
      <c r="N422" s="466"/>
      <c r="O422" s="466"/>
    </row>
    <row r="423" spans="1:15" s="514" customFormat="1" x14ac:dyDescent="0.25">
      <c r="A423" s="520" t="s">
        <v>1782</v>
      </c>
      <c r="B423" s="246" t="s">
        <v>1182</v>
      </c>
      <c r="C423" s="255">
        <v>10</v>
      </c>
      <c r="D423" s="443" t="s">
        <v>2409</v>
      </c>
      <c r="E423" s="238">
        <v>200</v>
      </c>
      <c r="F423" s="292">
        <f>F424</f>
        <v>110</v>
      </c>
      <c r="G423" s="476"/>
      <c r="H423" s="476">
        <f>H424</f>
        <v>0</v>
      </c>
      <c r="I423" s="476"/>
      <c r="J423" s="476">
        <f>J424</f>
        <v>0</v>
      </c>
      <c r="K423" s="476"/>
      <c r="L423" s="466"/>
      <c r="N423" s="466"/>
      <c r="O423" s="466"/>
    </row>
    <row r="424" spans="1:15" s="514" customFormat="1" ht="31.5" x14ac:dyDescent="0.25">
      <c r="A424" s="520" t="s">
        <v>1274</v>
      </c>
      <c r="B424" s="246" t="s">
        <v>1182</v>
      </c>
      <c r="C424" s="255">
        <v>10</v>
      </c>
      <c r="D424" s="443" t="s">
        <v>2409</v>
      </c>
      <c r="E424" s="238">
        <v>240</v>
      </c>
      <c r="F424" s="292">
        <f>'ведом. 2021-2023'!AD276</f>
        <v>110</v>
      </c>
      <c r="G424" s="476"/>
      <c r="H424" s="476">
        <f>'ведом. 2021-2023'!AE276</f>
        <v>0</v>
      </c>
      <c r="I424" s="476"/>
      <c r="J424" s="476">
        <f>'ведом. 2021-2023'!AF276</f>
        <v>0</v>
      </c>
      <c r="K424" s="476"/>
      <c r="L424" s="466"/>
      <c r="N424" s="466"/>
      <c r="O424" s="466"/>
    </row>
    <row r="425" spans="1:15" s="514" customFormat="1" x14ac:dyDescent="0.25">
      <c r="A425" s="549" t="s">
        <v>2361</v>
      </c>
      <c r="B425" s="246" t="s">
        <v>1182</v>
      </c>
      <c r="C425" s="255">
        <v>10</v>
      </c>
      <c r="D425" s="443" t="s">
        <v>2362</v>
      </c>
      <c r="E425" s="238"/>
      <c r="F425" s="292">
        <f>F426</f>
        <v>297</v>
      </c>
      <c r="G425" s="476"/>
      <c r="H425" s="476">
        <f>H426</f>
        <v>0</v>
      </c>
      <c r="I425" s="476"/>
      <c r="J425" s="476">
        <f>J426</f>
        <v>0</v>
      </c>
      <c r="K425" s="476"/>
      <c r="L425" s="466"/>
      <c r="N425" s="466"/>
      <c r="O425" s="466"/>
    </row>
    <row r="426" spans="1:15" s="514" customFormat="1" x14ac:dyDescent="0.25">
      <c r="A426" s="532" t="s">
        <v>2363</v>
      </c>
      <c r="B426" s="246" t="s">
        <v>1182</v>
      </c>
      <c r="C426" s="255">
        <v>10</v>
      </c>
      <c r="D426" s="443" t="s">
        <v>2364</v>
      </c>
      <c r="E426" s="238"/>
      <c r="F426" s="292">
        <f>F427</f>
        <v>297</v>
      </c>
      <c r="G426" s="476"/>
      <c r="H426" s="476">
        <f>H427</f>
        <v>0</v>
      </c>
      <c r="I426" s="476"/>
      <c r="J426" s="476">
        <f>J427</f>
        <v>0</v>
      </c>
      <c r="K426" s="476"/>
      <c r="L426" s="466"/>
      <c r="N426" s="466"/>
      <c r="O426" s="466"/>
    </row>
    <row r="427" spans="1:15" s="514" customFormat="1" x14ac:dyDescent="0.25">
      <c r="A427" s="520" t="s">
        <v>1782</v>
      </c>
      <c r="B427" s="246" t="s">
        <v>1182</v>
      </c>
      <c r="C427" s="255">
        <v>10</v>
      </c>
      <c r="D427" s="443" t="s">
        <v>2364</v>
      </c>
      <c r="E427" s="238">
        <v>200</v>
      </c>
      <c r="F427" s="292">
        <f>F428</f>
        <v>297</v>
      </c>
      <c r="G427" s="476"/>
      <c r="H427" s="476">
        <f>H428</f>
        <v>0</v>
      </c>
      <c r="I427" s="476"/>
      <c r="J427" s="476">
        <f>J428</f>
        <v>0</v>
      </c>
      <c r="K427" s="476"/>
      <c r="L427" s="466"/>
      <c r="N427" s="466"/>
      <c r="O427" s="466"/>
    </row>
    <row r="428" spans="1:15" s="514" customFormat="1" ht="31.5" x14ac:dyDescent="0.25">
      <c r="A428" s="520" t="s">
        <v>1274</v>
      </c>
      <c r="B428" s="246" t="s">
        <v>1182</v>
      </c>
      <c r="C428" s="255">
        <v>10</v>
      </c>
      <c r="D428" s="443" t="s">
        <v>2364</v>
      </c>
      <c r="E428" s="238">
        <v>240</v>
      </c>
      <c r="F428" s="292">
        <f>'ведом. 2021-2023'!AD280</f>
        <v>297</v>
      </c>
      <c r="G428" s="476"/>
      <c r="H428" s="476">
        <f>'ведом. 2021-2023'!AE280</f>
        <v>0</v>
      </c>
      <c r="I428" s="476"/>
      <c r="J428" s="476">
        <f>'ведом. 2021-2023'!AF280</f>
        <v>0</v>
      </c>
      <c r="K428" s="476"/>
      <c r="L428" s="466"/>
      <c r="N428" s="466"/>
      <c r="O428" s="466"/>
    </row>
    <row r="429" spans="1:15" s="442" customFormat="1" x14ac:dyDescent="0.25">
      <c r="A429" s="521" t="s">
        <v>2150</v>
      </c>
      <c r="B429" s="246" t="s">
        <v>1182</v>
      </c>
      <c r="C429" s="255">
        <v>10</v>
      </c>
      <c r="D429" s="443" t="s">
        <v>2151</v>
      </c>
      <c r="E429" s="597"/>
      <c r="F429" s="292">
        <f t="shared" ref="F429:K429" si="76">F430</f>
        <v>694</v>
      </c>
      <c r="G429" s="476">
        <f t="shared" si="76"/>
        <v>275</v>
      </c>
      <c r="H429" s="476">
        <f t="shared" si="76"/>
        <v>693</v>
      </c>
      <c r="I429" s="476">
        <f t="shared" si="76"/>
        <v>276</v>
      </c>
      <c r="J429" s="476">
        <f t="shared" si="76"/>
        <v>694</v>
      </c>
      <c r="K429" s="476">
        <f t="shared" si="76"/>
        <v>290</v>
      </c>
      <c r="L429" s="466"/>
      <c r="N429" s="466"/>
      <c r="O429" s="466"/>
    </row>
    <row r="430" spans="1:15" s="442" customFormat="1" ht="63" x14ac:dyDescent="0.25">
      <c r="A430" s="551" t="s">
        <v>2418</v>
      </c>
      <c r="B430" s="246" t="s">
        <v>1182</v>
      </c>
      <c r="C430" s="255">
        <v>10</v>
      </c>
      <c r="D430" s="443" t="s">
        <v>2152</v>
      </c>
      <c r="E430" s="597"/>
      <c r="F430" s="292">
        <f t="shared" ref="F430:K431" si="77">F431</f>
        <v>694</v>
      </c>
      <c r="G430" s="476">
        <f t="shared" si="77"/>
        <v>275</v>
      </c>
      <c r="H430" s="476">
        <f t="shared" si="77"/>
        <v>693</v>
      </c>
      <c r="I430" s="476">
        <f t="shared" si="77"/>
        <v>276</v>
      </c>
      <c r="J430" s="476">
        <f t="shared" si="77"/>
        <v>694</v>
      </c>
      <c r="K430" s="476">
        <f t="shared" si="77"/>
        <v>290</v>
      </c>
      <c r="L430" s="466"/>
      <c r="N430" s="466"/>
      <c r="O430" s="466"/>
    </row>
    <row r="431" spans="1:15" s="442" customFormat="1" ht="31.5" x14ac:dyDescent="0.25">
      <c r="A431" s="524" t="s">
        <v>1343</v>
      </c>
      <c r="B431" s="246" t="s">
        <v>1182</v>
      </c>
      <c r="C431" s="255">
        <v>10</v>
      </c>
      <c r="D431" s="443" t="s">
        <v>2152</v>
      </c>
      <c r="E431" s="597">
        <v>600</v>
      </c>
      <c r="F431" s="292">
        <f t="shared" si="77"/>
        <v>694</v>
      </c>
      <c r="G431" s="476">
        <f t="shared" si="77"/>
        <v>275</v>
      </c>
      <c r="H431" s="476">
        <f t="shared" si="77"/>
        <v>693</v>
      </c>
      <c r="I431" s="476">
        <f t="shared" si="77"/>
        <v>276</v>
      </c>
      <c r="J431" s="476">
        <f t="shared" si="77"/>
        <v>694</v>
      </c>
      <c r="K431" s="476">
        <f t="shared" si="77"/>
        <v>290</v>
      </c>
      <c r="L431" s="466"/>
      <c r="N431" s="466"/>
      <c r="O431" s="466"/>
    </row>
    <row r="432" spans="1:15" s="442" customFormat="1" x14ac:dyDescent="0.25">
      <c r="A432" s="524" t="s">
        <v>1344</v>
      </c>
      <c r="B432" s="246" t="s">
        <v>1182</v>
      </c>
      <c r="C432" s="255">
        <v>10</v>
      </c>
      <c r="D432" s="443" t="s">
        <v>2152</v>
      </c>
      <c r="E432" s="597">
        <v>610</v>
      </c>
      <c r="F432" s="292">
        <f>'ведом. 2021-2023'!AD716</f>
        <v>694</v>
      </c>
      <c r="G432" s="476">
        <v>275</v>
      </c>
      <c r="H432" s="476">
        <f>'ведом. 2021-2023'!AE716</f>
        <v>693</v>
      </c>
      <c r="I432" s="476">
        <f>277-1</f>
        <v>276</v>
      </c>
      <c r="J432" s="476">
        <f>'ведом. 2021-2023'!AF716</f>
        <v>694</v>
      </c>
      <c r="K432" s="476">
        <f>291-1</f>
        <v>290</v>
      </c>
      <c r="L432" s="466"/>
      <c r="N432" s="466"/>
      <c r="O432" s="466"/>
    </row>
    <row r="433" spans="1:15" s="458" customFormat="1" x14ac:dyDescent="0.25">
      <c r="A433" s="524" t="s">
        <v>1254</v>
      </c>
      <c r="B433" s="615" t="s">
        <v>1182</v>
      </c>
      <c r="C433" s="235">
        <v>12</v>
      </c>
      <c r="D433" s="249"/>
      <c r="E433" s="577"/>
      <c r="F433" s="292">
        <f>F434+F443</f>
        <v>626</v>
      </c>
      <c r="G433" s="292">
        <f t="shared" ref="G433:K433" si="78">G434+G443</f>
        <v>251</v>
      </c>
      <c r="H433" s="292">
        <f t="shared" si="78"/>
        <v>326</v>
      </c>
      <c r="I433" s="292">
        <f t="shared" si="78"/>
        <v>251</v>
      </c>
      <c r="J433" s="292">
        <f t="shared" si="78"/>
        <v>326</v>
      </c>
      <c r="K433" s="292">
        <f t="shared" si="78"/>
        <v>251</v>
      </c>
      <c r="L433" s="466"/>
      <c r="N433" s="466"/>
      <c r="O433" s="466"/>
    </row>
    <row r="434" spans="1:15" s="458" customFormat="1" ht="31.5" x14ac:dyDescent="0.25">
      <c r="A434" s="521" t="s">
        <v>1854</v>
      </c>
      <c r="B434" s="615" t="s">
        <v>1182</v>
      </c>
      <c r="C434" s="235">
        <v>12</v>
      </c>
      <c r="D434" s="249" t="s">
        <v>1762</v>
      </c>
      <c r="E434" s="238"/>
      <c r="F434" s="292">
        <f t="shared" ref="F434:K435" si="79">F435</f>
        <v>326</v>
      </c>
      <c r="G434" s="476">
        <f t="shared" si="79"/>
        <v>251</v>
      </c>
      <c r="H434" s="476">
        <f t="shared" si="79"/>
        <v>326</v>
      </c>
      <c r="I434" s="476">
        <f t="shared" si="79"/>
        <v>251</v>
      </c>
      <c r="J434" s="476">
        <f t="shared" si="79"/>
        <v>326</v>
      </c>
      <c r="K434" s="476">
        <f t="shared" si="79"/>
        <v>251</v>
      </c>
      <c r="L434" s="466"/>
      <c r="N434" s="466"/>
      <c r="O434" s="466"/>
    </row>
    <row r="435" spans="1:15" s="458" customFormat="1" x14ac:dyDescent="0.25">
      <c r="A435" s="521" t="s">
        <v>1855</v>
      </c>
      <c r="B435" s="615" t="s">
        <v>1182</v>
      </c>
      <c r="C435" s="235">
        <v>12</v>
      </c>
      <c r="D435" s="249" t="s">
        <v>1766</v>
      </c>
      <c r="E435" s="238"/>
      <c r="F435" s="292">
        <f t="shared" si="79"/>
        <v>326</v>
      </c>
      <c r="G435" s="476">
        <f t="shared" si="79"/>
        <v>251</v>
      </c>
      <c r="H435" s="476">
        <f t="shared" si="79"/>
        <v>326</v>
      </c>
      <c r="I435" s="476">
        <f t="shared" si="79"/>
        <v>251</v>
      </c>
      <c r="J435" s="476">
        <f t="shared" si="79"/>
        <v>326</v>
      </c>
      <c r="K435" s="476">
        <f t="shared" si="79"/>
        <v>251</v>
      </c>
      <c r="L435" s="466"/>
      <c r="N435" s="466"/>
      <c r="O435" s="466"/>
    </row>
    <row r="436" spans="1:15" s="442" customFormat="1" x14ac:dyDescent="0.25">
      <c r="A436" s="523" t="s">
        <v>2282</v>
      </c>
      <c r="B436" s="615" t="s">
        <v>1182</v>
      </c>
      <c r="C436" s="235">
        <v>12</v>
      </c>
      <c r="D436" s="249" t="s">
        <v>2206</v>
      </c>
      <c r="E436" s="580"/>
      <c r="F436" s="292">
        <f t="shared" ref="F436:K436" si="80">F437+F440</f>
        <v>326</v>
      </c>
      <c r="G436" s="476">
        <f t="shared" si="80"/>
        <v>251</v>
      </c>
      <c r="H436" s="476">
        <f t="shared" si="80"/>
        <v>326</v>
      </c>
      <c r="I436" s="476">
        <f t="shared" si="80"/>
        <v>251</v>
      </c>
      <c r="J436" s="476">
        <f t="shared" si="80"/>
        <v>326</v>
      </c>
      <c r="K436" s="476">
        <f t="shared" si="80"/>
        <v>251</v>
      </c>
      <c r="L436" s="466"/>
      <c r="N436" s="466"/>
      <c r="O436" s="466"/>
    </row>
    <row r="437" spans="1:15" s="442" customFormat="1" x14ac:dyDescent="0.25">
      <c r="A437" s="522" t="s">
        <v>1986</v>
      </c>
      <c r="B437" s="615" t="s">
        <v>1182</v>
      </c>
      <c r="C437" s="235">
        <v>12</v>
      </c>
      <c r="D437" s="443" t="s">
        <v>2205</v>
      </c>
      <c r="E437" s="577"/>
      <c r="F437" s="292">
        <f>F438</f>
        <v>75</v>
      </c>
      <c r="G437" s="476"/>
      <c r="H437" s="476">
        <f>H438</f>
        <v>75</v>
      </c>
      <c r="I437" s="476"/>
      <c r="J437" s="476">
        <f>J438</f>
        <v>75</v>
      </c>
      <c r="K437" s="476"/>
      <c r="L437" s="466"/>
      <c r="N437" s="466"/>
      <c r="O437" s="466"/>
    </row>
    <row r="438" spans="1:15" s="442" customFormat="1" x14ac:dyDescent="0.25">
      <c r="A438" s="524" t="s">
        <v>1782</v>
      </c>
      <c r="B438" s="615" t="s">
        <v>1182</v>
      </c>
      <c r="C438" s="235">
        <v>12</v>
      </c>
      <c r="D438" s="443" t="s">
        <v>2205</v>
      </c>
      <c r="E438" s="238">
        <v>200</v>
      </c>
      <c r="F438" s="292">
        <f>F439</f>
        <v>75</v>
      </c>
      <c r="G438" s="476"/>
      <c r="H438" s="476">
        <f>H439</f>
        <v>75</v>
      </c>
      <c r="I438" s="476"/>
      <c r="J438" s="476">
        <f>J439</f>
        <v>75</v>
      </c>
      <c r="K438" s="476"/>
      <c r="L438" s="466"/>
      <c r="N438" s="466"/>
      <c r="O438" s="466"/>
    </row>
    <row r="439" spans="1:15" s="442" customFormat="1" ht="31.5" x14ac:dyDescent="0.25">
      <c r="A439" s="524" t="s">
        <v>1274</v>
      </c>
      <c r="B439" s="615" t="s">
        <v>1182</v>
      </c>
      <c r="C439" s="235">
        <v>12</v>
      </c>
      <c r="D439" s="443" t="s">
        <v>2205</v>
      </c>
      <c r="E439" s="238">
        <v>240</v>
      </c>
      <c r="F439" s="292">
        <f>'ведом. 2021-2023'!AD287</f>
        <v>75</v>
      </c>
      <c r="G439" s="476"/>
      <c r="H439" s="476">
        <f>'ведом. 2021-2023'!AE287</f>
        <v>75</v>
      </c>
      <c r="I439" s="476"/>
      <c r="J439" s="476">
        <f>'ведом. 2021-2023'!AF287</f>
        <v>75</v>
      </c>
      <c r="K439" s="476"/>
      <c r="L439" s="466"/>
      <c r="N439" s="466"/>
      <c r="O439" s="466"/>
    </row>
    <row r="440" spans="1:15" s="514" customFormat="1" ht="47.25" x14ac:dyDescent="0.25">
      <c r="A440" s="520" t="s">
        <v>2284</v>
      </c>
      <c r="B440" s="615" t="s">
        <v>1182</v>
      </c>
      <c r="C440" s="235">
        <v>12</v>
      </c>
      <c r="D440" s="249" t="s">
        <v>2283</v>
      </c>
      <c r="E440" s="238"/>
      <c r="F440" s="292">
        <f t="shared" ref="F440:K441" si="81">F441</f>
        <v>251</v>
      </c>
      <c r="G440" s="476">
        <f t="shared" si="81"/>
        <v>251</v>
      </c>
      <c r="H440" s="476">
        <f t="shared" si="81"/>
        <v>251</v>
      </c>
      <c r="I440" s="476">
        <f t="shared" si="81"/>
        <v>251</v>
      </c>
      <c r="J440" s="476">
        <f t="shared" si="81"/>
        <v>251</v>
      </c>
      <c r="K440" s="476">
        <f t="shared" si="81"/>
        <v>251</v>
      </c>
      <c r="L440" s="466"/>
      <c r="N440" s="466"/>
      <c r="O440" s="466"/>
    </row>
    <row r="441" spans="1:15" s="514" customFormat="1" x14ac:dyDescent="0.25">
      <c r="A441" s="520" t="s">
        <v>1782</v>
      </c>
      <c r="B441" s="615" t="s">
        <v>1182</v>
      </c>
      <c r="C441" s="235">
        <v>12</v>
      </c>
      <c r="D441" s="249" t="s">
        <v>2283</v>
      </c>
      <c r="E441" s="238">
        <v>200</v>
      </c>
      <c r="F441" s="292">
        <f t="shared" si="81"/>
        <v>251</v>
      </c>
      <c r="G441" s="476">
        <f t="shared" si="81"/>
        <v>251</v>
      </c>
      <c r="H441" s="476">
        <f t="shared" si="81"/>
        <v>251</v>
      </c>
      <c r="I441" s="476">
        <f t="shared" si="81"/>
        <v>251</v>
      </c>
      <c r="J441" s="476">
        <f t="shared" si="81"/>
        <v>251</v>
      </c>
      <c r="K441" s="476">
        <f t="shared" si="81"/>
        <v>251</v>
      </c>
      <c r="L441" s="466"/>
      <c r="N441" s="466"/>
      <c r="O441" s="466"/>
    </row>
    <row r="442" spans="1:15" s="514" customFormat="1" ht="31.5" x14ac:dyDescent="0.25">
      <c r="A442" s="520" t="s">
        <v>1274</v>
      </c>
      <c r="B442" s="615" t="s">
        <v>1182</v>
      </c>
      <c r="C442" s="235">
        <v>12</v>
      </c>
      <c r="D442" s="249" t="s">
        <v>2283</v>
      </c>
      <c r="E442" s="238">
        <v>240</v>
      </c>
      <c r="F442" s="292">
        <f>'ведом. 2021-2023'!AD290</f>
        <v>251</v>
      </c>
      <c r="G442" s="476">
        <v>251</v>
      </c>
      <c r="H442" s="476">
        <f>'ведом. 2021-2023'!AE290</f>
        <v>251</v>
      </c>
      <c r="I442" s="476">
        <v>251</v>
      </c>
      <c r="J442" s="476">
        <f>'ведом. 2021-2023'!AF290</f>
        <v>251</v>
      </c>
      <c r="K442" s="476">
        <v>251</v>
      </c>
      <c r="L442" s="466"/>
      <c r="N442" s="466"/>
      <c r="O442" s="466"/>
    </row>
    <row r="443" spans="1:15" s="514" customFormat="1" x14ac:dyDescent="0.25">
      <c r="A443" s="520" t="s">
        <v>2476</v>
      </c>
      <c r="B443" s="235" t="s">
        <v>1182</v>
      </c>
      <c r="C443" s="235">
        <v>12</v>
      </c>
      <c r="D443" s="249" t="s">
        <v>2483</v>
      </c>
      <c r="E443" s="238"/>
      <c r="F443" s="292">
        <f>F444</f>
        <v>300</v>
      </c>
      <c r="G443" s="292"/>
      <c r="H443" s="292">
        <f t="shared" ref="H443:J443" si="82">H444</f>
        <v>0</v>
      </c>
      <c r="I443" s="292"/>
      <c r="J443" s="292">
        <f t="shared" si="82"/>
        <v>0</v>
      </c>
      <c r="K443" s="292"/>
      <c r="L443" s="466"/>
      <c r="N443" s="466"/>
      <c r="O443" s="466"/>
    </row>
    <row r="444" spans="1:15" s="514" customFormat="1" x14ac:dyDescent="0.25">
      <c r="A444" s="520" t="s">
        <v>2481</v>
      </c>
      <c r="B444" s="235" t="s">
        <v>1182</v>
      </c>
      <c r="C444" s="235">
        <v>12</v>
      </c>
      <c r="D444" s="249" t="s">
        <v>2482</v>
      </c>
      <c r="E444" s="238"/>
      <c r="F444" s="292">
        <f>F445</f>
        <v>300</v>
      </c>
      <c r="G444" s="292"/>
      <c r="H444" s="292">
        <f t="shared" ref="H444:J444" si="83">H445</f>
        <v>0</v>
      </c>
      <c r="I444" s="292"/>
      <c r="J444" s="292">
        <f t="shared" si="83"/>
        <v>0</v>
      </c>
      <c r="K444" s="292"/>
      <c r="L444" s="466"/>
      <c r="N444" s="466"/>
      <c r="O444" s="466"/>
    </row>
    <row r="445" spans="1:15" s="514" customFormat="1" ht="31.5" x14ac:dyDescent="0.25">
      <c r="A445" s="520" t="s">
        <v>2477</v>
      </c>
      <c r="B445" s="235" t="s">
        <v>1182</v>
      </c>
      <c r="C445" s="235">
        <v>12</v>
      </c>
      <c r="D445" s="249" t="s">
        <v>2480</v>
      </c>
      <c r="E445" s="238"/>
      <c r="F445" s="292">
        <f>F446</f>
        <v>300</v>
      </c>
      <c r="G445" s="292"/>
      <c r="H445" s="292">
        <f t="shared" ref="H445:J445" si="84">H446</f>
        <v>0</v>
      </c>
      <c r="I445" s="292"/>
      <c r="J445" s="292">
        <f t="shared" si="84"/>
        <v>0</v>
      </c>
      <c r="K445" s="292"/>
      <c r="L445" s="466"/>
      <c r="N445" s="466"/>
      <c r="O445" s="466"/>
    </row>
    <row r="446" spans="1:15" s="514" customFormat="1" x14ac:dyDescent="0.25">
      <c r="A446" s="520" t="s">
        <v>2478</v>
      </c>
      <c r="B446" s="235" t="s">
        <v>1182</v>
      </c>
      <c r="C446" s="235">
        <v>12</v>
      </c>
      <c r="D446" s="249" t="s">
        <v>2479</v>
      </c>
      <c r="E446" s="238"/>
      <c r="F446" s="292">
        <f>F447</f>
        <v>300</v>
      </c>
      <c r="G446" s="292"/>
      <c r="H446" s="292">
        <f t="shared" ref="H446:J446" si="85">H447</f>
        <v>0</v>
      </c>
      <c r="I446" s="292"/>
      <c r="J446" s="292">
        <f t="shared" si="85"/>
        <v>0</v>
      </c>
      <c r="K446" s="292"/>
      <c r="L446" s="466"/>
      <c r="N446" s="466"/>
      <c r="O446" s="466"/>
    </row>
    <row r="447" spans="1:15" s="514" customFormat="1" x14ac:dyDescent="0.25">
      <c r="A447" s="842" t="s">
        <v>924</v>
      </c>
      <c r="B447" s="235" t="s">
        <v>1182</v>
      </c>
      <c r="C447" s="235">
        <v>12</v>
      </c>
      <c r="D447" s="249" t="s">
        <v>2479</v>
      </c>
      <c r="E447" s="238">
        <v>800</v>
      </c>
      <c r="F447" s="292">
        <f>F448</f>
        <v>300</v>
      </c>
      <c r="G447" s="292"/>
      <c r="H447" s="292">
        <f t="shared" ref="H447:J447" si="86">H448</f>
        <v>0</v>
      </c>
      <c r="I447" s="292"/>
      <c r="J447" s="292">
        <f t="shared" si="86"/>
        <v>0</v>
      </c>
      <c r="K447" s="292"/>
      <c r="L447" s="466"/>
      <c r="N447" s="466"/>
      <c r="O447" s="466"/>
    </row>
    <row r="448" spans="1:15" s="514" customFormat="1" ht="31.5" x14ac:dyDescent="0.25">
      <c r="A448" s="623" t="s">
        <v>1783</v>
      </c>
      <c r="B448" s="235" t="s">
        <v>1182</v>
      </c>
      <c r="C448" s="235">
        <v>12</v>
      </c>
      <c r="D448" s="249" t="s">
        <v>2479</v>
      </c>
      <c r="E448" s="238">
        <v>810</v>
      </c>
      <c r="F448" s="292">
        <f>'ведом. 2021-2023'!AD296</f>
        <v>300</v>
      </c>
      <c r="G448" s="476"/>
      <c r="H448" s="476">
        <f>'ведом. 2021-2023'!AE296</f>
        <v>0</v>
      </c>
      <c r="I448" s="476"/>
      <c r="J448" s="476">
        <f>'ведом. 2021-2023'!AF296</f>
        <v>0</v>
      </c>
      <c r="K448" s="476"/>
      <c r="L448" s="466"/>
      <c r="N448" s="466"/>
      <c r="O448" s="466"/>
    </row>
    <row r="449" spans="1:15" s="442" customFormat="1" x14ac:dyDescent="0.25">
      <c r="A449" s="609" t="s">
        <v>173</v>
      </c>
      <c r="B449" s="617" t="s">
        <v>175</v>
      </c>
      <c r="C449" s="247"/>
      <c r="D449" s="271"/>
      <c r="E449" s="589"/>
      <c r="F449" s="745">
        <f t="shared" ref="F449:K449" si="87">F450+F478+F577+F467</f>
        <v>176487.40000000002</v>
      </c>
      <c r="G449" s="479">
        <f t="shared" si="87"/>
        <v>74270.200000000012</v>
      </c>
      <c r="H449" s="479">
        <f t="shared" si="87"/>
        <v>68782.100000000006</v>
      </c>
      <c r="I449" s="479">
        <f t="shared" si="87"/>
        <v>10716</v>
      </c>
      <c r="J449" s="479">
        <f t="shared" si="87"/>
        <v>65152.100000000006</v>
      </c>
      <c r="K449" s="479">
        <f t="shared" si="87"/>
        <v>5100</v>
      </c>
      <c r="L449" s="466"/>
      <c r="N449" s="466"/>
      <c r="O449" s="466"/>
    </row>
    <row r="450" spans="1:15" s="442" customFormat="1" x14ac:dyDescent="0.25">
      <c r="A450" s="524" t="s">
        <v>1592</v>
      </c>
      <c r="B450" s="615" t="s">
        <v>175</v>
      </c>
      <c r="C450" s="235" t="s">
        <v>566</v>
      </c>
      <c r="D450" s="249"/>
      <c r="E450" s="589"/>
      <c r="F450" s="292">
        <f>F451+F457</f>
        <v>13518.1</v>
      </c>
      <c r="G450" s="476">
        <f>G451+G457</f>
        <v>4346.8</v>
      </c>
      <c r="H450" s="476">
        <f>H451+H457</f>
        <v>10102.1</v>
      </c>
      <c r="I450" s="476"/>
      <c r="J450" s="476">
        <f>J451+J457</f>
        <v>10102.1</v>
      </c>
      <c r="K450" s="476"/>
      <c r="L450" s="466"/>
      <c r="N450" s="466"/>
      <c r="O450" s="466"/>
    </row>
    <row r="451" spans="1:15" s="442" customFormat="1" x14ac:dyDescent="0.25">
      <c r="A451" s="521" t="s">
        <v>1899</v>
      </c>
      <c r="B451" s="615" t="s">
        <v>175</v>
      </c>
      <c r="C451" s="235" t="s">
        <v>566</v>
      </c>
      <c r="D451" s="443" t="s">
        <v>1772</v>
      </c>
      <c r="E451" s="589"/>
      <c r="F451" s="292">
        <f>F452</f>
        <v>8017.1</v>
      </c>
      <c r="G451" s="476"/>
      <c r="H451" s="476">
        <f>H452</f>
        <v>10002.1</v>
      </c>
      <c r="I451" s="476"/>
      <c r="J451" s="476">
        <f>J452</f>
        <v>10002.1</v>
      </c>
      <c r="K451" s="476"/>
      <c r="L451" s="466"/>
      <c r="N451" s="466"/>
      <c r="O451" s="466"/>
    </row>
    <row r="452" spans="1:15" s="442" customFormat="1" x14ac:dyDescent="0.25">
      <c r="A452" s="521" t="s">
        <v>1894</v>
      </c>
      <c r="B452" s="615" t="s">
        <v>175</v>
      </c>
      <c r="C452" s="235" t="s">
        <v>566</v>
      </c>
      <c r="D452" s="443" t="s">
        <v>1773</v>
      </c>
      <c r="E452" s="589"/>
      <c r="F452" s="292">
        <f>F453</f>
        <v>8017.1</v>
      </c>
      <c r="G452" s="476"/>
      <c r="H452" s="476">
        <f>H453</f>
        <v>10002.1</v>
      </c>
      <c r="I452" s="476"/>
      <c r="J452" s="476">
        <f>J453</f>
        <v>10002.1</v>
      </c>
      <c r="K452" s="476"/>
      <c r="L452" s="466"/>
      <c r="N452" s="466"/>
      <c r="O452" s="466"/>
    </row>
    <row r="453" spans="1:15" s="442" customFormat="1" ht="31.5" x14ac:dyDescent="0.25">
      <c r="A453" s="522" t="s">
        <v>1895</v>
      </c>
      <c r="B453" s="615" t="s">
        <v>175</v>
      </c>
      <c r="C453" s="235" t="s">
        <v>566</v>
      </c>
      <c r="D453" s="443" t="s">
        <v>1896</v>
      </c>
      <c r="E453" s="589"/>
      <c r="F453" s="292">
        <f>F454</f>
        <v>8017.1</v>
      </c>
      <c r="G453" s="476"/>
      <c r="H453" s="476">
        <f>H454</f>
        <v>10002.1</v>
      </c>
      <c r="I453" s="476"/>
      <c r="J453" s="476">
        <f>J454</f>
        <v>10002.1</v>
      </c>
      <c r="K453" s="476"/>
      <c r="L453" s="466"/>
      <c r="N453" s="466"/>
      <c r="O453" s="466"/>
    </row>
    <row r="454" spans="1:15" s="442" customFormat="1" x14ac:dyDescent="0.25">
      <c r="A454" s="532" t="s">
        <v>2396</v>
      </c>
      <c r="B454" s="615" t="s">
        <v>175</v>
      </c>
      <c r="C454" s="235" t="s">
        <v>566</v>
      </c>
      <c r="D454" s="443" t="s">
        <v>2395</v>
      </c>
      <c r="E454" s="577"/>
      <c r="F454" s="292">
        <f>F455</f>
        <v>8017.1</v>
      </c>
      <c r="G454" s="476"/>
      <c r="H454" s="476">
        <f>H455</f>
        <v>10002.1</v>
      </c>
      <c r="I454" s="476"/>
      <c r="J454" s="476">
        <f>J455</f>
        <v>10002.1</v>
      </c>
      <c r="K454" s="476"/>
      <c r="L454" s="466"/>
      <c r="N454" s="466"/>
      <c r="O454" s="466"/>
    </row>
    <row r="455" spans="1:15" s="442" customFormat="1" x14ac:dyDescent="0.25">
      <c r="A455" s="520" t="s">
        <v>1782</v>
      </c>
      <c r="B455" s="615" t="s">
        <v>175</v>
      </c>
      <c r="C455" s="235" t="s">
        <v>566</v>
      </c>
      <c r="D455" s="443" t="s">
        <v>2395</v>
      </c>
      <c r="E455" s="590">
        <v>200</v>
      </c>
      <c r="F455" s="292">
        <f>F456</f>
        <v>8017.1</v>
      </c>
      <c r="G455" s="476"/>
      <c r="H455" s="476">
        <f>H456</f>
        <v>10002.1</v>
      </c>
      <c r="I455" s="476"/>
      <c r="J455" s="476">
        <f>J456</f>
        <v>10002.1</v>
      </c>
      <c r="K455" s="476"/>
      <c r="L455" s="466"/>
      <c r="N455" s="466"/>
      <c r="O455" s="466"/>
    </row>
    <row r="456" spans="1:15" s="442" customFormat="1" ht="31.5" x14ac:dyDescent="0.25">
      <c r="A456" s="520" t="s">
        <v>1274</v>
      </c>
      <c r="B456" s="615" t="s">
        <v>175</v>
      </c>
      <c r="C456" s="235" t="s">
        <v>566</v>
      </c>
      <c r="D456" s="443" t="s">
        <v>2395</v>
      </c>
      <c r="E456" s="590">
        <v>240</v>
      </c>
      <c r="F456" s="292">
        <f>'ведом. 2021-2023'!AD304</f>
        <v>8017.1</v>
      </c>
      <c r="G456" s="476"/>
      <c r="H456" s="476">
        <f>'ведом. 2021-2023'!AE304</f>
        <v>10002.1</v>
      </c>
      <c r="I456" s="476"/>
      <c r="J456" s="476">
        <f>'ведом. 2021-2023'!AF304</f>
        <v>10002.1</v>
      </c>
      <c r="K456" s="476"/>
      <c r="L456" s="466"/>
      <c r="N456" s="466"/>
      <c r="O456" s="466"/>
    </row>
    <row r="457" spans="1:15" s="442" customFormat="1" x14ac:dyDescent="0.25">
      <c r="A457" s="521" t="s">
        <v>1973</v>
      </c>
      <c r="B457" s="615" t="s">
        <v>175</v>
      </c>
      <c r="C457" s="235" t="s">
        <v>566</v>
      </c>
      <c r="D457" s="443" t="s">
        <v>1974</v>
      </c>
      <c r="E457" s="577"/>
      <c r="F457" s="292">
        <f>F458</f>
        <v>5501</v>
      </c>
      <c r="G457" s="476">
        <f>G458</f>
        <v>4346.8</v>
      </c>
      <c r="H457" s="476">
        <f>H458</f>
        <v>100</v>
      </c>
      <c r="I457" s="476"/>
      <c r="J457" s="476">
        <f>J458</f>
        <v>100</v>
      </c>
      <c r="K457" s="476"/>
      <c r="L457" s="466"/>
      <c r="N457" s="466"/>
      <c r="O457" s="466"/>
    </row>
    <row r="458" spans="1:15" s="442" customFormat="1" ht="31.5" x14ac:dyDescent="0.25">
      <c r="A458" s="607" t="s">
        <v>2300</v>
      </c>
      <c r="B458" s="615" t="s">
        <v>175</v>
      </c>
      <c r="C458" s="235" t="s">
        <v>566</v>
      </c>
      <c r="D458" s="443" t="s">
        <v>2146</v>
      </c>
      <c r="E458" s="577"/>
      <c r="F458" s="292">
        <f>F459+F463</f>
        <v>5501</v>
      </c>
      <c r="G458" s="476">
        <f>G459+G463</f>
        <v>4346.8</v>
      </c>
      <c r="H458" s="476">
        <f>H459+H463</f>
        <v>100</v>
      </c>
      <c r="I458" s="476"/>
      <c r="J458" s="476">
        <f>J459+J463</f>
        <v>100</v>
      </c>
      <c r="K458" s="476"/>
      <c r="L458" s="466"/>
      <c r="N458" s="466"/>
      <c r="O458" s="466"/>
    </row>
    <row r="459" spans="1:15" s="442" customFormat="1" ht="31.5" x14ac:dyDescent="0.25">
      <c r="A459" s="522" t="s">
        <v>2153</v>
      </c>
      <c r="B459" s="615" t="s">
        <v>175</v>
      </c>
      <c r="C459" s="235" t="s">
        <v>566</v>
      </c>
      <c r="D459" s="443" t="s">
        <v>2156</v>
      </c>
      <c r="E459" s="577"/>
      <c r="F459" s="292">
        <f t="shared" ref="F459:J461" si="88">F460</f>
        <v>5301</v>
      </c>
      <c r="G459" s="476">
        <f t="shared" si="88"/>
        <v>4346.8</v>
      </c>
      <c r="H459" s="476">
        <f t="shared" si="88"/>
        <v>0</v>
      </c>
      <c r="I459" s="476"/>
      <c r="J459" s="476">
        <f t="shared" si="88"/>
        <v>0</v>
      </c>
      <c r="K459" s="476"/>
      <c r="L459" s="466"/>
      <c r="N459" s="466"/>
      <c r="O459" s="466"/>
    </row>
    <row r="460" spans="1:15" s="442" customFormat="1" x14ac:dyDescent="0.25">
      <c r="A460" s="522" t="s">
        <v>2154</v>
      </c>
      <c r="B460" s="615" t="s">
        <v>175</v>
      </c>
      <c r="C460" s="235" t="s">
        <v>566</v>
      </c>
      <c r="D460" s="443" t="s">
        <v>2155</v>
      </c>
      <c r="E460" s="577"/>
      <c r="F460" s="292">
        <f t="shared" si="88"/>
        <v>5301</v>
      </c>
      <c r="G460" s="476">
        <f t="shared" si="88"/>
        <v>4346.8</v>
      </c>
      <c r="H460" s="476">
        <f t="shared" si="88"/>
        <v>0</v>
      </c>
      <c r="I460" s="476"/>
      <c r="J460" s="476">
        <f t="shared" si="88"/>
        <v>0</v>
      </c>
      <c r="K460" s="476"/>
      <c r="L460" s="466"/>
      <c r="N460" s="466"/>
      <c r="O460" s="466"/>
    </row>
    <row r="461" spans="1:15" s="442" customFormat="1" x14ac:dyDescent="0.25">
      <c r="A461" s="520" t="s">
        <v>924</v>
      </c>
      <c r="B461" s="615" t="s">
        <v>175</v>
      </c>
      <c r="C461" s="235" t="s">
        <v>566</v>
      </c>
      <c r="D461" s="443" t="s">
        <v>2155</v>
      </c>
      <c r="E461" s="580" t="s">
        <v>2242</v>
      </c>
      <c r="F461" s="292">
        <f t="shared" si="88"/>
        <v>5301</v>
      </c>
      <c r="G461" s="476">
        <f t="shared" si="88"/>
        <v>4346.8</v>
      </c>
      <c r="H461" s="476">
        <f t="shared" si="88"/>
        <v>0</v>
      </c>
      <c r="I461" s="476"/>
      <c r="J461" s="476">
        <f t="shared" si="88"/>
        <v>0</v>
      </c>
      <c r="K461" s="476"/>
      <c r="L461" s="466"/>
      <c r="N461" s="466"/>
      <c r="O461" s="466"/>
    </row>
    <row r="462" spans="1:15" s="442" customFormat="1" ht="31.5" x14ac:dyDescent="0.25">
      <c r="A462" s="520" t="s">
        <v>1783</v>
      </c>
      <c r="B462" s="615" t="s">
        <v>175</v>
      </c>
      <c r="C462" s="235" t="s">
        <v>566</v>
      </c>
      <c r="D462" s="443" t="s">
        <v>2155</v>
      </c>
      <c r="E462" s="580" t="s">
        <v>2243</v>
      </c>
      <c r="F462" s="292">
        <f>'ведом. 2021-2023'!AD310</f>
        <v>5301</v>
      </c>
      <c r="G462" s="476">
        <f>3762.6+584.2</f>
        <v>4346.8</v>
      </c>
      <c r="H462" s="476">
        <f>'ведом. 2021-2023'!AE310</f>
        <v>0</v>
      </c>
      <c r="I462" s="476"/>
      <c r="J462" s="476">
        <f>'ведом. 2021-2023'!AF310</f>
        <v>0</v>
      </c>
      <c r="K462" s="476"/>
      <c r="L462" s="466"/>
      <c r="N462" s="466"/>
      <c r="O462" s="466"/>
    </row>
    <row r="463" spans="1:15" s="442" customFormat="1" ht="31.5" x14ac:dyDescent="0.25">
      <c r="A463" s="522" t="s">
        <v>2147</v>
      </c>
      <c r="B463" s="615" t="s">
        <v>175</v>
      </c>
      <c r="C463" s="235" t="s">
        <v>566</v>
      </c>
      <c r="D463" s="443" t="s">
        <v>2148</v>
      </c>
      <c r="E463" s="577"/>
      <c r="F463" s="292">
        <f>F464</f>
        <v>200</v>
      </c>
      <c r="G463" s="476"/>
      <c r="H463" s="476">
        <f>H464</f>
        <v>100</v>
      </c>
      <c r="I463" s="476"/>
      <c r="J463" s="476">
        <f>J464</f>
        <v>100</v>
      </c>
      <c r="K463" s="476"/>
      <c r="L463" s="466"/>
      <c r="N463" s="466"/>
      <c r="O463" s="466"/>
    </row>
    <row r="464" spans="1:15" s="442" customFormat="1" x14ac:dyDescent="0.25">
      <c r="A464" s="530" t="s">
        <v>2230</v>
      </c>
      <c r="B464" s="615" t="s">
        <v>175</v>
      </c>
      <c r="C464" s="235" t="s">
        <v>566</v>
      </c>
      <c r="D464" s="443" t="s">
        <v>2231</v>
      </c>
      <c r="E464" s="577"/>
      <c r="F464" s="292">
        <f>F465</f>
        <v>200</v>
      </c>
      <c r="G464" s="476"/>
      <c r="H464" s="476">
        <f>H465</f>
        <v>100</v>
      </c>
      <c r="I464" s="476"/>
      <c r="J464" s="476">
        <f>J465</f>
        <v>100</v>
      </c>
      <c r="K464" s="476"/>
      <c r="L464" s="466"/>
      <c r="N464" s="466"/>
      <c r="O464" s="466"/>
    </row>
    <row r="465" spans="1:15" s="442" customFormat="1" x14ac:dyDescent="0.25">
      <c r="A465" s="524" t="s">
        <v>1782</v>
      </c>
      <c r="B465" s="615" t="s">
        <v>175</v>
      </c>
      <c r="C465" s="235" t="s">
        <v>566</v>
      </c>
      <c r="D465" s="443" t="s">
        <v>2231</v>
      </c>
      <c r="E465" s="580" t="s">
        <v>821</v>
      </c>
      <c r="F465" s="292">
        <f>F466</f>
        <v>200</v>
      </c>
      <c r="G465" s="476"/>
      <c r="H465" s="476">
        <f>H466</f>
        <v>100</v>
      </c>
      <c r="I465" s="476"/>
      <c r="J465" s="476">
        <f>J466</f>
        <v>100</v>
      </c>
      <c r="K465" s="476"/>
      <c r="L465" s="466"/>
      <c r="N465" s="466"/>
      <c r="O465" s="466"/>
    </row>
    <row r="466" spans="1:15" s="442" customFormat="1" ht="31.5" x14ac:dyDescent="0.25">
      <c r="A466" s="524" t="s">
        <v>1274</v>
      </c>
      <c r="B466" s="615" t="s">
        <v>175</v>
      </c>
      <c r="C466" s="235" t="s">
        <v>566</v>
      </c>
      <c r="D466" s="443" t="s">
        <v>2231</v>
      </c>
      <c r="E466" s="580" t="s">
        <v>1480</v>
      </c>
      <c r="F466" s="292">
        <f>'ведом. 2021-2023'!AD929</f>
        <v>200</v>
      </c>
      <c r="G466" s="476"/>
      <c r="H466" s="476">
        <f>'ведом. 2021-2023'!AE929</f>
        <v>100</v>
      </c>
      <c r="I466" s="476"/>
      <c r="J466" s="476">
        <f>'ведом. 2021-2023'!AF929</f>
        <v>100</v>
      </c>
      <c r="K466" s="476"/>
      <c r="L466" s="466"/>
      <c r="N466" s="466"/>
      <c r="O466" s="466"/>
    </row>
    <row r="467" spans="1:15" s="442" customFormat="1" x14ac:dyDescent="0.25">
      <c r="A467" s="524" t="s">
        <v>2157</v>
      </c>
      <c r="B467" s="615" t="s">
        <v>175</v>
      </c>
      <c r="C467" s="235" t="s">
        <v>567</v>
      </c>
      <c r="D467" s="235"/>
      <c r="E467" s="580"/>
      <c r="F467" s="292">
        <f>F468</f>
        <v>11150</v>
      </c>
      <c r="G467" s="292">
        <f>G468</f>
        <v>9020</v>
      </c>
      <c r="H467" s="292">
        <f>H468</f>
        <v>9348.7000000000007</v>
      </c>
      <c r="I467" s="292">
        <f>I468</f>
        <v>7666</v>
      </c>
      <c r="J467" s="292">
        <f t="shared" ref="J467:J476" si="89">J468</f>
        <v>0</v>
      </c>
      <c r="K467" s="292"/>
      <c r="L467" s="466"/>
      <c r="N467" s="466"/>
      <c r="O467" s="466"/>
    </row>
    <row r="468" spans="1:15" s="514" customFormat="1" x14ac:dyDescent="0.25">
      <c r="A468" s="543" t="s">
        <v>1949</v>
      </c>
      <c r="B468" s="619" t="s">
        <v>175</v>
      </c>
      <c r="C468" s="545" t="s">
        <v>567</v>
      </c>
      <c r="D468" s="443" t="s">
        <v>1771</v>
      </c>
      <c r="E468" s="591"/>
      <c r="F468" s="292">
        <f t="shared" ref="F468:F476" si="90">F469</f>
        <v>11150</v>
      </c>
      <c r="G468" s="476">
        <f t="shared" ref="G468:I476" si="91">G469</f>
        <v>9020</v>
      </c>
      <c r="H468" s="476">
        <f t="shared" si="91"/>
        <v>9348.7000000000007</v>
      </c>
      <c r="I468" s="476">
        <f t="shared" si="91"/>
        <v>7666</v>
      </c>
      <c r="J468" s="476">
        <f t="shared" si="89"/>
        <v>0</v>
      </c>
      <c r="K468" s="476"/>
      <c r="L468" s="466"/>
      <c r="N468" s="466"/>
      <c r="O468" s="466"/>
    </row>
    <row r="469" spans="1:15" s="514" customFormat="1" ht="31.5" x14ac:dyDescent="0.25">
      <c r="A469" s="543" t="s">
        <v>2401</v>
      </c>
      <c r="B469" s="619" t="s">
        <v>175</v>
      </c>
      <c r="C469" s="545" t="s">
        <v>567</v>
      </c>
      <c r="D469" s="443" t="s">
        <v>2402</v>
      </c>
      <c r="E469" s="591"/>
      <c r="F469" s="292">
        <f t="shared" si="90"/>
        <v>11150</v>
      </c>
      <c r="G469" s="476">
        <f t="shared" si="91"/>
        <v>9020</v>
      </c>
      <c r="H469" s="476">
        <f t="shared" si="91"/>
        <v>9348.7000000000007</v>
      </c>
      <c r="I469" s="476">
        <f t="shared" si="91"/>
        <v>7666</v>
      </c>
      <c r="J469" s="476">
        <f t="shared" si="89"/>
        <v>0</v>
      </c>
      <c r="K469" s="476"/>
      <c r="L469" s="466"/>
      <c r="N469" s="466"/>
      <c r="O469" s="466"/>
    </row>
    <row r="470" spans="1:15" s="514" customFormat="1" ht="31.5" x14ac:dyDescent="0.25">
      <c r="A470" s="543" t="s">
        <v>2414</v>
      </c>
      <c r="B470" s="619" t="s">
        <v>175</v>
      </c>
      <c r="C470" s="545" t="s">
        <v>567</v>
      </c>
      <c r="D470" s="443" t="s">
        <v>2403</v>
      </c>
      <c r="E470" s="591"/>
      <c r="F470" s="292">
        <f>F474+F471</f>
        <v>11150</v>
      </c>
      <c r="G470" s="292">
        <f t="shared" ref="G470:J470" si="92">G474+G471</f>
        <v>9020</v>
      </c>
      <c r="H470" s="292">
        <f t="shared" si="92"/>
        <v>9348.7000000000007</v>
      </c>
      <c r="I470" s="292">
        <f t="shared" si="92"/>
        <v>7666</v>
      </c>
      <c r="J470" s="292">
        <f t="shared" si="92"/>
        <v>0</v>
      </c>
      <c r="K470" s="292"/>
      <c r="L470" s="466"/>
      <c r="N470" s="466"/>
      <c r="O470" s="466"/>
    </row>
    <row r="471" spans="1:15" s="514" customFormat="1" ht="47.25" x14ac:dyDescent="0.25">
      <c r="A471" s="520" t="s">
        <v>2485</v>
      </c>
      <c r="B471" s="545" t="s">
        <v>175</v>
      </c>
      <c r="C471" s="545" t="s">
        <v>567</v>
      </c>
      <c r="D471" s="443" t="s">
        <v>2486</v>
      </c>
      <c r="E471" s="591"/>
      <c r="F471" s="292">
        <f>F472</f>
        <v>150</v>
      </c>
      <c r="G471" s="292"/>
      <c r="H471" s="292">
        <f t="shared" ref="H471:J471" si="93">H472</f>
        <v>0</v>
      </c>
      <c r="I471" s="292"/>
      <c r="J471" s="292">
        <f t="shared" si="93"/>
        <v>0</v>
      </c>
      <c r="K471" s="292"/>
      <c r="L471" s="466"/>
      <c r="N471" s="466"/>
      <c r="O471" s="466"/>
    </row>
    <row r="472" spans="1:15" s="514" customFormat="1" x14ac:dyDescent="0.25">
      <c r="A472" s="520" t="s">
        <v>924</v>
      </c>
      <c r="B472" s="545" t="s">
        <v>175</v>
      </c>
      <c r="C472" s="545" t="s">
        <v>567</v>
      </c>
      <c r="D472" s="443" t="s">
        <v>2486</v>
      </c>
      <c r="E472" s="580" t="s">
        <v>821</v>
      </c>
      <c r="F472" s="292">
        <f>F473</f>
        <v>150</v>
      </c>
      <c r="G472" s="292"/>
      <c r="H472" s="292">
        <f t="shared" ref="H472:J472" si="94">H473</f>
        <v>0</v>
      </c>
      <c r="I472" s="292"/>
      <c r="J472" s="292">
        <f t="shared" si="94"/>
        <v>0</v>
      </c>
      <c r="K472" s="292"/>
      <c r="L472" s="466"/>
      <c r="N472" s="466"/>
      <c r="O472" s="466"/>
    </row>
    <row r="473" spans="1:15" s="514" customFormat="1" ht="31.5" x14ac:dyDescent="0.25">
      <c r="A473" s="520" t="s">
        <v>1783</v>
      </c>
      <c r="B473" s="545" t="s">
        <v>175</v>
      </c>
      <c r="C473" s="545" t="s">
        <v>567</v>
      </c>
      <c r="D473" s="443" t="s">
        <v>2486</v>
      </c>
      <c r="E473" s="580" t="s">
        <v>1480</v>
      </c>
      <c r="F473" s="292">
        <f>'ведом. 2021-2023'!AD936</f>
        <v>150</v>
      </c>
      <c r="G473" s="292"/>
      <c r="H473" s="292">
        <f>'ведом. 2021-2023'!AE936</f>
        <v>0</v>
      </c>
      <c r="I473" s="292"/>
      <c r="J473" s="292">
        <f>'ведом. 2021-2023'!AF935</f>
        <v>0</v>
      </c>
      <c r="K473" s="292"/>
      <c r="L473" s="466"/>
      <c r="N473" s="466"/>
      <c r="O473" s="466"/>
    </row>
    <row r="474" spans="1:15" s="514" customFormat="1" ht="31.5" x14ac:dyDescent="0.25">
      <c r="A474" s="543" t="s">
        <v>2415</v>
      </c>
      <c r="B474" s="619" t="s">
        <v>175</v>
      </c>
      <c r="C474" s="545" t="s">
        <v>567</v>
      </c>
      <c r="D474" s="443" t="s">
        <v>2404</v>
      </c>
      <c r="E474" s="591"/>
      <c r="F474" s="292">
        <f t="shared" si="90"/>
        <v>11000</v>
      </c>
      <c r="G474" s="476">
        <f t="shared" si="91"/>
        <v>9020</v>
      </c>
      <c r="H474" s="476">
        <f t="shared" si="91"/>
        <v>9348.7000000000007</v>
      </c>
      <c r="I474" s="476">
        <f t="shared" si="91"/>
        <v>7666</v>
      </c>
      <c r="J474" s="476">
        <f t="shared" si="89"/>
        <v>0</v>
      </c>
      <c r="K474" s="476"/>
      <c r="L474" s="466"/>
      <c r="N474" s="466"/>
      <c r="O474" s="466"/>
    </row>
    <row r="475" spans="1:15" s="514" customFormat="1" ht="31.5" x14ac:dyDescent="0.25">
      <c r="A475" s="742" t="s">
        <v>2416</v>
      </c>
      <c r="B475" s="619" t="s">
        <v>175</v>
      </c>
      <c r="C475" s="545" t="s">
        <v>567</v>
      </c>
      <c r="D475" s="443" t="s">
        <v>2405</v>
      </c>
      <c r="E475" s="591"/>
      <c r="F475" s="292">
        <f t="shared" si="90"/>
        <v>11000</v>
      </c>
      <c r="G475" s="476">
        <f t="shared" si="91"/>
        <v>9020</v>
      </c>
      <c r="H475" s="476">
        <f t="shared" si="91"/>
        <v>9348.7000000000007</v>
      </c>
      <c r="I475" s="476">
        <f t="shared" si="91"/>
        <v>7666</v>
      </c>
      <c r="J475" s="476">
        <f t="shared" si="89"/>
        <v>0</v>
      </c>
      <c r="K475" s="476"/>
      <c r="L475" s="466"/>
      <c r="N475" s="466"/>
      <c r="O475" s="466"/>
    </row>
    <row r="476" spans="1:15" s="514" customFormat="1" x14ac:dyDescent="0.25">
      <c r="A476" s="524" t="s">
        <v>1782</v>
      </c>
      <c r="B476" s="619" t="s">
        <v>175</v>
      </c>
      <c r="C476" s="545" t="s">
        <v>567</v>
      </c>
      <c r="D476" s="443" t="s">
        <v>2405</v>
      </c>
      <c r="E476" s="580" t="s">
        <v>821</v>
      </c>
      <c r="F476" s="292">
        <f t="shared" si="90"/>
        <v>11000</v>
      </c>
      <c r="G476" s="476">
        <f t="shared" si="91"/>
        <v>9020</v>
      </c>
      <c r="H476" s="476">
        <f t="shared" si="91"/>
        <v>9348.7000000000007</v>
      </c>
      <c r="I476" s="476">
        <f t="shared" si="91"/>
        <v>7666</v>
      </c>
      <c r="J476" s="476">
        <f t="shared" si="89"/>
        <v>0</v>
      </c>
      <c r="K476" s="476"/>
      <c r="L476" s="466"/>
      <c r="N476" s="466"/>
      <c r="O476" s="466"/>
    </row>
    <row r="477" spans="1:15" s="514" customFormat="1" ht="31.5" x14ac:dyDescent="0.25">
      <c r="A477" s="524" t="s">
        <v>1274</v>
      </c>
      <c r="B477" s="619" t="s">
        <v>175</v>
      </c>
      <c r="C477" s="545" t="s">
        <v>567</v>
      </c>
      <c r="D477" s="443" t="s">
        <v>2405</v>
      </c>
      <c r="E477" s="580" t="s">
        <v>1480</v>
      </c>
      <c r="F477" s="292">
        <f>'ведом. 2021-2023'!AD940</f>
        <v>11000</v>
      </c>
      <c r="G477" s="476">
        <v>9020</v>
      </c>
      <c r="H477" s="476">
        <f>'ведом. 2021-2023'!AE940</f>
        <v>9348.7000000000007</v>
      </c>
      <c r="I477" s="476">
        <v>7666</v>
      </c>
      <c r="J477" s="476">
        <f>'ведом. 2021-2023'!AF940</f>
        <v>0</v>
      </c>
      <c r="K477" s="476"/>
      <c r="L477" s="466"/>
      <c r="N477" s="466"/>
      <c r="O477" s="466"/>
    </row>
    <row r="478" spans="1:15" s="442" customFormat="1" x14ac:dyDescent="0.25">
      <c r="A478" s="524" t="s">
        <v>340</v>
      </c>
      <c r="B478" s="615" t="s">
        <v>175</v>
      </c>
      <c r="C478" s="235" t="s">
        <v>193</v>
      </c>
      <c r="D478" s="270"/>
      <c r="E478" s="580"/>
      <c r="F478" s="292">
        <f>F546+F492+F479</f>
        <v>128190</v>
      </c>
      <c r="G478" s="476">
        <f>G546+G492+G479</f>
        <v>57853.4</v>
      </c>
      <c r="H478" s="476">
        <f>H546+H492+H479</f>
        <v>25633.5</v>
      </c>
      <c r="I478" s="476"/>
      <c r="J478" s="476">
        <f>J546+J492+J479</f>
        <v>31499.200000000001</v>
      </c>
      <c r="K478" s="476">
        <f>K546+K492+K479</f>
        <v>2050</v>
      </c>
      <c r="L478" s="466"/>
      <c r="N478" s="466"/>
      <c r="O478" s="466"/>
    </row>
    <row r="479" spans="1:15" s="442" customFormat="1" ht="29.45" customHeight="1" x14ac:dyDescent="0.25">
      <c r="A479" s="521" t="s">
        <v>1854</v>
      </c>
      <c r="B479" s="615" t="s">
        <v>175</v>
      </c>
      <c r="C479" s="235" t="s">
        <v>193</v>
      </c>
      <c r="D479" s="249" t="s">
        <v>1762</v>
      </c>
      <c r="E479" s="580"/>
      <c r="F479" s="292">
        <f>F480</f>
        <v>15807.400000000001</v>
      </c>
      <c r="G479" s="476"/>
      <c r="H479" s="476">
        <f>H480</f>
        <v>6294.2999999999993</v>
      </c>
      <c r="I479" s="476"/>
      <c r="J479" s="476">
        <f>J480</f>
        <v>6294.2999999999993</v>
      </c>
      <c r="K479" s="476"/>
      <c r="L479" s="466"/>
      <c r="N479" s="466"/>
      <c r="O479" s="466"/>
    </row>
    <row r="480" spans="1:15" s="442" customFormat="1" x14ac:dyDescent="0.25">
      <c r="A480" s="549" t="s">
        <v>1855</v>
      </c>
      <c r="B480" s="615" t="s">
        <v>175</v>
      </c>
      <c r="C480" s="235" t="s">
        <v>193</v>
      </c>
      <c r="D480" s="249" t="s">
        <v>1766</v>
      </c>
      <c r="E480" s="580"/>
      <c r="F480" s="292">
        <f>F481+F485</f>
        <v>15807.400000000001</v>
      </c>
      <c r="G480" s="476"/>
      <c r="H480" s="476">
        <f>H481+H485</f>
        <v>6294.2999999999993</v>
      </c>
      <c r="I480" s="476"/>
      <c r="J480" s="476">
        <f>J481+J485</f>
        <v>6294.2999999999993</v>
      </c>
      <c r="K480" s="476"/>
      <c r="L480" s="466"/>
      <c r="N480" s="466"/>
      <c r="O480" s="466"/>
    </row>
    <row r="481" spans="1:15" s="442" customFormat="1" x14ac:dyDescent="0.25">
      <c r="A481" s="523" t="s">
        <v>2282</v>
      </c>
      <c r="B481" s="615" t="s">
        <v>175</v>
      </c>
      <c r="C481" s="235" t="s">
        <v>193</v>
      </c>
      <c r="D481" s="249" t="s">
        <v>2206</v>
      </c>
      <c r="E481" s="580"/>
      <c r="F481" s="292">
        <f>F482</f>
        <v>11098.5</v>
      </c>
      <c r="G481" s="476"/>
      <c r="H481" s="476">
        <f>H482</f>
        <v>1585.4</v>
      </c>
      <c r="I481" s="476"/>
      <c r="J481" s="476">
        <f>J482</f>
        <v>1585.4</v>
      </c>
      <c r="K481" s="476"/>
      <c r="L481" s="466"/>
      <c r="N481" s="466"/>
      <c r="O481" s="466"/>
    </row>
    <row r="482" spans="1:15" s="442" customFormat="1" x14ac:dyDescent="0.25">
      <c r="A482" s="530" t="s">
        <v>1988</v>
      </c>
      <c r="B482" s="615" t="s">
        <v>175</v>
      </c>
      <c r="C482" s="235" t="s">
        <v>193</v>
      </c>
      <c r="D482" s="249" t="s">
        <v>2207</v>
      </c>
      <c r="E482" s="580"/>
      <c r="F482" s="292">
        <f>F483</f>
        <v>11098.5</v>
      </c>
      <c r="G482" s="476"/>
      <c r="H482" s="476">
        <f>H483</f>
        <v>1585.4</v>
      </c>
      <c r="I482" s="476"/>
      <c r="J482" s="476">
        <f>J483</f>
        <v>1585.4</v>
      </c>
      <c r="K482" s="476"/>
      <c r="L482" s="466"/>
      <c r="N482" s="466"/>
      <c r="O482" s="466"/>
    </row>
    <row r="483" spans="1:15" s="442" customFormat="1" x14ac:dyDescent="0.25">
      <c r="A483" s="520" t="s">
        <v>1782</v>
      </c>
      <c r="B483" s="615" t="s">
        <v>175</v>
      </c>
      <c r="C483" s="235" t="s">
        <v>193</v>
      </c>
      <c r="D483" s="249" t="s">
        <v>2207</v>
      </c>
      <c r="E483" s="580" t="s">
        <v>821</v>
      </c>
      <c r="F483" s="292">
        <f>F484</f>
        <v>11098.5</v>
      </c>
      <c r="G483" s="476"/>
      <c r="H483" s="476">
        <f>H484</f>
        <v>1585.4</v>
      </c>
      <c r="I483" s="476"/>
      <c r="J483" s="476">
        <f>J484</f>
        <v>1585.4</v>
      </c>
      <c r="K483" s="476"/>
      <c r="L483" s="466"/>
      <c r="N483" s="466"/>
      <c r="O483" s="466"/>
    </row>
    <row r="484" spans="1:15" s="442" customFormat="1" ht="31.5" x14ac:dyDescent="0.25">
      <c r="A484" s="520" t="s">
        <v>1274</v>
      </c>
      <c r="B484" s="615" t="s">
        <v>175</v>
      </c>
      <c r="C484" s="235" t="s">
        <v>193</v>
      </c>
      <c r="D484" s="249" t="s">
        <v>2207</v>
      </c>
      <c r="E484" s="580" t="s">
        <v>1480</v>
      </c>
      <c r="F484" s="292">
        <f>'ведом. 2021-2023'!AD317</f>
        <v>11098.5</v>
      </c>
      <c r="G484" s="476"/>
      <c r="H484" s="476">
        <f>'ведом. 2021-2023'!AE317</f>
        <v>1585.4</v>
      </c>
      <c r="I484" s="476"/>
      <c r="J484" s="476">
        <f>'ведом. 2021-2023'!AF317</f>
        <v>1585.4</v>
      </c>
      <c r="K484" s="476"/>
      <c r="L484" s="466"/>
      <c r="N484" s="466"/>
      <c r="O484" s="466"/>
    </row>
    <row r="485" spans="1:15" s="442" customFormat="1" ht="31.5" x14ac:dyDescent="0.25">
      <c r="A485" s="532" t="s">
        <v>1987</v>
      </c>
      <c r="B485" s="615" t="s">
        <v>175</v>
      </c>
      <c r="C485" s="235" t="s">
        <v>193</v>
      </c>
      <c r="D485" s="249" t="s">
        <v>2208</v>
      </c>
      <c r="E485" s="580"/>
      <c r="F485" s="292">
        <f>F486+F488+F490</f>
        <v>4708.9000000000005</v>
      </c>
      <c r="G485" s="476"/>
      <c r="H485" s="476">
        <f>H486+H488+H490</f>
        <v>4708.8999999999996</v>
      </c>
      <c r="I485" s="476"/>
      <c r="J485" s="476">
        <f>J486+J488+J490</f>
        <v>4708.8999999999996</v>
      </c>
      <c r="K485" s="476"/>
      <c r="L485" s="466"/>
      <c r="N485" s="466"/>
      <c r="O485" s="466"/>
    </row>
    <row r="486" spans="1:15" s="442" customFormat="1" ht="47.25" x14ac:dyDescent="0.25">
      <c r="A486" s="520" t="s">
        <v>922</v>
      </c>
      <c r="B486" s="615" t="s">
        <v>175</v>
      </c>
      <c r="C486" s="235" t="s">
        <v>193</v>
      </c>
      <c r="D486" s="249" t="s">
        <v>2208</v>
      </c>
      <c r="E486" s="580" t="s">
        <v>1798</v>
      </c>
      <c r="F486" s="292">
        <f>F487</f>
        <v>3979.7</v>
      </c>
      <c r="G486" s="476"/>
      <c r="H486" s="476">
        <f>H487</f>
        <v>3979.7</v>
      </c>
      <c r="I486" s="476"/>
      <c r="J486" s="476">
        <f>J487</f>
        <v>3979.7</v>
      </c>
      <c r="K486" s="476"/>
      <c r="L486" s="466"/>
      <c r="N486" s="466"/>
      <c r="O486" s="466"/>
    </row>
    <row r="487" spans="1:15" s="442" customFormat="1" x14ac:dyDescent="0.25">
      <c r="A487" s="520" t="s">
        <v>1569</v>
      </c>
      <c r="B487" s="615" t="s">
        <v>175</v>
      </c>
      <c r="C487" s="235" t="s">
        <v>193</v>
      </c>
      <c r="D487" s="249" t="s">
        <v>2208</v>
      </c>
      <c r="E487" s="580" t="s">
        <v>1799</v>
      </c>
      <c r="F487" s="292">
        <f>'ведом. 2021-2023'!AD320</f>
        <v>3979.7</v>
      </c>
      <c r="G487" s="476"/>
      <c r="H487" s="476">
        <f>'ведом. 2021-2023'!AE320</f>
        <v>3979.7</v>
      </c>
      <c r="I487" s="476"/>
      <c r="J487" s="476">
        <f>'ведом. 2021-2023'!AF320</f>
        <v>3979.7</v>
      </c>
      <c r="K487" s="476"/>
      <c r="L487" s="466"/>
      <c r="N487" s="466"/>
      <c r="O487" s="466"/>
    </row>
    <row r="488" spans="1:15" s="442" customFormat="1" x14ac:dyDescent="0.25">
      <c r="A488" s="520" t="s">
        <v>1782</v>
      </c>
      <c r="B488" s="615" t="s">
        <v>175</v>
      </c>
      <c r="C488" s="235" t="s">
        <v>193</v>
      </c>
      <c r="D488" s="249" t="s">
        <v>2208</v>
      </c>
      <c r="E488" s="580" t="s">
        <v>821</v>
      </c>
      <c r="F488" s="292">
        <f>F489</f>
        <v>727.1</v>
      </c>
      <c r="G488" s="476"/>
      <c r="H488" s="476">
        <f>H489</f>
        <v>729.2</v>
      </c>
      <c r="I488" s="476"/>
      <c r="J488" s="476">
        <f>J489</f>
        <v>729.2</v>
      </c>
      <c r="K488" s="476"/>
      <c r="L488" s="466"/>
      <c r="N488" s="466"/>
      <c r="O488" s="466"/>
    </row>
    <row r="489" spans="1:15" s="442" customFormat="1" ht="31.5" x14ac:dyDescent="0.25">
      <c r="A489" s="520" t="s">
        <v>1274</v>
      </c>
      <c r="B489" s="615" t="s">
        <v>175</v>
      </c>
      <c r="C489" s="235" t="s">
        <v>193</v>
      </c>
      <c r="D489" s="249" t="s">
        <v>2208</v>
      </c>
      <c r="E489" s="580" t="s">
        <v>1480</v>
      </c>
      <c r="F489" s="292">
        <f>'ведом. 2021-2023'!AD322</f>
        <v>727.1</v>
      </c>
      <c r="G489" s="476"/>
      <c r="H489" s="476">
        <f>'ведом. 2021-2023'!AE322</f>
        <v>729.2</v>
      </c>
      <c r="I489" s="476"/>
      <c r="J489" s="476">
        <f>'ведом. 2021-2023'!AF322</f>
        <v>729.2</v>
      </c>
      <c r="K489" s="476"/>
      <c r="L489" s="466"/>
      <c r="N489" s="466"/>
      <c r="O489" s="466"/>
    </row>
    <row r="490" spans="1:15" s="514" customFormat="1" x14ac:dyDescent="0.25">
      <c r="A490" s="520" t="s">
        <v>924</v>
      </c>
      <c r="B490" s="615" t="s">
        <v>175</v>
      </c>
      <c r="C490" s="235" t="s">
        <v>193</v>
      </c>
      <c r="D490" s="249" t="s">
        <v>2208</v>
      </c>
      <c r="E490" s="580" t="s">
        <v>2242</v>
      </c>
      <c r="F490" s="292">
        <f>F491</f>
        <v>2.1</v>
      </c>
      <c r="G490" s="476"/>
      <c r="H490" s="476">
        <f>H491</f>
        <v>0</v>
      </c>
      <c r="I490" s="476"/>
      <c r="J490" s="476">
        <f>J491</f>
        <v>0</v>
      </c>
      <c r="K490" s="476"/>
      <c r="L490" s="466"/>
      <c r="N490" s="466"/>
      <c r="O490" s="466"/>
    </row>
    <row r="491" spans="1:15" s="514" customFormat="1" x14ac:dyDescent="0.25">
      <c r="A491" s="520" t="s">
        <v>1320</v>
      </c>
      <c r="B491" s="615" t="s">
        <v>175</v>
      </c>
      <c r="C491" s="235" t="s">
        <v>193</v>
      </c>
      <c r="D491" s="249" t="s">
        <v>2208</v>
      </c>
      <c r="E491" s="580" t="s">
        <v>2394</v>
      </c>
      <c r="F491" s="292">
        <f>'ведом. 2021-2023'!AD324</f>
        <v>2.1</v>
      </c>
      <c r="G491" s="476"/>
      <c r="H491" s="476">
        <f>'ведом. 2021-2023'!AE324</f>
        <v>0</v>
      </c>
      <c r="I491" s="476"/>
      <c r="J491" s="476">
        <f>'ведом. 2021-2023'!AF324</f>
        <v>0</v>
      </c>
      <c r="K491" s="476"/>
      <c r="L491" s="466"/>
      <c r="N491" s="466"/>
      <c r="O491" s="466"/>
    </row>
    <row r="492" spans="1:15" s="442" customFormat="1" ht="31.5" x14ac:dyDescent="0.25">
      <c r="A492" s="521" t="s">
        <v>2104</v>
      </c>
      <c r="B492" s="615" t="s">
        <v>175</v>
      </c>
      <c r="C492" s="235" t="s">
        <v>193</v>
      </c>
      <c r="D492" s="443" t="s">
        <v>1806</v>
      </c>
      <c r="E492" s="580"/>
      <c r="F492" s="292">
        <f>F493+F498</f>
        <v>9503.4999999999982</v>
      </c>
      <c r="G492" s="292">
        <f>G493+G498</f>
        <v>6999.9999999999991</v>
      </c>
      <c r="H492" s="476">
        <f>H493+H498</f>
        <v>513.5</v>
      </c>
      <c r="I492" s="476"/>
      <c r="J492" s="476">
        <f>J493+J498</f>
        <v>513.5</v>
      </c>
      <c r="K492" s="476"/>
      <c r="L492" s="466"/>
      <c r="N492" s="466"/>
      <c r="O492" s="466"/>
    </row>
    <row r="493" spans="1:15" s="442" customFormat="1" ht="47.25" x14ac:dyDescent="0.25">
      <c r="A493" s="521" t="s">
        <v>2105</v>
      </c>
      <c r="B493" s="615" t="s">
        <v>175</v>
      </c>
      <c r="C493" s="235" t="s">
        <v>193</v>
      </c>
      <c r="D493" s="443" t="s">
        <v>2106</v>
      </c>
      <c r="E493" s="238"/>
      <c r="F493" s="292">
        <f>F494</f>
        <v>966.90000000000009</v>
      </c>
      <c r="G493" s="476"/>
      <c r="H493" s="476">
        <f>H494</f>
        <v>513.5</v>
      </c>
      <c r="I493" s="476"/>
      <c r="J493" s="476">
        <f>J494</f>
        <v>513.5</v>
      </c>
      <c r="K493" s="476"/>
      <c r="L493" s="466"/>
      <c r="N493" s="466"/>
      <c r="O493" s="466"/>
    </row>
    <row r="494" spans="1:15" s="442" customFormat="1" ht="31.5" x14ac:dyDescent="0.25">
      <c r="A494" s="529" t="s">
        <v>2110</v>
      </c>
      <c r="B494" s="615" t="s">
        <v>175</v>
      </c>
      <c r="C494" s="235" t="s">
        <v>193</v>
      </c>
      <c r="D494" s="443" t="s">
        <v>2111</v>
      </c>
      <c r="E494" s="238"/>
      <c r="F494" s="292">
        <f>F495</f>
        <v>966.90000000000009</v>
      </c>
      <c r="G494" s="476"/>
      <c r="H494" s="476">
        <f>H495</f>
        <v>513.5</v>
      </c>
      <c r="I494" s="476"/>
      <c r="J494" s="476">
        <f>J495</f>
        <v>513.5</v>
      </c>
      <c r="K494" s="476"/>
      <c r="L494" s="466"/>
      <c r="N494" s="466"/>
      <c r="O494" s="466"/>
    </row>
    <row r="495" spans="1:15" s="442" customFormat="1" ht="47.25" x14ac:dyDescent="0.25">
      <c r="A495" s="519" t="s">
        <v>2249</v>
      </c>
      <c r="B495" s="615" t="s">
        <v>175</v>
      </c>
      <c r="C495" s="235" t="s">
        <v>193</v>
      </c>
      <c r="D495" s="443" t="s">
        <v>2112</v>
      </c>
      <c r="E495" s="238"/>
      <c r="F495" s="292">
        <f>F496</f>
        <v>966.90000000000009</v>
      </c>
      <c r="G495" s="476"/>
      <c r="H495" s="476">
        <f>H496</f>
        <v>513.5</v>
      </c>
      <c r="I495" s="476"/>
      <c r="J495" s="476">
        <f>J496</f>
        <v>513.5</v>
      </c>
      <c r="K495" s="476"/>
      <c r="L495" s="466"/>
      <c r="N495" s="466"/>
      <c r="O495" s="466"/>
    </row>
    <row r="496" spans="1:15" s="442" customFormat="1" x14ac:dyDescent="0.25">
      <c r="A496" s="524" t="s">
        <v>1782</v>
      </c>
      <c r="B496" s="615" t="s">
        <v>175</v>
      </c>
      <c r="C496" s="235" t="s">
        <v>193</v>
      </c>
      <c r="D496" s="443" t="s">
        <v>2112</v>
      </c>
      <c r="E496" s="238">
        <v>200</v>
      </c>
      <c r="F496" s="292">
        <f>F497</f>
        <v>966.90000000000009</v>
      </c>
      <c r="G496" s="476"/>
      <c r="H496" s="476">
        <f>H497</f>
        <v>513.5</v>
      </c>
      <c r="I496" s="476"/>
      <c r="J496" s="476">
        <f>J497</f>
        <v>513.5</v>
      </c>
      <c r="K496" s="476"/>
      <c r="L496" s="466"/>
      <c r="N496" s="466"/>
      <c r="O496" s="466"/>
    </row>
    <row r="497" spans="1:15" s="442" customFormat="1" ht="31.5" x14ac:dyDescent="0.25">
      <c r="A497" s="524" t="s">
        <v>1274</v>
      </c>
      <c r="B497" s="615" t="s">
        <v>175</v>
      </c>
      <c r="C497" s="235" t="s">
        <v>193</v>
      </c>
      <c r="D497" s="443" t="s">
        <v>2112</v>
      </c>
      <c r="E497" s="238">
        <v>240</v>
      </c>
      <c r="F497" s="292">
        <f>'ведом. 2021-2023'!AD330</f>
        <v>966.90000000000009</v>
      </c>
      <c r="G497" s="476"/>
      <c r="H497" s="476">
        <f>'ведом. 2021-2023'!AE330</f>
        <v>513.5</v>
      </c>
      <c r="I497" s="476"/>
      <c r="J497" s="476">
        <f>'ведом. 2021-2023'!AF330</f>
        <v>513.5</v>
      </c>
      <c r="K497" s="476"/>
      <c r="L497" s="466"/>
      <c r="N497" s="466"/>
      <c r="O497" s="466"/>
    </row>
    <row r="498" spans="1:15" s="514" customFormat="1" x14ac:dyDescent="0.25">
      <c r="A498" s="515" t="s">
        <v>2374</v>
      </c>
      <c r="B498" s="615" t="s">
        <v>175</v>
      </c>
      <c r="C498" s="235" t="s">
        <v>193</v>
      </c>
      <c r="D498" s="468" t="s">
        <v>2375</v>
      </c>
      <c r="E498" s="580"/>
      <c r="F498" s="292">
        <f>F499</f>
        <v>8536.5999999999985</v>
      </c>
      <c r="G498" s="292">
        <f>G499</f>
        <v>6999.9999999999991</v>
      </c>
      <c r="H498" s="476">
        <f t="shared" ref="H498:J499" si="95">H499</f>
        <v>0</v>
      </c>
      <c r="I498" s="476"/>
      <c r="J498" s="476">
        <f t="shared" si="95"/>
        <v>0</v>
      </c>
      <c r="K498" s="476"/>
      <c r="L498" s="466"/>
      <c r="N498" s="466"/>
      <c r="O498" s="466"/>
    </row>
    <row r="499" spans="1:15" s="514" customFormat="1" ht="31.5" x14ac:dyDescent="0.25">
      <c r="A499" s="515" t="s">
        <v>2376</v>
      </c>
      <c r="B499" s="615" t="s">
        <v>175</v>
      </c>
      <c r="C499" s="235" t="s">
        <v>193</v>
      </c>
      <c r="D499" s="468" t="s">
        <v>2377</v>
      </c>
      <c r="E499" s="580"/>
      <c r="F499" s="292">
        <f>F500</f>
        <v>8536.5999999999985</v>
      </c>
      <c r="G499" s="292">
        <f>G500</f>
        <v>6999.9999999999991</v>
      </c>
      <c r="H499" s="476">
        <f t="shared" si="95"/>
        <v>0</v>
      </c>
      <c r="I499" s="476"/>
      <c r="J499" s="476">
        <f t="shared" si="95"/>
        <v>0</v>
      </c>
      <c r="K499" s="476"/>
      <c r="L499" s="466"/>
      <c r="N499" s="466"/>
      <c r="O499" s="466"/>
    </row>
    <row r="500" spans="1:15" s="514" customFormat="1" ht="31.5" x14ac:dyDescent="0.25">
      <c r="A500" s="515" t="s">
        <v>2378</v>
      </c>
      <c r="B500" s="615" t="s">
        <v>175</v>
      </c>
      <c r="C500" s="235" t="s">
        <v>193</v>
      </c>
      <c r="D500" s="468" t="s">
        <v>2379</v>
      </c>
      <c r="E500" s="580"/>
      <c r="F500" s="292">
        <f>F501+F504+F507+F510+F513+F516+F519+F522+F525+F528+F531+F534+F537+F540+F543</f>
        <v>8536.5999999999985</v>
      </c>
      <c r="G500" s="292">
        <f>G501+G504+G507+G510+G513+G516+G519+G522+G525+G528+G531+G534+G537+G540+G543</f>
        <v>6999.9999999999991</v>
      </c>
      <c r="H500" s="292">
        <f>H504+H543</f>
        <v>0</v>
      </c>
      <c r="I500" s="292"/>
      <c r="J500" s="292">
        <f>J504+J543</f>
        <v>0</v>
      </c>
      <c r="K500" s="476"/>
      <c r="L500" s="466"/>
      <c r="N500" s="466"/>
      <c r="O500" s="466"/>
    </row>
    <row r="501" spans="1:15" s="514" customFormat="1" ht="47.25" x14ac:dyDescent="0.25">
      <c r="A501" s="515" t="s">
        <v>2448</v>
      </c>
      <c r="B501" s="615" t="s">
        <v>175</v>
      </c>
      <c r="C501" s="235" t="s">
        <v>193</v>
      </c>
      <c r="D501" s="468" t="s">
        <v>2449</v>
      </c>
      <c r="E501" s="726"/>
      <c r="F501" s="292">
        <f>F502</f>
        <v>517.70000000000005</v>
      </c>
      <c r="G501" s="292">
        <f>G502</f>
        <v>424.5</v>
      </c>
      <c r="H501" s="292">
        <f t="shared" ref="H501:J502" si="96">H502</f>
        <v>0</v>
      </c>
      <c r="I501" s="476"/>
      <c r="J501" s="292">
        <f t="shared" si="96"/>
        <v>0</v>
      </c>
      <c r="K501" s="476"/>
      <c r="L501" s="466"/>
      <c r="N501" s="466"/>
      <c r="O501" s="466"/>
    </row>
    <row r="502" spans="1:15" s="514" customFormat="1" x14ac:dyDescent="0.25">
      <c r="A502" s="515" t="s">
        <v>1782</v>
      </c>
      <c r="B502" s="615" t="s">
        <v>175</v>
      </c>
      <c r="C502" s="235" t="s">
        <v>193</v>
      </c>
      <c r="D502" s="468" t="s">
        <v>2449</v>
      </c>
      <c r="E502" s="725">
        <v>200</v>
      </c>
      <c r="F502" s="292">
        <f>F503</f>
        <v>517.70000000000005</v>
      </c>
      <c r="G502" s="292">
        <f>G503</f>
        <v>424.5</v>
      </c>
      <c r="H502" s="292">
        <f t="shared" si="96"/>
        <v>0</v>
      </c>
      <c r="I502" s="476"/>
      <c r="J502" s="292">
        <f t="shared" si="96"/>
        <v>0</v>
      </c>
      <c r="K502" s="476"/>
      <c r="L502" s="466"/>
      <c r="N502" s="466"/>
      <c r="O502" s="466"/>
    </row>
    <row r="503" spans="1:15" s="514" customFormat="1" ht="31.5" x14ac:dyDescent="0.25">
      <c r="A503" s="515" t="s">
        <v>1274</v>
      </c>
      <c r="B503" s="615" t="s">
        <v>175</v>
      </c>
      <c r="C503" s="235" t="s">
        <v>193</v>
      </c>
      <c r="D503" s="468" t="s">
        <v>2449</v>
      </c>
      <c r="E503" s="725">
        <v>240</v>
      </c>
      <c r="F503" s="292">
        <f>'ведом. 2021-2023'!AD948</f>
        <v>517.70000000000005</v>
      </c>
      <c r="G503" s="476">
        <v>424.5</v>
      </c>
      <c r="H503" s="476">
        <v>0</v>
      </c>
      <c r="I503" s="476"/>
      <c r="J503" s="476">
        <v>0</v>
      </c>
      <c r="K503" s="476"/>
      <c r="L503" s="466"/>
      <c r="N503" s="466"/>
      <c r="O503" s="466"/>
    </row>
    <row r="504" spans="1:15" s="514" customFormat="1" ht="47.25" x14ac:dyDescent="0.25">
      <c r="A504" s="520" t="s">
        <v>2380</v>
      </c>
      <c r="B504" s="615" t="s">
        <v>175</v>
      </c>
      <c r="C504" s="235" t="s">
        <v>193</v>
      </c>
      <c r="D504" s="468" t="s">
        <v>2381</v>
      </c>
      <c r="E504" s="726"/>
      <c r="F504" s="292">
        <f>F505</f>
        <v>185.4</v>
      </c>
      <c r="G504" s="476">
        <f>G505</f>
        <v>152</v>
      </c>
      <c r="H504" s="476">
        <f t="shared" ref="H504:J505" si="97">H505</f>
        <v>0</v>
      </c>
      <c r="I504" s="476"/>
      <c r="J504" s="476">
        <f t="shared" si="97"/>
        <v>0</v>
      </c>
      <c r="K504" s="476"/>
      <c r="L504" s="466"/>
      <c r="N504" s="466"/>
      <c r="O504" s="466"/>
    </row>
    <row r="505" spans="1:15" s="514" customFormat="1" x14ac:dyDescent="0.25">
      <c r="A505" s="515" t="s">
        <v>1782</v>
      </c>
      <c r="B505" s="615" t="s">
        <v>175</v>
      </c>
      <c r="C505" s="235" t="s">
        <v>193</v>
      </c>
      <c r="D505" s="468" t="s">
        <v>2381</v>
      </c>
      <c r="E505" s="725">
        <v>200</v>
      </c>
      <c r="F505" s="292">
        <f>F506</f>
        <v>185.4</v>
      </c>
      <c r="G505" s="476">
        <f>G506</f>
        <v>152</v>
      </c>
      <c r="H505" s="476">
        <f t="shared" si="97"/>
        <v>0</v>
      </c>
      <c r="I505" s="476"/>
      <c r="J505" s="476">
        <f t="shared" si="97"/>
        <v>0</v>
      </c>
      <c r="K505" s="476"/>
      <c r="L505" s="466"/>
      <c r="N505" s="466"/>
      <c r="O505" s="466"/>
    </row>
    <row r="506" spans="1:15" s="514" customFormat="1" ht="31.5" x14ac:dyDescent="0.25">
      <c r="A506" s="515" t="s">
        <v>1274</v>
      </c>
      <c r="B506" s="615" t="s">
        <v>175</v>
      </c>
      <c r="C506" s="235" t="s">
        <v>193</v>
      </c>
      <c r="D506" s="468" t="s">
        <v>2381</v>
      </c>
      <c r="E506" s="725">
        <v>240</v>
      </c>
      <c r="F506" s="292">
        <f>'ведом. 2021-2023'!AD951</f>
        <v>185.4</v>
      </c>
      <c r="G506" s="476">
        <v>152</v>
      </c>
      <c r="H506" s="476">
        <v>0</v>
      </c>
      <c r="I506" s="476"/>
      <c r="J506" s="476">
        <v>0</v>
      </c>
      <c r="K506" s="476"/>
      <c r="L506" s="466"/>
      <c r="N506" s="466"/>
      <c r="O506" s="466"/>
    </row>
    <row r="507" spans="1:15" s="514" customFormat="1" ht="47.25" x14ac:dyDescent="0.25">
      <c r="A507" s="520" t="s">
        <v>2450</v>
      </c>
      <c r="B507" s="615" t="s">
        <v>175</v>
      </c>
      <c r="C507" s="235" t="s">
        <v>193</v>
      </c>
      <c r="D507" s="468" t="s">
        <v>2451</v>
      </c>
      <c r="E507" s="726"/>
      <c r="F507" s="292">
        <f>F508</f>
        <v>608.79999999999995</v>
      </c>
      <c r="G507" s="292">
        <f>G508</f>
        <v>499.2</v>
      </c>
      <c r="H507" s="476">
        <f t="shared" ref="H507:J508" si="98">H508</f>
        <v>0</v>
      </c>
      <c r="I507" s="476"/>
      <c r="J507" s="476">
        <f t="shared" si="98"/>
        <v>0</v>
      </c>
      <c r="K507" s="476"/>
      <c r="L507" s="466"/>
      <c r="N507" s="466"/>
      <c r="O507" s="466"/>
    </row>
    <row r="508" spans="1:15" s="514" customFormat="1" x14ac:dyDescent="0.25">
      <c r="A508" s="515" t="s">
        <v>1782</v>
      </c>
      <c r="B508" s="615" t="s">
        <v>175</v>
      </c>
      <c r="C508" s="235" t="s">
        <v>193</v>
      </c>
      <c r="D508" s="468" t="s">
        <v>2451</v>
      </c>
      <c r="E508" s="725">
        <v>200</v>
      </c>
      <c r="F508" s="292">
        <f>F509</f>
        <v>608.79999999999995</v>
      </c>
      <c r="G508" s="292">
        <f>G509</f>
        <v>499.2</v>
      </c>
      <c r="H508" s="476">
        <f t="shared" si="98"/>
        <v>0</v>
      </c>
      <c r="I508" s="476"/>
      <c r="J508" s="476">
        <f t="shared" si="98"/>
        <v>0</v>
      </c>
      <c r="K508" s="476"/>
      <c r="L508" s="466"/>
      <c r="N508" s="466"/>
      <c r="O508" s="466"/>
    </row>
    <row r="509" spans="1:15" s="514" customFormat="1" ht="31.5" x14ac:dyDescent="0.25">
      <c r="A509" s="515" t="s">
        <v>1274</v>
      </c>
      <c r="B509" s="615" t="s">
        <v>175</v>
      </c>
      <c r="C509" s="235" t="s">
        <v>193</v>
      </c>
      <c r="D509" s="468" t="s">
        <v>2451</v>
      </c>
      <c r="E509" s="725">
        <v>240</v>
      </c>
      <c r="F509" s="292">
        <f>'ведом. 2021-2023'!AD954</f>
        <v>608.79999999999995</v>
      </c>
      <c r="G509" s="476">
        <v>499.2</v>
      </c>
      <c r="H509" s="476">
        <v>0</v>
      </c>
      <c r="I509" s="476"/>
      <c r="J509" s="476">
        <v>0</v>
      </c>
      <c r="K509" s="476"/>
      <c r="L509" s="466"/>
      <c r="N509" s="466"/>
      <c r="O509" s="466"/>
    </row>
    <row r="510" spans="1:15" s="514" customFormat="1" ht="47.25" x14ac:dyDescent="0.25">
      <c r="A510" s="520" t="s">
        <v>2452</v>
      </c>
      <c r="B510" s="615" t="s">
        <v>175</v>
      </c>
      <c r="C510" s="235" t="s">
        <v>193</v>
      </c>
      <c r="D510" s="468" t="s">
        <v>2453</v>
      </c>
      <c r="E510" s="726"/>
      <c r="F510" s="292">
        <f>F511</f>
        <v>681.7</v>
      </c>
      <c r="G510" s="476">
        <f>G511</f>
        <v>559</v>
      </c>
      <c r="H510" s="476">
        <f t="shared" ref="H510:J511" si="99">H511</f>
        <v>0</v>
      </c>
      <c r="I510" s="476"/>
      <c r="J510" s="476">
        <f t="shared" si="99"/>
        <v>0</v>
      </c>
      <c r="K510" s="476"/>
      <c r="L510" s="466"/>
      <c r="N510" s="466"/>
      <c r="O510" s="466"/>
    </row>
    <row r="511" spans="1:15" s="514" customFormat="1" x14ac:dyDescent="0.25">
      <c r="A511" s="515" t="s">
        <v>1782</v>
      </c>
      <c r="B511" s="615" t="s">
        <v>175</v>
      </c>
      <c r="C511" s="235" t="s">
        <v>193</v>
      </c>
      <c r="D511" s="468" t="s">
        <v>2453</v>
      </c>
      <c r="E511" s="725">
        <v>200</v>
      </c>
      <c r="F511" s="292">
        <f>F512</f>
        <v>681.7</v>
      </c>
      <c r="G511" s="292">
        <f>G512</f>
        <v>559</v>
      </c>
      <c r="H511" s="476">
        <f t="shared" si="99"/>
        <v>0</v>
      </c>
      <c r="I511" s="476"/>
      <c r="J511" s="476">
        <f t="shared" si="99"/>
        <v>0</v>
      </c>
      <c r="K511" s="476"/>
      <c r="L511" s="466"/>
      <c r="N511" s="466"/>
      <c r="O511" s="466"/>
    </row>
    <row r="512" spans="1:15" s="514" customFormat="1" ht="31.5" x14ac:dyDescent="0.25">
      <c r="A512" s="515" t="s">
        <v>1274</v>
      </c>
      <c r="B512" s="615" t="s">
        <v>175</v>
      </c>
      <c r="C512" s="235" t="s">
        <v>193</v>
      </c>
      <c r="D512" s="468" t="s">
        <v>2453</v>
      </c>
      <c r="E512" s="725">
        <v>240</v>
      </c>
      <c r="F512" s="292">
        <f>'ведом. 2021-2023'!AD957</f>
        <v>681.7</v>
      </c>
      <c r="G512" s="476">
        <v>559</v>
      </c>
      <c r="H512" s="476">
        <v>0</v>
      </c>
      <c r="I512" s="476"/>
      <c r="J512" s="476">
        <v>0</v>
      </c>
      <c r="K512" s="476"/>
      <c r="L512" s="466"/>
      <c r="N512" s="466"/>
      <c r="O512" s="466"/>
    </row>
    <row r="513" spans="1:15" s="514" customFormat="1" ht="47.25" x14ac:dyDescent="0.25">
      <c r="A513" s="515" t="s">
        <v>2454</v>
      </c>
      <c r="B513" s="615" t="s">
        <v>175</v>
      </c>
      <c r="C513" s="235" t="s">
        <v>193</v>
      </c>
      <c r="D513" s="468" t="s">
        <v>2455</v>
      </c>
      <c r="E513" s="726"/>
      <c r="F513" s="292">
        <f>F514</f>
        <v>1122.7</v>
      </c>
      <c r="G513" s="292">
        <f>G514</f>
        <v>920.6</v>
      </c>
      <c r="H513" s="292">
        <f t="shared" ref="H513:J514" si="100">H514</f>
        <v>0</v>
      </c>
      <c r="I513" s="476"/>
      <c r="J513" s="292">
        <f t="shared" si="100"/>
        <v>0</v>
      </c>
      <c r="K513" s="476"/>
      <c r="L513" s="466"/>
      <c r="N513" s="466"/>
      <c r="O513" s="466"/>
    </row>
    <row r="514" spans="1:15" s="514" customFormat="1" x14ac:dyDescent="0.25">
      <c r="A514" s="515" t="s">
        <v>1782</v>
      </c>
      <c r="B514" s="615" t="s">
        <v>175</v>
      </c>
      <c r="C514" s="235" t="s">
        <v>193</v>
      </c>
      <c r="D514" s="468" t="s">
        <v>2455</v>
      </c>
      <c r="E514" s="725">
        <v>200</v>
      </c>
      <c r="F514" s="292">
        <f>F515</f>
        <v>1122.7</v>
      </c>
      <c r="G514" s="292">
        <f>G515</f>
        <v>920.6</v>
      </c>
      <c r="H514" s="292">
        <f t="shared" si="100"/>
        <v>0</v>
      </c>
      <c r="I514" s="476"/>
      <c r="J514" s="292">
        <f t="shared" si="100"/>
        <v>0</v>
      </c>
      <c r="K514" s="476"/>
      <c r="L514" s="466"/>
      <c r="N514" s="466"/>
      <c r="O514" s="466"/>
    </row>
    <row r="515" spans="1:15" s="514" customFormat="1" ht="31.5" x14ac:dyDescent="0.25">
      <c r="A515" s="515" t="s">
        <v>1274</v>
      </c>
      <c r="B515" s="615" t="s">
        <v>175</v>
      </c>
      <c r="C515" s="235" t="s">
        <v>193</v>
      </c>
      <c r="D515" s="468" t="s">
        <v>2455</v>
      </c>
      <c r="E515" s="725">
        <v>240</v>
      </c>
      <c r="F515" s="292">
        <f>'ведом. 2021-2023'!AD960</f>
        <v>1122.7</v>
      </c>
      <c r="G515" s="476">
        <v>920.6</v>
      </c>
      <c r="H515" s="476">
        <v>0</v>
      </c>
      <c r="I515" s="476"/>
      <c r="J515" s="476">
        <v>0</v>
      </c>
      <c r="K515" s="476"/>
      <c r="L515" s="466"/>
      <c r="N515" s="466"/>
      <c r="O515" s="466"/>
    </row>
    <row r="516" spans="1:15" s="514" customFormat="1" ht="47.25" x14ac:dyDescent="0.25">
      <c r="A516" s="515" t="s">
        <v>2474</v>
      </c>
      <c r="B516" s="615" t="s">
        <v>175</v>
      </c>
      <c r="C516" s="235" t="s">
        <v>193</v>
      </c>
      <c r="D516" s="468" t="s">
        <v>2456</v>
      </c>
      <c r="E516" s="726"/>
      <c r="F516" s="292">
        <f>F517</f>
        <v>523.9</v>
      </c>
      <c r="G516" s="292">
        <f>G517</f>
        <v>429.6</v>
      </c>
      <c r="H516" s="292">
        <f t="shared" ref="H516:J517" si="101">H517</f>
        <v>0</v>
      </c>
      <c r="I516" s="476"/>
      <c r="J516" s="292">
        <f t="shared" si="101"/>
        <v>0</v>
      </c>
      <c r="K516" s="476"/>
      <c r="L516" s="466"/>
      <c r="N516" s="466"/>
      <c r="O516" s="466"/>
    </row>
    <row r="517" spans="1:15" s="514" customFormat="1" x14ac:dyDescent="0.25">
      <c r="A517" s="515" t="s">
        <v>1782</v>
      </c>
      <c r="B517" s="615" t="s">
        <v>175</v>
      </c>
      <c r="C517" s="235" t="s">
        <v>193</v>
      </c>
      <c r="D517" s="468" t="s">
        <v>2456</v>
      </c>
      <c r="E517" s="725">
        <v>200</v>
      </c>
      <c r="F517" s="292">
        <f>F518</f>
        <v>523.9</v>
      </c>
      <c r="G517" s="292">
        <f>G518</f>
        <v>429.6</v>
      </c>
      <c r="H517" s="292">
        <f t="shared" si="101"/>
        <v>0</v>
      </c>
      <c r="I517" s="476"/>
      <c r="J517" s="292">
        <f t="shared" si="101"/>
        <v>0</v>
      </c>
      <c r="K517" s="476"/>
      <c r="L517" s="466"/>
      <c r="N517" s="466"/>
      <c r="O517" s="466"/>
    </row>
    <row r="518" spans="1:15" s="514" customFormat="1" ht="31.5" x14ac:dyDescent="0.25">
      <c r="A518" s="515" t="s">
        <v>1274</v>
      </c>
      <c r="B518" s="615" t="s">
        <v>175</v>
      </c>
      <c r="C518" s="235" t="s">
        <v>193</v>
      </c>
      <c r="D518" s="468" t="s">
        <v>2456</v>
      </c>
      <c r="E518" s="725">
        <v>240</v>
      </c>
      <c r="F518" s="292">
        <f>'ведом. 2021-2023'!AD963</f>
        <v>523.9</v>
      </c>
      <c r="G518" s="476">
        <v>429.6</v>
      </c>
      <c r="H518" s="476">
        <v>0</v>
      </c>
      <c r="I518" s="476"/>
      <c r="J518" s="476">
        <v>0</v>
      </c>
      <c r="K518" s="476"/>
      <c r="L518" s="466"/>
      <c r="N518" s="466"/>
      <c r="O518" s="466"/>
    </row>
    <row r="519" spans="1:15" s="514" customFormat="1" ht="31.5" x14ac:dyDescent="0.25">
      <c r="A519" s="515" t="s">
        <v>2457</v>
      </c>
      <c r="B519" s="615" t="s">
        <v>175</v>
      </c>
      <c r="C519" s="235" t="s">
        <v>193</v>
      </c>
      <c r="D519" s="468" t="s">
        <v>2458</v>
      </c>
      <c r="E519" s="726"/>
      <c r="F519" s="292">
        <f>F520</f>
        <v>331.20000000000005</v>
      </c>
      <c r="G519" s="292">
        <f>G520</f>
        <v>271.60000000000002</v>
      </c>
      <c r="H519" s="292">
        <f>H520</f>
        <v>0</v>
      </c>
      <c r="I519" s="476"/>
      <c r="J519" s="292">
        <f>J520</f>
        <v>0</v>
      </c>
      <c r="K519" s="476"/>
      <c r="L519" s="466"/>
      <c r="N519" s="466"/>
      <c r="O519" s="466"/>
    </row>
    <row r="520" spans="1:15" s="514" customFormat="1" x14ac:dyDescent="0.25">
      <c r="A520" s="515" t="s">
        <v>1782</v>
      </c>
      <c r="B520" s="615" t="s">
        <v>175</v>
      </c>
      <c r="C520" s="235" t="s">
        <v>193</v>
      </c>
      <c r="D520" s="468" t="s">
        <v>2458</v>
      </c>
      <c r="E520" s="725">
        <v>200</v>
      </c>
      <c r="F520" s="292">
        <f>F521</f>
        <v>331.20000000000005</v>
      </c>
      <c r="G520" s="292">
        <f>G521</f>
        <v>271.60000000000002</v>
      </c>
      <c r="H520" s="476">
        <v>0</v>
      </c>
      <c r="I520" s="476"/>
      <c r="J520" s="476">
        <v>0</v>
      </c>
      <c r="K520" s="476"/>
      <c r="L520" s="466"/>
      <c r="N520" s="466"/>
      <c r="O520" s="466"/>
    </row>
    <row r="521" spans="1:15" s="514" customFormat="1" ht="31.5" x14ac:dyDescent="0.25">
      <c r="A521" s="515" t="s">
        <v>1274</v>
      </c>
      <c r="B521" s="615" t="s">
        <v>175</v>
      </c>
      <c r="C521" s="235" t="s">
        <v>193</v>
      </c>
      <c r="D521" s="468" t="s">
        <v>2458</v>
      </c>
      <c r="E521" s="725">
        <v>240</v>
      </c>
      <c r="F521" s="292">
        <f>'ведом. 2021-2023'!AD966</f>
        <v>331.20000000000005</v>
      </c>
      <c r="G521" s="476">
        <v>271.60000000000002</v>
      </c>
      <c r="H521" s="476">
        <v>0</v>
      </c>
      <c r="I521" s="476"/>
      <c r="J521" s="476">
        <v>0</v>
      </c>
      <c r="K521" s="476"/>
      <c r="L521" s="466"/>
      <c r="N521" s="466"/>
      <c r="O521" s="466"/>
    </row>
    <row r="522" spans="1:15" s="514" customFormat="1" ht="47.25" x14ac:dyDescent="0.25">
      <c r="A522" s="515" t="s">
        <v>2459</v>
      </c>
      <c r="B522" s="615" t="s">
        <v>175</v>
      </c>
      <c r="C522" s="235" t="s">
        <v>193</v>
      </c>
      <c r="D522" s="468" t="s">
        <v>2460</v>
      </c>
      <c r="E522" s="726"/>
      <c r="F522" s="292">
        <f>F523</f>
        <v>330.7</v>
      </c>
      <c r="G522" s="292">
        <f>G523</f>
        <v>271.2</v>
      </c>
      <c r="H522" s="292">
        <f t="shared" ref="H522:J523" si="102">H523</f>
        <v>0</v>
      </c>
      <c r="I522" s="476"/>
      <c r="J522" s="292">
        <f t="shared" si="102"/>
        <v>0</v>
      </c>
      <c r="K522" s="476"/>
      <c r="L522" s="466"/>
      <c r="N522" s="466"/>
      <c r="O522" s="466"/>
    </row>
    <row r="523" spans="1:15" s="514" customFormat="1" x14ac:dyDescent="0.25">
      <c r="A523" s="515" t="s">
        <v>1782</v>
      </c>
      <c r="B523" s="615" t="s">
        <v>175</v>
      </c>
      <c r="C523" s="235" t="s">
        <v>193</v>
      </c>
      <c r="D523" s="468" t="s">
        <v>2460</v>
      </c>
      <c r="E523" s="725">
        <v>200</v>
      </c>
      <c r="F523" s="292">
        <f>F524</f>
        <v>330.7</v>
      </c>
      <c r="G523" s="292">
        <f>G524</f>
        <v>271.2</v>
      </c>
      <c r="H523" s="292">
        <f t="shared" si="102"/>
        <v>0</v>
      </c>
      <c r="I523" s="476"/>
      <c r="J523" s="292">
        <f t="shared" si="102"/>
        <v>0</v>
      </c>
      <c r="K523" s="476"/>
      <c r="L523" s="466"/>
      <c r="N523" s="466"/>
      <c r="O523" s="466"/>
    </row>
    <row r="524" spans="1:15" s="514" customFormat="1" ht="31.5" x14ac:dyDescent="0.25">
      <c r="A524" s="515" t="s">
        <v>1274</v>
      </c>
      <c r="B524" s="615" t="s">
        <v>175</v>
      </c>
      <c r="C524" s="235" t="s">
        <v>193</v>
      </c>
      <c r="D524" s="468" t="s">
        <v>2460</v>
      </c>
      <c r="E524" s="725">
        <v>240</v>
      </c>
      <c r="F524" s="292">
        <f>'ведом. 2021-2023'!AD969</f>
        <v>330.7</v>
      </c>
      <c r="G524" s="476">
        <v>271.2</v>
      </c>
      <c r="H524" s="476">
        <v>0</v>
      </c>
      <c r="I524" s="476"/>
      <c r="J524" s="476">
        <v>0</v>
      </c>
      <c r="K524" s="476"/>
      <c r="L524" s="466"/>
      <c r="N524" s="466"/>
      <c r="O524" s="466"/>
    </row>
    <row r="525" spans="1:15" s="514" customFormat="1" ht="47.25" x14ac:dyDescent="0.25">
      <c r="A525" s="837" t="s">
        <v>2461</v>
      </c>
      <c r="B525" s="615" t="s">
        <v>175</v>
      </c>
      <c r="C525" s="235" t="s">
        <v>193</v>
      </c>
      <c r="D525" s="468" t="s">
        <v>2462</v>
      </c>
      <c r="E525" s="238"/>
      <c r="F525" s="292">
        <f>F526</f>
        <v>42.7</v>
      </c>
      <c r="G525" s="292">
        <f>G526</f>
        <v>35</v>
      </c>
      <c r="H525" s="292">
        <f t="shared" ref="H525:J526" si="103">H526</f>
        <v>0</v>
      </c>
      <c r="I525" s="476"/>
      <c r="J525" s="292">
        <f t="shared" si="103"/>
        <v>0</v>
      </c>
      <c r="K525" s="476"/>
      <c r="L525" s="466"/>
      <c r="N525" s="466"/>
      <c r="O525" s="466"/>
    </row>
    <row r="526" spans="1:15" s="514" customFormat="1" x14ac:dyDescent="0.25">
      <c r="A526" s="515" t="s">
        <v>1782</v>
      </c>
      <c r="B526" s="615" t="s">
        <v>175</v>
      </c>
      <c r="C526" s="235" t="s">
        <v>193</v>
      </c>
      <c r="D526" s="468" t="s">
        <v>2462</v>
      </c>
      <c r="E526" s="725">
        <v>200</v>
      </c>
      <c r="F526" s="292">
        <f>F527</f>
        <v>42.7</v>
      </c>
      <c r="G526" s="292">
        <f>G527</f>
        <v>35</v>
      </c>
      <c r="H526" s="292">
        <f t="shared" si="103"/>
        <v>0</v>
      </c>
      <c r="I526" s="476"/>
      <c r="J526" s="292">
        <f t="shared" si="103"/>
        <v>0</v>
      </c>
      <c r="K526" s="476"/>
      <c r="L526" s="466"/>
      <c r="N526" s="466"/>
      <c r="O526" s="466"/>
    </row>
    <row r="527" spans="1:15" s="514" customFormat="1" ht="31.5" x14ac:dyDescent="0.25">
      <c r="A527" s="515" t="s">
        <v>1274</v>
      </c>
      <c r="B527" s="615" t="s">
        <v>175</v>
      </c>
      <c r="C527" s="235" t="s">
        <v>193</v>
      </c>
      <c r="D527" s="468" t="s">
        <v>2462</v>
      </c>
      <c r="E527" s="725">
        <v>240</v>
      </c>
      <c r="F527" s="292">
        <f>'ведом. 2021-2023'!AD972</f>
        <v>42.7</v>
      </c>
      <c r="G527" s="476">
        <v>35</v>
      </c>
      <c r="H527" s="476">
        <v>0</v>
      </c>
      <c r="I527" s="476"/>
      <c r="J527" s="476">
        <v>0</v>
      </c>
      <c r="K527" s="476"/>
      <c r="L527" s="466"/>
      <c r="N527" s="466"/>
      <c r="O527" s="466"/>
    </row>
    <row r="528" spans="1:15" s="514" customFormat="1" ht="47.25" x14ac:dyDescent="0.25">
      <c r="A528" s="837" t="s">
        <v>2463</v>
      </c>
      <c r="B528" s="615" t="s">
        <v>175</v>
      </c>
      <c r="C528" s="235" t="s">
        <v>193</v>
      </c>
      <c r="D528" s="468" t="s">
        <v>2464</v>
      </c>
      <c r="E528" s="238"/>
      <c r="F528" s="292">
        <f>F529</f>
        <v>277.7</v>
      </c>
      <c r="G528" s="292">
        <f>G529</f>
        <v>227.7</v>
      </c>
      <c r="H528" s="292">
        <f>H529</f>
        <v>0</v>
      </c>
      <c r="I528" s="476"/>
      <c r="J528" s="292">
        <f>J529</f>
        <v>0</v>
      </c>
      <c r="K528" s="476"/>
      <c r="L528" s="466"/>
      <c r="N528" s="466"/>
      <c r="O528" s="466"/>
    </row>
    <row r="529" spans="1:15" s="514" customFormat="1" x14ac:dyDescent="0.25">
      <c r="A529" s="515" t="s">
        <v>1782</v>
      </c>
      <c r="B529" s="615" t="s">
        <v>175</v>
      </c>
      <c r="C529" s="235" t="s">
        <v>193</v>
      </c>
      <c r="D529" s="468" t="s">
        <v>2464</v>
      </c>
      <c r="E529" s="725">
        <v>200</v>
      </c>
      <c r="F529" s="292">
        <f>F530</f>
        <v>277.7</v>
      </c>
      <c r="G529" s="292">
        <f>G530</f>
        <v>227.7</v>
      </c>
      <c r="H529" s="476">
        <v>0</v>
      </c>
      <c r="I529" s="476"/>
      <c r="J529" s="476">
        <v>0</v>
      </c>
      <c r="K529" s="476"/>
      <c r="L529" s="466"/>
      <c r="N529" s="466"/>
      <c r="O529" s="466"/>
    </row>
    <row r="530" spans="1:15" s="514" customFormat="1" ht="31.5" x14ac:dyDescent="0.25">
      <c r="A530" s="515" t="s">
        <v>1274</v>
      </c>
      <c r="B530" s="615" t="s">
        <v>175</v>
      </c>
      <c r="C530" s="235" t="s">
        <v>193</v>
      </c>
      <c r="D530" s="468" t="s">
        <v>2464</v>
      </c>
      <c r="E530" s="725">
        <v>240</v>
      </c>
      <c r="F530" s="292">
        <f>'ведом. 2021-2023'!AD975</f>
        <v>277.7</v>
      </c>
      <c r="G530" s="476">
        <v>227.7</v>
      </c>
      <c r="H530" s="476">
        <v>0</v>
      </c>
      <c r="I530" s="476"/>
      <c r="J530" s="476">
        <v>0</v>
      </c>
      <c r="K530" s="476"/>
      <c r="L530" s="466"/>
      <c r="N530" s="466"/>
      <c r="O530" s="466"/>
    </row>
    <row r="531" spans="1:15" s="514" customFormat="1" ht="47.25" x14ac:dyDescent="0.25">
      <c r="A531" s="727" t="s">
        <v>2465</v>
      </c>
      <c r="B531" s="615" t="s">
        <v>175</v>
      </c>
      <c r="C531" s="235" t="s">
        <v>193</v>
      </c>
      <c r="D531" s="468" t="s">
        <v>2466</v>
      </c>
      <c r="E531" s="238"/>
      <c r="F531" s="292">
        <f>F532</f>
        <v>350.70000000000005</v>
      </c>
      <c r="G531" s="292">
        <f>G532</f>
        <v>287.60000000000002</v>
      </c>
      <c r="H531" s="292">
        <f>H532</f>
        <v>0</v>
      </c>
      <c r="I531" s="476"/>
      <c r="J531" s="292">
        <f>J532</f>
        <v>0</v>
      </c>
      <c r="K531" s="476"/>
      <c r="L531" s="466"/>
      <c r="N531" s="466"/>
      <c r="O531" s="466"/>
    </row>
    <row r="532" spans="1:15" s="514" customFormat="1" x14ac:dyDescent="0.25">
      <c r="A532" s="515" t="s">
        <v>1782</v>
      </c>
      <c r="B532" s="615" t="s">
        <v>175</v>
      </c>
      <c r="C532" s="235" t="s">
        <v>193</v>
      </c>
      <c r="D532" s="468" t="s">
        <v>2466</v>
      </c>
      <c r="E532" s="725">
        <v>200</v>
      </c>
      <c r="F532" s="292">
        <f>F533</f>
        <v>350.70000000000005</v>
      </c>
      <c r="G532" s="292">
        <f>G533</f>
        <v>287.60000000000002</v>
      </c>
      <c r="H532" s="476">
        <v>0</v>
      </c>
      <c r="I532" s="476"/>
      <c r="J532" s="476">
        <v>0</v>
      </c>
      <c r="K532" s="476"/>
      <c r="L532" s="466"/>
      <c r="N532" s="466"/>
      <c r="O532" s="466"/>
    </row>
    <row r="533" spans="1:15" s="514" customFormat="1" ht="31.5" x14ac:dyDescent="0.25">
      <c r="A533" s="515" t="s">
        <v>1274</v>
      </c>
      <c r="B533" s="615" t="s">
        <v>175</v>
      </c>
      <c r="C533" s="235" t="s">
        <v>193</v>
      </c>
      <c r="D533" s="468" t="s">
        <v>2466</v>
      </c>
      <c r="E533" s="725">
        <v>240</v>
      </c>
      <c r="F533" s="292">
        <f>'ведом. 2021-2023'!AD978</f>
        <v>350.70000000000005</v>
      </c>
      <c r="G533" s="476">
        <v>287.60000000000002</v>
      </c>
      <c r="H533" s="476">
        <v>0</v>
      </c>
      <c r="I533" s="476"/>
      <c r="J533" s="476">
        <v>0</v>
      </c>
      <c r="K533" s="476"/>
      <c r="L533" s="466"/>
      <c r="N533" s="466"/>
      <c r="O533" s="466"/>
    </row>
    <row r="534" spans="1:15" s="514" customFormat="1" ht="47.25" x14ac:dyDescent="0.25">
      <c r="A534" s="837" t="s">
        <v>2467</v>
      </c>
      <c r="B534" s="615" t="s">
        <v>175</v>
      </c>
      <c r="C534" s="235" t="s">
        <v>193</v>
      </c>
      <c r="D534" s="468" t="s">
        <v>2468</v>
      </c>
      <c r="E534" s="238"/>
      <c r="F534" s="292">
        <f>F535</f>
        <v>219</v>
      </c>
      <c r="G534" s="292">
        <f>G535</f>
        <v>179.6</v>
      </c>
      <c r="H534" s="292">
        <f t="shared" ref="H534:J535" si="104">H535</f>
        <v>0</v>
      </c>
      <c r="I534" s="476"/>
      <c r="J534" s="292">
        <f t="shared" si="104"/>
        <v>0</v>
      </c>
      <c r="K534" s="476"/>
      <c r="L534" s="466"/>
      <c r="N534" s="466"/>
      <c r="O534" s="466"/>
    </row>
    <row r="535" spans="1:15" s="514" customFormat="1" x14ac:dyDescent="0.25">
      <c r="A535" s="515" t="s">
        <v>1782</v>
      </c>
      <c r="B535" s="615" t="s">
        <v>175</v>
      </c>
      <c r="C535" s="235" t="s">
        <v>193</v>
      </c>
      <c r="D535" s="468" t="s">
        <v>2468</v>
      </c>
      <c r="E535" s="725">
        <v>200</v>
      </c>
      <c r="F535" s="292">
        <f>F536</f>
        <v>219</v>
      </c>
      <c r="G535" s="292">
        <f>G536</f>
        <v>179.6</v>
      </c>
      <c r="H535" s="292">
        <f t="shared" si="104"/>
        <v>0</v>
      </c>
      <c r="I535" s="476"/>
      <c r="J535" s="292">
        <f t="shared" si="104"/>
        <v>0</v>
      </c>
      <c r="K535" s="476"/>
      <c r="L535" s="466"/>
      <c r="N535" s="466"/>
      <c r="O535" s="466"/>
    </row>
    <row r="536" spans="1:15" s="514" customFormat="1" ht="31.5" x14ac:dyDescent="0.25">
      <c r="A536" s="515" t="s">
        <v>1274</v>
      </c>
      <c r="B536" s="615" t="s">
        <v>175</v>
      </c>
      <c r="C536" s="235" t="s">
        <v>193</v>
      </c>
      <c r="D536" s="468" t="s">
        <v>2468</v>
      </c>
      <c r="E536" s="725">
        <v>240</v>
      </c>
      <c r="F536" s="292">
        <f>'ведом. 2021-2023'!AD981</f>
        <v>219</v>
      </c>
      <c r="G536" s="476">
        <v>179.6</v>
      </c>
      <c r="H536" s="476">
        <v>0</v>
      </c>
      <c r="I536" s="476"/>
      <c r="J536" s="476">
        <v>0</v>
      </c>
      <c r="K536" s="476"/>
      <c r="L536" s="466"/>
      <c r="N536" s="466"/>
      <c r="O536" s="466"/>
    </row>
    <row r="537" spans="1:15" s="514" customFormat="1" ht="63" x14ac:dyDescent="0.25">
      <c r="A537" s="727" t="s">
        <v>2469</v>
      </c>
      <c r="B537" s="615" t="s">
        <v>175</v>
      </c>
      <c r="C537" s="235" t="s">
        <v>193</v>
      </c>
      <c r="D537" s="468" t="s">
        <v>2470</v>
      </c>
      <c r="E537" s="238"/>
      <c r="F537" s="292">
        <f>F538</f>
        <v>702.7</v>
      </c>
      <c r="G537" s="292">
        <f>G538</f>
        <v>576.20000000000005</v>
      </c>
      <c r="H537" s="292">
        <f>H538</f>
        <v>0</v>
      </c>
      <c r="I537" s="476"/>
      <c r="J537" s="292">
        <f>J538</f>
        <v>0</v>
      </c>
      <c r="K537" s="476"/>
      <c r="L537" s="466"/>
      <c r="N537" s="466"/>
      <c r="O537" s="466"/>
    </row>
    <row r="538" spans="1:15" s="514" customFormat="1" x14ac:dyDescent="0.25">
      <c r="A538" s="515" t="s">
        <v>1782</v>
      </c>
      <c r="B538" s="615" t="s">
        <v>175</v>
      </c>
      <c r="C538" s="235" t="s">
        <v>193</v>
      </c>
      <c r="D538" s="468" t="s">
        <v>2470</v>
      </c>
      <c r="E538" s="725">
        <v>200</v>
      </c>
      <c r="F538" s="292">
        <f>F539</f>
        <v>702.7</v>
      </c>
      <c r="G538" s="292">
        <f>G539</f>
        <v>576.20000000000005</v>
      </c>
      <c r="H538" s="476">
        <v>0</v>
      </c>
      <c r="I538" s="476"/>
      <c r="J538" s="476">
        <v>0</v>
      </c>
      <c r="K538" s="476"/>
      <c r="L538" s="466"/>
      <c r="N538" s="466"/>
      <c r="O538" s="466"/>
    </row>
    <row r="539" spans="1:15" s="514" customFormat="1" ht="31.5" x14ac:dyDescent="0.25">
      <c r="A539" s="515" t="s">
        <v>1274</v>
      </c>
      <c r="B539" s="615" t="s">
        <v>175</v>
      </c>
      <c r="C539" s="235" t="s">
        <v>193</v>
      </c>
      <c r="D539" s="468" t="s">
        <v>2470</v>
      </c>
      <c r="E539" s="725">
        <v>240</v>
      </c>
      <c r="F539" s="292">
        <f>'ведом. 2021-2023'!AD984</f>
        <v>702.7</v>
      </c>
      <c r="G539" s="476">
        <v>576.20000000000005</v>
      </c>
      <c r="H539" s="476">
        <v>0</v>
      </c>
      <c r="I539" s="476"/>
      <c r="J539" s="476">
        <v>0</v>
      </c>
      <c r="K539" s="476"/>
      <c r="L539" s="466"/>
      <c r="N539" s="466"/>
      <c r="O539" s="466"/>
    </row>
    <row r="540" spans="1:15" s="514" customFormat="1" ht="31.5" x14ac:dyDescent="0.25">
      <c r="A540" s="727" t="s">
        <v>2471</v>
      </c>
      <c r="B540" s="615" t="s">
        <v>175</v>
      </c>
      <c r="C540" s="235" t="s">
        <v>193</v>
      </c>
      <c r="D540" s="468" t="s">
        <v>2472</v>
      </c>
      <c r="E540" s="238"/>
      <c r="F540" s="292">
        <f>F541</f>
        <v>202.7</v>
      </c>
      <c r="G540" s="292">
        <f>G541</f>
        <v>166.2</v>
      </c>
      <c r="H540" s="292">
        <f t="shared" ref="H540:J541" si="105">H541</f>
        <v>0</v>
      </c>
      <c r="I540" s="476"/>
      <c r="J540" s="292">
        <f t="shared" si="105"/>
        <v>0</v>
      </c>
      <c r="K540" s="476"/>
      <c r="L540" s="466"/>
      <c r="N540" s="466"/>
      <c r="O540" s="466"/>
    </row>
    <row r="541" spans="1:15" s="514" customFormat="1" x14ac:dyDescent="0.25">
      <c r="A541" s="515" t="s">
        <v>1782</v>
      </c>
      <c r="B541" s="615" t="s">
        <v>175</v>
      </c>
      <c r="C541" s="235" t="s">
        <v>193</v>
      </c>
      <c r="D541" s="468" t="s">
        <v>2472</v>
      </c>
      <c r="E541" s="725">
        <v>200</v>
      </c>
      <c r="F541" s="292">
        <f>F542</f>
        <v>202.7</v>
      </c>
      <c r="G541" s="292">
        <f>G542</f>
        <v>166.2</v>
      </c>
      <c r="H541" s="292">
        <f t="shared" si="105"/>
        <v>0</v>
      </c>
      <c r="I541" s="476"/>
      <c r="J541" s="292">
        <f t="shared" si="105"/>
        <v>0</v>
      </c>
      <c r="K541" s="476"/>
      <c r="L541" s="466"/>
      <c r="N541" s="466"/>
      <c r="O541" s="466"/>
    </row>
    <row r="542" spans="1:15" s="514" customFormat="1" ht="31.5" x14ac:dyDescent="0.25">
      <c r="A542" s="515" t="s">
        <v>1274</v>
      </c>
      <c r="B542" s="615" t="s">
        <v>175</v>
      </c>
      <c r="C542" s="235" t="s">
        <v>193</v>
      </c>
      <c r="D542" s="468" t="s">
        <v>2472</v>
      </c>
      <c r="E542" s="725">
        <v>240</v>
      </c>
      <c r="F542" s="292">
        <f>'ведом. 2021-2023'!AD987</f>
        <v>202.7</v>
      </c>
      <c r="G542" s="476">
        <v>166.2</v>
      </c>
      <c r="H542" s="476">
        <v>0</v>
      </c>
      <c r="I542" s="476"/>
      <c r="J542" s="476">
        <v>0</v>
      </c>
      <c r="K542" s="476"/>
      <c r="L542" s="466"/>
      <c r="M542" s="839">
        <f>G542+G539+G536+G533+G530+G527+G524+G521+G518+G515+G509+G512+G503</f>
        <v>4848</v>
      </c>
      <c r="N542" s="466"/>
      <c r="O542" s="466"/>
    </row>
    <row r="543" spans="1:15" s="514" customFormat="1" ht="47.25" x14ac:dyDescent="0.25">
      <c r="A543" s="727" t="s">
        <v>2382</v>
      </c>
      <c r="B543" s="615" t="s">
        <v>175</v>
      </c>
      <c r="C543" s="235" t="s">
        <v>193</v>
      </c>
      <c r="D543" s="468" t="s">
        <v>2383</v>
      </c>
      <c r="E543" s="238"/>
      <c r="F543" s="292">
        <f>F544</f>
        <v>2439</v>
      </c>
      <c r="G543" s="292">
        <f>G544</f>
        <v>2000</v>
      </c>
      <c r="H543" s="292">
        <f t="shared" ref="H543:J544" si="106">H544</f>
        <v>0</v>
      </c>
      <c r="I543" s="476"/>
      <c r="J543" s="292">
        <f t="shared" si="106"/>
        <v>0</v>
      </c>
      <c r="K543" s="476"/>
      <c r="L543" s="466"/>
      <c r="N543" s="466"/>
      <c r="O543" s="466"/>
    </row>
    <row r="544" spans="1:15" s="514" customFormat="1" x14ac:dyDescent="0.25">
      <c r="A544" s="515" t="s">
        <v>1782</v>
      </c>
      <c r="B544" s="615" t="s">
        <v>175</v>
      </c>
      <c r="C544" s="235" t="s">
        <v>193</v>
      </c>
      <c r="D544" s="468" t="s">
        <v>2383</v>
      </c>
      <c r="E544" s="725">
        <v>200</v>
      </c>
      <c r="F544" s="292">
        <f>F545</f>
        <v>2439</v>
      </c>
      <c r="G544" s="292">
        <f>G545</f>
        <v>2000</v>
      </c>
      <c r="H544" s="292">
        <f t="shared" si="106"/>
        <v>0</v>
      </c>
      <c r="I544" s="476"/>
      <c r="J544" s="292">
        <f t="shared" si="106"/>
        <v>0</v>
      </c>
      <c r="K544" s="476"/>
      <c r="L544" s="466"/>
      <c r="N544" s="466"/>
      <c r="O544" s="466"/>
    </row>
    <row r="545" spans="1:15" s="514" customFormat="1" ht="31.5" x14ac:dyDescent="0.25">
      <c r="A545" s="515" t="s">
        <v>1274</v>
      </c>
      <c r="B545" s="615" t="s">
        <v>175</v>
      </c>
      <c r="C545" s="235" t="s">
        <v>193</v>
      </c>
      <c r="D545" s="468" t="s">
        <v>2383</v>
      </c>
      <c r="E545" s="725">
        <v>240</v>
      </c>
      <c r="F545" s="292">
        <f>'ведом. 2021-2023'!AD990</f>
        <v>2439</v>
      </c>
      <c r="G545" s="476">
        <v>2000</v>
      </c>
      <c r="H545" s="476">
        <v>0</v>
      </c>
      <c r="I545" s="476"/>
      <c r="J545" s="476">
        <v>0</v>
      </c>
      <c r="K545" s="476"/>
      <c r="L545" s="466"/>
      <c r="N545" s="466"/>
      <c r="O545" s="466"/>
    </row>
    <row r="546" spans="1:15" s="442" customFormat="1" x14ac:dyDescent="0.25">
      <c r="A546" s="521" t="s">
        <v>1973</v>
      </c>
      <c r="B546" s="615" t="s">
        <v>175</v>
      </c>
      <c r="C546" s="235" t="s">
        <v>193</v>
      </c>
      <c r="D546" s="443" t="s">
        <v>1974</v>
      </c>
      <c r="E546" s="580"/>
      <c r="F546" s="752">
        <f>F547+F565</f>
        <v>102879.09999999999</v>
      </c>
      <c r="G546" s="478">
        <f>G547+G565</f>
        <v>50853.4</v>
      </c>
      <c r="H546" s="478">
        <f>H547+H565</f>
        <v>18825.7</v>
      </c>
      <c r="I546" s="478"/>
      <c r="J546" s="478">
        <f>J547+J565</f>
        <v>24691.4</v>
      </c>
      <c r="K546" s="478">
        <f>K547+K565</f>
        <v>2050</v>
      </c>
      <c r="L546" s="466"/>
      <c r="N546" s="466"/>
      <c r="O546" s="466"/>
    </row>
    <row r="547" spans="1:15" s="514" customFormat="1" x14ac:dyDescent="0.25">
      <c r="A547" s="549" t="s">
        <v>2343</v>
      </c>
      <c r="B547" s="615" t="s">
        <v>175</v>
      </c>
      <c r="C547" s="235" t="s">
        <v>193</v>
      </c>
      <c r="D547" s="443" t="s">
        <v>2344</v>
      </c>
      <c r="E547" s="580"/>
      <c r="F547" s="752">
        <f>F558+F548</f>
        <v>72292.7</v>
      </c>
      <c r="G547" s="478">
        <f>G558+G548</f>
        <v>50853.4</v>
      </c>
      <c r="H547" s="478">
        <f>H558+H548</f>
        <v>0</v>
      </c>
      <c r="I547" s="478"/>
      <c r="J547" s="478">
        <f>J558+J548</f>
        <v>2500</v>
      </c>
      <c r="K547" s="478">
        <f>K558+K548</f>
        <v>2050</v>
      </c>
      <c r="L547" s="466"/>
      <c r="N547" s="466"/>
      <c r="O547" s="466"/>
    </row>
    <row r="548" spans="1:15" s="514" customFormat="1" ht="31.5" x14ac:dyDescent="0.25">
      <c r="A548" s="549" t="s">
        <v>2410</v>
      </c>
      <c r="B548" s="615" t="s">
        <v>175</v>
      </c>
      <c r="C548" s="235" t="s">
        <v>193</v>
      </c>
      <c r="D548" s="443" t="s">
        <v>2411</v>
      </c>
      <c r="E548" s="580"/>
      <c r="F548" s="752">
        <f>F549+F552+F555</f>
        <v>11350.4</v>
      </c>
      <c r="G548" s="752">
        <f t="shared" ref="G548:J548" si="107">G549+G552+G555</f>
        <v>70</v>
      </c>
      <c r="H548" s="752">
        <f t="shared" si="107"/>
        <v>0</v>
      </c>
      <c r="I548" s="752"/>
      <c r="J548" s="752">
        <f t="shared" si="107"/>
        <v>0</v>
      </c>
      <c r="K548" s="752"/>
      <c r="L548" s="466"/>
      <c r="N548" s="466"/>
      <c r="O548" s="466"/>
    </row>
    <row r="549" spans="1:15" s="514" customFormat="1" x14ac:dyDescent="0.25">
      <c r="A549" s="549" t="s">
        <v>2424</v>
      </c>
      <c r="B549" s="615" t="s">
        <v>175</v>
      </c>
      <c r="C549" s="235" t="s">
        <v>193</v>
      </c>
      <c r="D549" s="443" t="s">
        <v>2423</v>
      </c>
      <c r="E549" s="580"/>
      <c r="F549" s="752">
        <f>F550</f>
        <v>4899.2</v>
      </c>
      <c r="G549" s="478"/>
      <c r="H549" s="478">
        <f t="shared" ref="H549:J549" si="108">H550</f>
        <v>0</v>
      </c>
      <c r="I549" s="478"/>
      <c r="J549" s="478">
        <f t="shared" si="108"/>
        <v>0</v>
      </c>
      <c r="K549" s="478"/>
      <c r="L549" s="466"/>
      <c r="N549" s="466"/>
      <c r="O549" s="466"/>
    </row>
    <row r="550" spans="1:15" s="514" customFormat="1" x14ac:dyDescent="0.25">
      <c r="A550" s="520" t="s">
        <v>1782</v>
      </c>
      <c r="B550" s="615" t="s">
        <v>175</v>
      </c>
      <c r="C550" s="235" t="s">
        <v>193</v>
      </c>
      <c r="D550" s="443" t="s">
        <v>2423</v>
      </c>
      <c r="E550" s="580" t="s">
        <v>821</v>
      </c>
      <c r="F550" s="752">
        <f>F551</f>
        <v>4899.2</v>
      </c>
      <c r="G550" s="478"/>
      <c r="H550" s="478">
        <f>H551</f>
        <v>0</v>
      </c>
      <c r="I550" s="478"/>
      <c r="J550" s="478">
        <f>J551</f>
        <v>0</v>
      </c>
      <c r="K550" s="478"/>
      <c r="L550" s="466"/>
      <c r="N550" s="466"/>
      <c r="O550" s="466"/>
    </row>
    <row r="551" spans="1:15" s="514" customFormat="1" ht="31.5" x14ac:dyDescent="0.25">
      <c r="A551" s="520" t="s">
        <v>1274</v>
      </c>
      <c r="B551" s="615" t="s">
        <v>175</v>
      </c>
      <c r="C551" s="235" t="s">
        <v>193</v>
      </c>
      <c r="D551" s="443" t="s">
        <v>2423</v>
      </c>
      <c r="E551" s="580" t="s">
        <v>1480</v>
      </c>
      <c r="F551" s="752">
        <f>'ведом. 2021-2023'!AD996</f>
        <v>4899.2</v>
      </c>
      <c r="G551" s="478"/>
      <c r="H551" s="478">
        <f>'ведом. 2021-2023'!AE996</f>
        <v>0</v>
      </c>
      <c r="I551" s="478"/>
      <c r="J551" s="478">
        <f>'ведом. 2021-2023'!AF996</f>
        <v>0</v>
      </c>
      <c r="K551" s="478"/>
      <c r="L551" s="466"/>
      <c r="N551" s="466"/>
      <c r="O551" s="466"/>
    </row>
    <row r="552" spans="1:15" s="514" customFormat="1" ht="31.5" x14ac:dyDescent="0.25">
      <c r="A552" s="549" t="s">
        <v>2428</v>
      </c>
      <c r="B552" s="235" t="s">
        <v>175</v>
      </c>
      <c r="C552" s="235" t="s">
        <v>193</v>
      </c>
      <c r="D552" s="443" t="s">
        <v>2429</v>
      </c>
      <c r="E552" s="580"/>
      <c r="F552" s="752">
        <f>F553</f>
        <v>6365.7999999999993</v>
      </c>
      <c r="G552" s="752"/>
      <c r="H552" s="752">
        <f t="shared" ref="H552:J552" si="109">H553</f>
        <v>0</v>
      </c>
      <c r="I552" s="752"/>
      <c r="J552" s="752">
        <f t="shared" si="109"/>
        <v>0</v>
      </c>
      <c r="K552" s="752"/>
      <c r="L552" s="466"/>
      <c r="N552" s="466"/>
      <c r="O552" s="466"/>
    </row>
    <row r="553" spans="1:15" s="514" customFormat="1" x14ac:dyDescent="0.25">
      <c r="A553" s="520" t="s">
        <v>1782</v>
      </c>
      <c r="B553" s="235" t="s">
        <v>175</v>
      </c>
      <c r="C553" s="235" t="s">
        <v>193</v>
      </c>
      <c r="D553" s="443" t="s">
        <v>2429</v>
      </c>
      <c r="E553" s="580" t="s">
        <v>821</v>
      </c>
      <c r="F553" s="752">
        <f>F554</f>
        <v>6365.7999999999993</v>
      </c>
      <c r="G553" s="752"/>
      <c r="H553" s="752">
        <f t="shared" ref="H553:J553" si="110">H554</f>
        <v>0</v>
      </c>
      <c r="I553" s="752"/>
      <c r="J553" s="752">
        <f t="shared" si="110"/>
        <v>0</v>
      </c>
      <c r="K553" s="752"/>
      <c r="L553" s="466"/>
      <c r="N553" s="466"/>
      <c r="O553" s="466"/>
    </row>
    <row r="554" spans="1:15" s="514" customFormat="1" ht="31.5" x14ac:dyDescent="0.25">
      <c r="A554" s="520" t="s">
        <v>1274</v>
      </c>
      <c r="B554" s="235" t="s">
        <v>175</v>
      </c>
      <c r="C554" s="235" t="s">
        <v>193</v>
      </c>
      <c r="D554" s="443" t="s">
        <v>2429</v>
      </c>
      <c r="E554" s="580" t="s">
        <v>1480</v>
      </c>
      <c r="F554" s="752">
        <f>'ведом. 2021-2023'!AD999</f>
        <v>6365.7999999999993</v>
      </c>
      <c r="G554" s="478"/>
      <c r="H554" s="478">
        <f>'ведом. 2021-2023'!AE999</f>
        <v>0</v>
      </c>
      <c r="I554" s="478"/>
      <c r="J554" s="478">
        <f>'ведом. 2021-2023'!AF999</f>
        <v>0</v>
      </c>
      <c r="K554" s="478"/>
      <c r="L554" s="466"/>
      <c r="N554" s="466"/>
      <c r="O554" s="466"/>
    </row>
    <row r="555" spans="1:15" s="514" customFormat="1" ht="31.5" x14ac:dyDescent="0.25">
      <c r="A555" s="520" t="s">
        <v>2445</v>
      </c>
      <c r="B555" s="235" t="s">
        <v>175</v>
      </c>
      <c r="C555" s="235" t="s">
        <v>193</v>
      </c>
      <c r="D555" s="443" t="s">
        <v>2444</v>
      </c>
      <c r="E555" s="580"/>
      <c r="F555" s="752">
        <f>F556</f>
        <v>85.4</v>
      </c>
      <c r="G555" s="752">
        <f t="shared" ref="G555:J555" si="111">G556</f>
        <v>70</v>
      </c>
      <c r="H555" s="752">
        <f t="shared" si="111"/>
        <v>0</v>
      </c>
      <c r="I555" s="752"/>
      <c r="J555" s="752">
        <f t="shared" si="111"/>
        <v>0</v>
      </c>
      <c r="K555" s="752"/>
      <c r="L555" s="466"/>
      <c r="N555" s="466"/>
      <c r="O555" s="466"/>
    </row>
    <row r="556" spans="1:15" s="514" customFormat="1" x14ac:dyDescent="0.25">
      <c r="A556" s="520" t="s">
        <v>1782</v>
      </c>
      <c r="B556" s="235" t="s">
        <v>175</v>
      </c>
      <c r="C556" s="235" t="s">
        <v>193</v>
      </c>
      <c r="D556" s="443" t="s">
        <v>2444</v>
      </c>
      <c r="E556" s="580" t="s">
        <v>821</v>
      </c>
      <c r="F556" s="752">
        <f>F557</f>
        <v>85.4</v>
      </c>
      <c r="G556" s="752">
        <f t="shared" ref="G556:J556" si="112">G557</f>
        <v>70</v>
      </c>
      <c r="H556" s="752">
        <f t="shared" si="112"/>
        <v>0</v>
      </c>
      <c r="I556" s="752"/>
      <c r="J556" s="752">
        <f t="shared" si="112"/>
        <v>0</v>
      </c>
      <c r="K556" s="752"/>
      <c r="L556" s="466"/>
      <c r="N556" s="466"/>
      <c r="O556" s="466"/>
    </row>
    <row r="557" spans="1:15" s="514" customFormat="1" ht="31.5" x14ac:dyDescent="0.25">
      <c r="A557" s="520" t="s">
        <v>1274</v>
      </c>
      <c r="B557" s="235" t="s">
        <v>175</v>
      </c>
      <c r="C557" s="235" t="s">
        <v>193</v>
      </c>
      <c r="D557" s="443" t="s">
        <v>2444</v>
      </c>
      <c r="E557" s="580" t="s">
        <v>1480</v>
      </c>
      <c r="F557" s="752">
        <f>'ведом. 2021-2023'!AD1002</f>
        <v>85.4</v>
      </c>
      <c r="G557" s="752">
        <v>70</v>
      </c>
      <c r="H557" s="752">
        <f>'ведом. 2021-2023'!AE1002</f>
        <v>0</v>
      </c>
      <c r="I557" s="752"/>
      <c r="J557" s="752">
        <f>'ведом. 2021-2023'!AF1002</f>
        <v>0</v>
      </c>
      <c r="K557" s="752"/>
      <c r="L557" s="466"/>
      <c r="N557" s="466"/>
      <c r="O557" s="466"/>
    </row>
    <row r="558" spans="1:15" s="514" customFormat="1" x14ac:dyDescent="0.25">
      <c r="A558" s="530" t="s">
        <v>2345</v>
      </c>
      <c r="B558" s="615" t="s">
        <v>175</v>
      </c>
      <c r="C558" s="235" t="s">
        <v>193</v>
      </c>
      <c r="D558" s="443" t="s">
        <v>2348</v>
      </c>
      <c r="E558" s="580"/>
      <c r="F558" s="752">
        <f>F559+F562</f>
        <v>60942.3</v>
      </c>
      <c r="G558" s="478">
        <f>G559+G562</f>
        <v>50783.4</v>
      </c>
      <c r="H558" s="478">
        <f>H559+H562</f>
        <v>0</v>
      </c>
      <c r="I558" s="478"/>
      <c r="J558" s="478">
        <f>J559+J562</f>
        <v>2500</v>
      </c>
      <c r="K558" s="478">
        <f>K559+K562</f>
        <v>2050</v>
      </c>
      <c r="L558" s="466"/>
      <c r="N558" s="466"/>
      <c r="O558" s="466"/>
    </row>
    <row r="559" spans="1:15" s="514" customFormat="1" ht="31.5" x14ac:dyDescent="0.25">
      <c r="A559" s="520" t="s">
        <v>2346</v>
      </c>
      <c r="B559" s="615" t="s">
        <v>175</v>
      </c>
      <c r="C559" s="235" t="s">
        <v>193</v>
      </c>
      <c r="D559" s="443" t="s">
        <v>2347</v>
      </c>
      <c r="E559" s="238"/>
      <c r="F559" s="752">
        <f t="shared" ref="F559:H560" si="113">F560</f>
        <v>5500</v>
      </c>
      <c r="G559" s="478">
        <f t="shared" si="113"/>
        <v>5445</v>
      </c>
      <c r="H559" s="478">
        <f t="shared" si="113"/>
        <v>0</v>
      </c>
      <c r="I559" s="478"/>
      <c r="J559" s="478">
        <f>J560</f>
        <v>0</v>
      </c>
      <c r="K559" s="478"/>
      <c r="L559" s="466"/>
      <c r="N559" s="466"/>
      <c r="O559" s="466"/>
    </row>
    <row r="560" spans="1:15" s="514" customFormat="1" x14ac:dyDescent="0.25">
      <c r="A560" s="520" t="s">
        <v>1782</v>
      </c>
      <c r="B560" s="615" t="s">
        <v>175</v>
      </c>
      <c r="C560" s="235" t="s">
        <v>193</v>
      </c>
      <c r="D560" s="443" t="s">
        <v>2347</v>
      </c>
      <c r="E560" s="580" t="s">
        <v>821</v>
      </c>
      <c r="F560" s="752">
        <f t="shared" si="113"/>
        <v>5500</v>
      </c>
      <c r="G560" s="478">
        <f t="shared" si="113"/>
        <v>5445</v>
      </c>
      <c r="H560" s="478">
        <f t="shared" si="113"/>
        <v>0</v>
      </c>
      <c r="I560" s="478"/>
      <c r="J560" s="478">
        <f>J561</f>
        <v>0</v>
      </c>
      <c r="K560" s="478"/>
      <c r="L560" s="466"/>
      <c r="N560" s="466"/>
      <c r="O560" s="466"/>
    </row>
    <row r="561" spans="1:15" s="514" customFormat="1" ht="31.5" x14ac:dyDescent="0.25">
      <c r="A561" s="520" t="s">
        <v>1274</v>
      </c>
      <c r="B561" s="615" t="s">
        <v>175</v>
      </c>
      <c r="C561" s="235" t="s">
        <v>193</v>
      </c>
      <c r="D561" s="443" t="s">
        <v>2347</v>
      </c>
      <c r="E561" s="580" t="s">
        <v>1480</v>
      </c>
      <c r="F561" s="752">
        <f>'ведом. 2021-2023'!AD1006</f>
        <v>5500</v>
      </c>
      <c r="G561" s="478">
        <f>5500-55</f>
        <v>5445</v>
      </c>
      <c r="H561" s="478">
        <f>'ведом. 2021-2023'!AE1006</f>
        <v>0</v>
      </c>
      <c r="I561" s="478"/>
      <c r="J561" s="478">
        <f>'ведом. 2021-2023'!AF1006</f>
        <v>0</v>
      </c>
      <c r="K561" s="478"/>
      <c r="L561" s="466"/>
      <c r="N561" s="466"/>
      <c r="O561" s="466"/>
    </row>
    <row r="562" spans="1:15" s="514" customFormat="1" ht="31.5" x14ac:dyDescent="0.25">
      <c r="A562" s="530" t="s">
        <v>2434</v>
      </c>
      <c r="B562" s="615" t="s">
        <v>175</v>
      </c>
      <c r="C562" s="235" t="s">
        <v>193</v>
      </c>
      <c r="D562" s="443" t="s">
        <v>2349</v>
      </c>
      <c r="E562" s="580"/>
      <c r="F562" s="752">
        <f>F563</f>
        <v>55442.3</v>
      </c>
      <c r="G562" s="478">
        <f t="shared" ref="G562:K563" si="114">G563</f>
        <v>45338.400000000001</v>
      </c>
      <c r="H562" s="478">
        <f t="shared" si="114"/>
        <v>0</v>
      </c>
      <c r="I562" s="478"/>
      <c r="J562" s="478">
        <f t="shared" si="114"/>
        <v>2500</v>
      </c>
      <c r="K562" s="478">
        <f t="shared" si="114"/>
        <v>2050</v>
      </c>
      <c r="L562" s="466"/>
      <c r="N562" s="466"/>
      <c r="O562" s="466"/>
    </row>
    <row r="563" spans="1:15" s="514" customFormat="1" x14ac:dyDescent="0.25">
      <c r="A563" s="520" t="s">
        <v>1782</v>
      </c>
      <c r="B563" s="615" t="s">
        <v>175</v>
      </c>
      <c r="C563" s="235" t="s">
        <v>193</v>
      </c>
      <c r="D563" s="443" t="s">
        <v>2349</v>
      </c>
      <c r="E563" s="580" t="s">
        <v>821</v>
      </c>
      <c r="F563" s="752">
        <f>F564</f>
        <v>55442.3</v>
      </c>
      <c r="G563" s="478">
        <f t="shared" si="114"/>
        <v>45338.400000000001</v>
      </c>
      <c r="H563" s="478">
        <f t="shared" si="114"/>
        <v>0</v>
      </c>
      <c r="I563" s="478"/>
      <c r="J563" s="478">
        <f t="shared" si="114"/>
        <v>2500</v>
      </c>
      <c r="K563" s="478">
        <f t="shared" si="114"/>
        <v>2050</v>
      </c>
      <c r="L563" s="466"/>
      <c r="N563" s="466"/>
      <c r="O563" s="466"/>
    </row>
    <row r="564" spans="1:15" s="514" customFormat="1" ht="31.5" x14ac:dyDescent="0.25">
      <c r="A564" s="520" t="s">
        <v>1274</v>
      </c>
      <c r="B564" s="615" t="s">
        <v>175</v>
      </c>
      <c r="C564" s="235" t="s">
        <v>193</v>
      </c>
      <c r="D564" s="443" t="s">
        <v>2349</v>
      </c>
      <c r="E564" s="580" t="s">
        <v>1480</v>
      </c>
      <c r="F564" s="752">
        <f>'ведом. 2021-2023'!AD1009</f>
        <v>55442.3</v>
      </c>
      <c r="G564" s="478">
        <f>46028.8-690.4</f>
        <v>45338.400000000001</v>
      </c>
      <c r="H564" s="478">
        <f>'ведом. 2021-2023'!AE1009</f>
        <v>0</v>
      </c>
      <c r="I564" s="478"/>
      <c r="J564" s="478">
        <f>'ведом. 2021-2023'!AF1009</f>
        <v>2500</v>
      </c>
      <c r="K564" s="478">
        <v>2050</v>
      </c>
      <c r="L564" s="466"/>
      <c r="N564" s="466"/>
      <c r="O564" s="466"/>
    </row>
    <row r="565" spans="1:15" s="442" customFormat="1" x14ac:dyDescent="0.25">
      <c r="A565" s="521" t="s">
        <v>1975</v>
      </c>
      <c r="B565" s="615" t="s">
        <v>175</v>
      </c>
      <c r="C565" s="235" t="s">
        <v>193</v>
      </c>
      <c r="D565" s="443" t="s">
        <v>1976</v>
      </c>
      <c r="E565" s="580"/>
      <c r="F565" s="752">
        <f>F566</f>
        <v>30586.399999999994</v>
      </c>
      <c r="G565" s="478"/>
      <c r="H565" s="478">
        <f>H566</f>
        <v>18825.7</v>
      </c>
      <c r="I565" s="478"/>
      <c r="J565" s="478">
        <f>J566</f>
        <v>22191.4</v>
      </c>
      <c r="K565" s="480"/>
      <c r="L565" s="466"/>
      <c r="N565" s="466"/>
      <c r="O565" s="466"/>
    </row>
    <row r="566" spans="1:15" s="442" customFormat="1" ht="31.5" x14ac:dyDescent="0.25">
      <c r="A566" s="530" t="s">
        <v>2238</v>
      </c>
      <c r="B566" s="615" t="s">
        <v>175</v>
      </c>
      <c r="C566" s="235" t="s">
        <v>193</v>
      </c>
      <c r="D566" s="443" t="s">
        <v>1977</v>
      </c>
      <c r="E566" s="238"/>
      <c r="F566" s="752">
        <f>F567+F574</f>
        <v>30586.399999999994</v>
      </c>
      <c r="G566" s="478"/>
      <c r="H566" s="478">
        <f>H567+H574</f>
        <v>18825.7</v>
      </c>
      <c r="I566" s="478"/>
      <c r="J566" s="478">
        <f>J567+J574</f>
        <v>22191.4</v>
      </c>
      <c r="K566" s="480"/>
      <c r="L566" s="466"/>
      <c r="N566" s="466"/>
      <c r="O566" s="466"/>
    </row>
    <row r="567" spans="1:15" s="442" customFormat="1" x14ac:dyDescent="0.25">
      <c r="A567" s="522" t="s">
        <v>1978</v>
      </c>
      <c r="B567" s="615" t="s">
        <v>175</v>
      </c>
      <c r="C567" s="235" t="s">
        <v>193</v>
      </c>
      <c r="D567" s="443" t="s">
        <v>1979</v>
      </c>
      <c r="E567" s="238"/>
      <c r="F567" s="751">
        <f>F568+F570+F572</f>
        <v>23875.699999999997</v>
      </c>
      <c r="G567" s="751"/>
      <c r="H567" s="751">
        <f t="shared" ref="H567:J567" si="115">H568+H570+H572</f>
        <v>12115</v>
      </c>
      <c r="I567" s="751"/>
      <c r="J567" s="751">
        <f t="shared" si="115"/>
        <v>15480.7</v>
      </c>
      <c r="K567" s="481"/>
      <c r="L567" s="466"/>
      <c r="N567" s="466"/>
      <c r="O567" s="466"/>
    </row>
    <row r="568" spans="1:15" s="442" customFormat="1" x14ac:dyDescent="0.25">
      <c r="A568" s="524" t="s">
        <v>1782</v>
      </c>
      <c r="B568" s="615" t="s">
        <v>175</v>
      </c>
      <c r="C568" s="235" t="s">
        <v>193</v>
      </c>
      <c r="D568" s="443" t="s">
        <v>1979</v>
      </c>
      <c r="E568" s="577">
        <v>200</v>
      </c>
      <c r="F568" s="752">
        <f>F569</f>
        <v>23451.699999999997</v>
      </c>
      <c r="G568" s="482"/>
      <c r="H568" s="478">
        <f>H569</f>
        <v>12115</v>
      </c>
      <c r="I568" s="482"/>
      <c r="J568" s="478">
        <f>J569</f>
        <v>15480.7</v>
      </c>
      <c r="K568" s="482"/>
      <c r="L568" s="466"/>
      <c r="N568" s="466"/>
      <c r="O568" s="466"/>
    </row>
    <row r="569" spans="1:15" s="442" customFormat="1" ht="31.5" x14ac:dyDescent="0.25">
      <c r="A569" s="524" t="s">
        <v>1274</v>
      </c>
      <c r="B569" s="615" t="s">
        <v>175</v>
      </c>
      <c r="C569" s="235" t="s">
        <v>193</v>
      </c>
      <c r="D569" s="443" t="s">
        <v>1979</v>
      </c>
      <c r="E569" s="238">
        <v>240</v>
      </c>
      <c r="F569" s="752">
        <f>'ведом. 2021-2023'!AD1014</f>
        <v>23451.699999999997</v>
      </c>
      <c r="G569" s="482"/>
      <c r="H569" s="478">
        <f>'ведом. 2021-2023'!AE1014</f>
        <v>12115</v>
      </c>
      <c r="I569" s="482"/>
      <c r="J569" s="478">
        <f>'ведом. 2021-2023'!AF1014</f>
        <v>15480.7</v>
      </c>
      <c r="K569" s="482"/>
      <c r="L569" s="466"/>
      <c r="N569" s="466"/>
      <c r="O569" s="466"/>
    </row>
    <row r="570" spans="1:15" s="514" customFormat="1" ht="31.5" x14ac:dyDescent="0.25">
      <c r="A570" s="520" t="s">
        <v>1343</v>
      </c>
      <c r="B570" s="615" t="s">
        <v>175</v>
      </c>
      <c r="C570" s="235" t="s">
        <v>193</v>
      </c>
      <c r="D570" s="443" t="s">
        <v>1979</v>
      </c>
      <c r="E570" s="238">
        <v>600</v>
      </c>
      <c r="F570" s="752">
        <f>F571</f>
        <v>300</v>
      </c>
      <c r="G570" s="482"/>
      <c r="H570" s="478">
        <f>H571</f>
        <v>0</v>
      </c>
      <c r="I570" s="482"/>
      <c r="J570" s="478">
        <f>J571</f>
        <v>0</v>
      </c>
      <c r="K570" s="482"/>
      <c r="L570" s="466"/>
      <c r="N570" s="466"/>
      <c r="O570" s="466"/>
    </row>
    <row r="571" spans="1:15" s="514" customFormat="1" x14ac:dyDescent="0.25">
      <c r="A571" s="520" t="s">
        <v>1344</v>
      </c>
      <c r="B571" s="615" t="s">
        <v>175</v>
      </c>
      <c r="C571" s="235" t="s">
        <v>193</v>
      </c>
      <c r="D571" s="443" t="s">
        <v>1979</v>
      </c>
      <c r="E571" s="238">
        <v>610</v>
      </c>
      <c r="F571" s="752">
        <f>'ведом. 2021-2023'!AD336</f>
        <v>300</v>
      </c>
      <c r="G571" s="482"/>
      <c r="H571" s="478">
        <v>0</v>
      </c>
      <c r="I571" s="482"/>
      <c r="J571" s="478">
        <v>0</v>
      </c>
      <c r="K571" s="482"/>
      <c r="L571" s="466"/>
      <c r="N571" s="466"/>
      <c r="O571" s="466"/>
    </row>
    <row r="572" spans="1:15" s="514" customFormat="1" x14ac:dyDescent="0.25">
      <c r="A572" s="520" t="s">
        <v>924</v>
      </c>
      <c r="B572" s="615" t="s">
        <v>175</v>
      </c>
      <c r="C572" s="235" t="s">
        <v>193</v>
      </c>
      <c r="D572" s="443" t="s">
        <v>1979</v>
      </c>
      <c r="E572" s="238">
        <v>800</v>
      </c>
      <c r="F572" s="752">
        <f>F573</f>
        <v>124</v>
      </c>
      <c r="G572" s="752"/>
      <c r="H572" s="752">
        <f t="shared" ref="H572:J572" si="116">H573</f>
        <v>0</v>
      </c>
      <c r="I572" s="752"/>
      <c r="J572" s="752">
        <f t="shared" si="116"/>
        <v>0</v>
      </c>
      <c r="K572" s="482"/>
      <c r="L572" s="466"/>
      <c r="N572" s="466"/>
      <c r="O572" s="466"/>
    </row>
    <row r="573" spans="1:15" s="514" customFormat="1" x14ac:dyDescent="0.25">
      <c r="A573" s="520" t="s">
        <v>1811</v>
      </c>
      <c r="B573" s="615" t="s">
        <v>175</v>
      </c>
      <c r="C573" s="235" t="s">
        <v>193</v>
      </c>
      <c r="D573" s="443" t="s">
        <v>1979</v>
      </c>
      <c r="E573" s="238">
        <v>830</v>
      </c>
      <c r="F573" s="752">
        <f>'ведом. 2021-2023'!AD1016</f>
        <v>124</v>
      </c>
      <c r="G573" s="482"/>
      <c r="H573" s="478">
        <f>'ведом. 2021-2023'!AE1016</f>
        <v>0</v>
      </c>
      <c r="I573" s="482"/>
      <c r="J573" s="478">
        <f>'ведом. 2021-2023'!AF1016</f>
        <v>0</v>
      </c>
      <c r="K573" s="482"/>
      <c r="L573" s="466"/>
      <c r="N573" s="466"/>
      <c r="O573" s="466"/>
    </row>
    <row r="574" spans="1:15" s="442" customFormat="1" ht="31.5" x14ac:dyDescent="0.25">
      <c r="A574" s="522" t="s">
        <v>2143</v>
      </c>
      <c r="B574" s="615" t="s">
        <v>175</v>
      </c>
      <c r="C574" s="235" t="s">
        <v>193</v>
      </c>
      <c r="D574" s="443" t="s">
        <v>2144</v>
      </c>
      <c r="E574" s="238"/>
      <c r="F574" s="752">
        <f>F575</f>
        <v>6710.6999999999989</v>
      </c>
      <c r="G574" s="482"/>
      <c r="H574" s="478">
        <f>H575</f>
        <v>6710.7</v>
      </c>
      <c r="I574" s="482"/>
      <c r="J574" s="478">
        <f>J575</f>
        <v>6710.7</v>
      </c>
      <c r="K574" s="482"/>
      <c r="L574" s="466"/>
      <c r="N574" s="466"/>
      <c r="O574" s="466"/>
    </row>
    <row r="575" spans="1:15" s="442" customFormat="1" ht="31.5" x14ac:dyDescent="0.25">
      <c r="A575" s="524" t="s">
        <v>1343</v>
      </c>
      <c r="B575" s="615" t="s">
        <v>175</v>
      </c>
      <c r="C575" s="235" t="s">
        <v>193</v>
      </c>
      <c r="D575" s="443" t="s">
        <v>2144</v>
      </c>
      <c r="E575" s="577">
        <v>600</v>
      </c>
      <c r="F575" s="752">
        <f>F576</f>
        <v>6710.6999999999989</v>
      </c>
      <c r="G575" s="482"/>
      <c r="H575" s="478">
        <f>H576</f>
        <v>6710.7</v>
      </c>
      <c r="I575" s="482"/>
      <c r="J575" s="478">
        <f>J576</f>
        <v>6710.7</v>
      </c>
      <c r="K575" s="482"/>
      <c r="L575" s="466"/>
      <c r="N575" s="466"/>
      <c r="O575" s="466"/>
    </row>
    <row r="576" spans="1:15" s="442" customFormat="1" x14ac:dyDescent="0.25">
      <c r="A576" s="524" t="s">
        <v>1344</v>
      </c>
      <c r="B576" s="615" t="s">
        <v>175</v>
      </c>
      <c r="C576" s="235" t="s">
        <v>193</v>
      </c>
      <c r="D576" s="443" t="s">
        <v>2144</v>
      </c>
      <c r="E576" s="238">
        <v>610</v>
      </c>
      <c r="F576" s="752">
        <f>'ведом. 2021-2023'!AD339</f>
        <v>6710.6999999999989</v>
      </c>
      <c r="G576" s="482"/>
      <c r="H576" s="478">
        <f>'ведом. 2021-2023'!AE339</f>
        <v>6710.7</v>
      </c>
      <c r="I576" s="482"/>
      <c r="J576" s="478">
        <f>'ведом. 2021-2023'!AF339</f>
        <v>6710.7</v>
      </c>
      <c r="K576" s="482"/>
      <c r="L576" s="466"/>
      <c r="N576" s="466"/>
      <c r="O576" s="466"/>
    </row>
    <row r="577" spans="1:15" s="442" customFormat="1" x14ac:dyDescent="0.25">
      <c r="A577" s="524" t="s">
        <v>551</v>
      </c>
      <c r="B577" s="615" t="s">
        <v>175</v>
      </c>
      <c r="C577" s="235" t="s">
        <v>175</v>
      </c>
      <c r="D577" s="249"/>
      <c r="E577" s="577"/>
      <c r="F577" s="292">
        <f t="shared" ref="F577:K577" si="117">F584+F600+F606+F626+F592+F578</f>
        <v>23629.300000000003</v>
      </c>
      <c r="G577" s="476">
        <f t="shared" si="117"/>
        <v>3050</v>
      </c>
      <c r="H577" s="476">
        <f t="shared" si="117"/>
        <v>23697.800000000003</v>
      </c>
      <c r="I577" s="476">
        <f t="shared" si="117"/>
        <v>3050</v>
      </c>
      <c r="J577" s="476">
        <f t="shared" si="117"/>
        <v>23550.800000000003</v>
      </c>
      <c r="K577" s="476">
        <f t="shared" si="117"/>
        <v>3050</v>
      </c>
      <c r="L577" s="466"/>
      <c r="N577" s="466"/>
      <c r="O577" s="466"/>
    </row>
    <row r="578" spans="1:15" s="514" customFormat="1" x14ac:dyDescent="0.25">
      <c r="A578" s="521" t="s">
        <v>1999</v>
      </c>
      <c r="B578" s="615" t="s">
        <v>175</v>
      </c>
      <c r="C578" s="235" t="s">
        <v>175</v>
      </c>
      <c r="D578" s="443" t="s">
        <v>1775</v>
      </c>
      <c r="E578" s="577"/>
      <c r="F578" s="292">
        <f t="shared" ref="F578:H582" si="118">F579</f>
        <v>0</v>
      </c>
      <c r="G578" s="476"/>
      <c r="H578" s="476">
        <f t="shared" si="118"/>
        <v>147</v>
      </c>
      <c r="I578" s="476"/>
      <c r="J578" s="476">
        <f>J579</f>
        <v>0</v>
      </c>
      <c r="K578" s="476"/>
      <c r="L578" s="466"/>
      <c r="N578" s="466"/>
      <c r="O578" s="466"/>
    </row>
    <row r="579" spans="1:15" s="514" customFormat="1" x14ac:dyDescent="0.25">
      <c r="A579" s="518" t="s">
        <v>2340</v>
      </c>
      <c r="B579" s="615" t="s">
        <v>175</v>
      </c>
      <c r="C579" s="235" t="s">
        <v>175</v>
      </c>
      <c r="D579" s="443" t="s">
        <v>1802</v>
      </c>
      <c r="E579" s="577"/>
      <c r="F579" s="292">
        <f t="shared" si="118"/>
        <v>0</v>
      </c>
      <c r="G579" s="476"/>
      <c r="H579" s="476">
        <f t="shared" si="118"/>
        <v>147</v>
      </c>
      <c r="I579" s="476"/>
      <c r="J579" s="476">
        <f>J580</f>
        <v>0</v>
      </c>
      <c r="K579" s="476"/>
      <c r="L579" s="466"/>
      <c r="N579" s="466"/>
      <c r="O579" s="466"/>
    </row>
    <row r="580" spans="1:15" s="514" customFormat="1" ht="31.5" x14ac:dyDescent="0.25">
      <c r="A580" s="522" t="s">
        <v>2015</v>
      </c>
      <c r="B580" s="615" t="s">
        <v>175</v>
      </c>
      <c r="C580" s="235" t="s">
        <v>175</v>
      </c>
      <c r="D580" s="443" t="s">
        <v>1803</v>
      </c>
      <c r="E580" s="577"/>
      <c r="F580" s="292">
        <f t="shared" si="118"/>
        <v>0</v>
      </c>
      <c r="G580" s="476"/>
      <c r="H580" s="476">
        <f t="shared" si="118"/>
        <v>147</v>
      </c>
      <c r="I580" s="476"/>
      <c r="J580" s="476">
        <f>J581</f>
        <v>0</v>
      </c>
      <c r="K580" s="476"/>
      <c r="L580" s="466"/>
      <c r="N580" s="466"/>
      <c r="O580" s="466"/>
    </row>
    <row r="581" spans="1:15" s="514" customFormat="1" x14ac:dyDescent="0.25">
      <c r="A581" s="522" t="s">
        <v>2016</v>
      </c>
      <c r="B581" s="615" t="s">
        <v>175</v>
      </c>
      <c r="C581" s="235" t="s">
        <v>175</v>
      </c>
      <c r="D581" s="443" t="s">
        <v>2017</v>
      </c>
      <c r="E581" s="577"/>
      <c r="F581" s="292">
        <f t="shared" si="118"/>
        <v>0</v>
      </c>
      <c r="G581" s="476"/>
      <c r="H581" s="476">
        <f t="shared" si="118"/>
        <v>147</v>
      </c>
      <c r="I581" s="476"/>
      <c r="J581" s="476">
        <f>J582</f>
        <v>0</v>
      </c>
      <c r="K581" s="476"/>
      <c r="L581" s="466"/>
      <c r="N581" s="466"/>
      <c r="O581" s="466"/>
    </row>
    <row r="582" spans="1:15" s="514" customFormat="1" x14ac:dyDescent="0.25">
      <c r="A582" s="520" t="s">
        <v>1782</v>
      </c>
      <c r="B582" s="615" t="s">
        <v>175</v>
      </c>
      <c r="C582" s="235" t="s">
        <v>175</v>
      </c>
      <c r="D582" s="443" t="s">
        <v>2017</v>
      </c>
      <c r="E582" s="238">
        <v>200</v>
      </c>
      <c r="F582" s="292">
        <f t="shared" si="118"/>
        <v>0</v>
      </c>
      <c r="G582" s="476"/>
      <c r="H582" s="476">
        <f t="shared" si="118"/>
        <v>147</v>
      </c>
      <c r="I582" s="476"/>
      <c r="J582" s="476">
        <f>J583</f>
        <v>0</v>
      </c>
      <c r="K582" s="476"/>
      <c r="L582" s="466"/>
      <c r="N582" s="466"/>
      <c r="O582" s="466"/>
    </row>
    <row r="583" spans="1:15" s="514" customFormat="1" ht="31.5" x14ac:dyDescent="0.25">
      <c r="A583" s="520" t="s">
        <v>1274</v>
      </c>
      <c r="B583" s="615" t="s">
        <v>175</v>
      </c>
      <c r="C583" s="235" t="s">
        <v>175</v>
      </c>
      <c r="D583" s="443" t="s">
        <v>2017</v>
      </c>
      <c r="E583" s="238">
        <v>240</v>
      </c>
      <c r="F583" s="292">
        <f>'ведом. 2021-2023'!AD346</f>
        <v>0</v>
      </c>
      <c r="G583" s="476"/>
      <c r="H583" s="476">
        <f>'ведом. 2021-2023'!AE346</f>
        <v>147</v>
      </c>
      <c r="I583" s="476"/>
      <c r="J583" s="476">
        <f>'ведом. 2021-2023'!AF346</f>
        <v>0</v>
      </c>
      <c r="K583" s="476"/>
      <c r="L583" s="466"/>
      <c r="N583" s="466"/>
      <c r="O583" s="466"/>
    </row>
    <row r="584" spans="1:15" s="442" customFormat="1" x14ac:dyDescent="0.25">
      <c r="A584" s="521" t="s">
        <v>2075</v>
      </c>
      <c r="B584" s="615" t="s">
        <v>175</v>
      </c>
      <c r="C584" s="235" t="s">
        <v>175</v>
      </c>
      <c r="D584" s="443" t="s">
        <v>1769</v>
      </c>
      <c r="E584" s="238"/>
      <c r="F584" s="292">
        <f t="shared" ref="F584:K586" si="119">F585</f>
        <v>2149</v>
      </c>
      <c r="G584" s="476">
        <f t="shared" si="119"/>
        <v>2149</v>
      </c>
      <c r="H584" s="476">
        <f t="shared" si="119"/>
        <v>2149</v>
      </c>
      <c r="I584" s="476">
        <f t="shared" si="119"/>
        <v>2149</v>
      </c>
      <c r="J584" s="476">
        <f t="shared" si="119"/>
        <v>2149</v>
      </c>
      <c r="K584" s="476">
        <f t="shared" si="119"/>
        <v>2149</v>
      </c>
      <c r="L584" s="466"/>
      <c r="N584" s="466"/>
      <c r="O584" s="466"/>
    </row>
    <row r="585" spans="1:15" s="442" customFormat="1" x14ac:dyDescent="0.25">
      <c r="A585" s="521" t="s">
        <v>2076</v>
      </c>
      <c r="B585" s="615" t="s">
        <v>175</v>
      </c>
      <c r="C585" s="235" t="s">
        <v>175</v>
      </c>
      <c r="D585" s="443" t="s">
        <v>1780</v>
      </c>
      <c r="E585" s="238"/>
      <c r="F585" s="292">
        <f t="shared" si="119"/>
        <v>2149</v>
      </c>
      <c r="G585" s="476">
        <f t="shared" si="119"/>
        <v>2149</v>
      </c>
      <c r="H585" s="476">
        <f t="shared" si="119"/>
        <v>2149</v>
      </c>
      <c r="I585" s="476">
        <f t="shared" si="119"/>
        <v>2149</v>
      </c>
      <c r="J585" s="476">
        <f t="shared" si="119"/>
        <v>2149</v>
      </c>
      <c r="K585" s="476">
        <f t="shared" si="119"/>
        <v>2149</v>
      </c>
      <c r="L585" s="466"/>
      <c r="N585" s="466"/>
      <c r="O585" s="466"/>
    </row>
    <row r="586" spans="1:15" s="442" customFormat="1" ht="47.25" x14ac:dyDescent="0.25">
      <c r="A586" s="521" t="s">
        <v>2077</v>
      </c>
      <c r="B586" s="615" t="s">
        <v>175</v>
      </c>
      <c r="C586" s="235" t="s">
        <v>175</v>
      </c>
      <c r="D586" s="443" t="s">
        <v>2078</v>
      </c>
      <c r="E586" s="238"/>
      <c r="F586" s="292">
        <f t="shared" si="119"/>
        <v>2149</v>
      </c>
      <c r="G586" s="476">
        <f t="shared" si="119"/>
        <v>2149</v>
      </c>
      <c r="H586" s="476">
        <f t="shared" si="119"/>
        <v>2149</v>
      </c>
      <c r="I586" s="476">
        <f t="shared" si="119"/>
        <v>2149</v>
      </c>
      <c r="J586" s="476">
        <f t="shared" si="119"/>
        <v>2149</v>
      </c>
      <c r="K586" s="476">
        <f t="shared" si="119"/>
        <v>2149</v>
      </c>
      <c r="L586" s="466"/>
      <c r="N586" s="466"/>
      <c r="O586" s="466"/>
    </row>
    <row r="587" spans="1:15" s="442" customFormat="1" ht="31.5" x14ac:dyDescent="0.25">
      <c r="A587" s="529" t="s">
        <v>2080</v>
      </c>
      <c r="B587" s="615" t="s">
        <v>175</v>
      </c>
      <c r="C587" s="235" t="s">
        <v>175</v>
      </c>
      <c r="D587" s="443" t="s">
        <v>2081</v>
      </c>
      <c r="E587" s="238"/>
      <c r="F587" s="292">
        <f t="shared" ref="F587:K587" si="120">F588+F590</f>
        <v>2149</v>
      </c>
      <c r="G587" s="476">
        <f t="shared" si="120"/>
        <v>2149</v>
      </c>
      <c r="H587" s="476">
        <f t="shared" si="120"/>
        <v>2149</v>
      </c>
      <c r="I587" s="476">
        <f t="shared" si="120"/>
        <v>2149</v>
      </c>
      <c r="J587" s="476">
        <f t="shared" si="120"/>
        <v>2149</v>
      </c>
      <c r="K587" s="476">
        <f t="shared" si="120"/>
        <v>2149</v>
      </c>
      <c r="L587" s="466"/>
      <c r="N587" s="466"/>
      <c r="O587" s="466"/>
    </row>
    <row r="588" spans="1:15" s="442" customFormat="1" ht="47.25" x14ac:dyDescent="0.25">
      <c r="A588" s="524" t="s">
        <v>922</v>
      </c>
      <c r="B588" s="615" t="s">
        <v>175</v>
      </c>
      <c r="C588" s="235" t="s">
        <v>175</v>
      </c>
      <c r="D588" s="443" t="s">
        <v>2081</v>
      </c>
      <c r="E588" s="238">
        <v>100</v>
      </c>
      <c r="F588" s="292">
        <f>'ведом. 2021-2023'!AD1023</f>
        <v>1943.1</v>
      </c>
      <c r="G588" s="476">
        <f>F588</f>
        <v>1943.1</v>
      </c>
      <c r="H588" s="476">
        <f>'ведом. 2021-2023'!AE1023</f>
        <v>1943.1</v>
      </c>
      <c r="I588" s="476">
        <f>H588</f>
        <v>1943.1</v>
      </c>
      <c r="J588" s="476">
        <f>J589</f>
        <v>1943.1</v>
      </c>
      <c r="K588" s="476">
        <f>J588</f>
        <v>1943.1</v>
      </c>
      <c r="L588" s="466"/>
      <c r="N588" s="466"/>
      <c r="O588" s="466"/>
    </row>
    <row r="589" spans="1:15" s="442" customFormat="1" x14ac:dyDescent="0.25">
      <c r="A589" s="524" t="s">
        <v>1748</v>
      </c>
      <c r="B589" s="615" t="s">
        <v>175</v>
      </c>
      <c r="C589" s="235" t="s">
        <v>175</v>
      </c>
      <c r="D589" s="443" t="s">
        <v>2081</v>
      </c>
      <c r="E589" s="238">
        <v>120</v>
      </c>
      <c r="F589" s="292">
        <f>'ведом. 2021-2023'!AD1023</f>
        <v>1943.1</v>
      </c>
      <c r="G589" s="476">
        <f>F589</f>
        <v>1943.1</v>
      </c>
      <c r="H589" s="476">
        <f>'ведом. 2021-2023'!AE1023</f>
        <v>1943.1</v>
      </c>
      <c r="I589" s="476">
        <f>H589</f>
        <v>1943.1</v>
      </c>
      <c r="J589" s="476">
        <f>'ведом. 2021-2023'!AF1023</f>
        <v>1943.1</v>
      </c>
      <c r="K589" s="476">
        <f>J589</f>
        <v>1943.1</v>
      </c>
      <c r="L589" s="466"/>
      <c r="N589" s="466"/>
      <c r="O589" s="466"/>
    </row>
    <row r="590" spans="1:15" s="442" customFormat="1" x14ac:dyDescent="0.25">
      <c r="A590" s="524" t="s">
        <v>1782</v>
      </c>
      <c r="B590" s="615" t="s">
        <v>175</v>
      </c>
      <c r="C590" s="235" t="s">
        <v>175</v>
      </c>
      <c r="D590" s="443" t="s">
        <v>2081</v>
      </c>
      <c r="E590" s="238">
        <v>200</v>
      </c>
      <c r="F590" s="292">
        <f t="shared" ref="F590:K590" si="121">F591</f>
        <v>205.9</v>
      </c>
      <c r="G590" s="476">
        <f t="shared" si="121"/>
        <v>205.9</v>
      </c>
      <c r="H590" s="476">
        <f t="shared" si="121"/>
        <v>205.9</v>
      </c>
      <c r="I590" s="476">
        <f t="shared" si="121"/>
        <v>205.9</v>
      </c>
      <c r="J590" s="476">
        <f t="shared" si="121"/>
        <v>205.9</v>
      </c>
      <c r="K590" s="476">
        <f t="shared" si="121"/>
        <v>205.9</v>
      </c>
      <c r="L590" s="466"/>
      <c r="N590" s="466"/>
      <c r="O590" s="466"/>
    </row>
    <row r="591" spans="1:15" s="442" customFormat="1" ht="31.5" x14ac:dyDescent="0.25">
      <c r="A591" s="524" t="s">
        <v>1274</v>
      </c>
      <c r="B591" s="615" t="s">
        <v>175</v>
      </c>
      <c r="C591" s="235" t="s">
        <v>175</v>
      </c>
      <c r="D591" s="443" t="s">
        <v>2081</v>
      </c>
      <c r="E591" s="238">
        <v>240</v>
      </c>
      <c r="F591" s="292">
        <f>'ведом. 2021-2023'!AD1025</f>
        <v>205.9</v>
      </c>
      <c r="G591" s="476">
        <f>F591</f>
        <v>205.9</v>
      </c>
      <c r="H591" s="476">
        <f>'ведом. 2021-2023'!AE1025</f>
        <v>205.9</v>
      </c>
      <c r="I591" s="476">
        <f>H591</f>
        <v>205.9</v>
      </c>
      <c r="J591" s="476">
        <f>'ведом. 2021-2023'!AF1025</f>
        <v>205.9</v>
      </c>
      <c r="K591" s="476">
        <f>J591</f>
        <v>205.9</v>
      </c>
      <c r="L591" s="466"/>
      <c r="N591" s="466"/>
      <c r="O591" s="466"/>
    </row>
    <row r="592" spans="1:15" s="442" customFormat="1" x14ac:dyDescent="0.25">
      <c r="A592" s="521" t="s">
        <v>1949</v>
      </c>
      <c r="B592" s="615" t="s">
        <v>175</v>
      </c>
      <c r="C592" s="235" t="s">
        <v>175</v>
      </c>
      <c r="D592" s="443" t="s">
        <v>1771</v>
      </c>
      <c r="E592" s="238"/>
      <c r="F592" s="292">
        <f t="shared" ref="F592:K594" si="122">F593</f>
        <v>662</v>
      </c>
      <c r="G592" s="292">
        <f t="shared" si="122"/>
        <v>662</v>
      </c>
      <c r="H592" s="476">
        <f t="shared" si="122"/>
        <v>662</v>
      </c>
      <c r="I592" s="292">
        <f t="shared" si="122"/>
        <v>662</v>
      </c>
      <c r="J592" s="476">
        <f t="shared" si="122"/>
        <v>662</v>
      </c>
      <c r="K592" s="476">
        <f t="shared" si="122"/>
        <v>662</v>
      </c>
      <c r="L592" s="466"/>
      <c r="N592" s="466"/>
      <c r="O592" s="466"/>
    </row>
    <row r="593" spans="1:15" s="442" customFormat="1" x14ac:dyDescent="0.25">
      <c r="A593" s="524" t="s">
        <v>1161</v>
      </c>
      <c r="B593" s="615" t="s">
        <v>175</v>
      </c>
      <c r="C593" s="235" t="s">
        <v>175</v>
      </c>
      <c r="D593" s="443" t="s">
        <v>2170</v>
      </c>
      <c r="E593" s="238"/>
      <c r="F593" s="292">
        <f t="shared" si="122"/>
        <v>662</v>
      </c>
      <c r="G593" s="292">
        <f t="shared" si="122"/>
        <v>662</v>
      </c>
      <c r="H593" s="476">
        <f t="shared" si="122"/>
        <v>662</v>
      </c>
      <c r="I593" s="292">
        <f t="shared" si="122"/>
        <v>662</v>
      </c>
      <c r="J593" s="476">
        <f t="shared" si="122"/>
        <v>662</v>
      </c>
      <c r="K593" s="476">
        <f t="shared" si="122"/>
        <v>662</v>
      </c>
      <c r="L593" s="466"/>
      <c r="N593" s="466"/>
      <c r="O593" s="466"/>
    </row>
    <row r="594" spans="1:15" s="442" customFormat="1" ht="31.5" x14ac:dyDescent="0.25">
      <c r="A594" s="524" t="s">
        <v>2171</v>
      </c>
      <c r="B594" s="615" t="s">
        <v>175</v>
      </c>
      <c r="C594" s="235" t="s">
        <v>175</v>
      </c>
      <c r="D594" s="443" t="s">
        <v>2172</v>
      </c>
      <c r="E594" s="238"/>
      <c r="F594" s="292">
        <f t="shared" si="122"/>
        <v>662</v>
      </c>
      <c r="G594" s="292">
        <f t="shared" si="122"/>
        <v>662</v>
      </c>
      <c r="H594" s="476">
        <f t="shared" si="122"/>
        <v>662</v>
      </c>
      <c r="I594" s="292">
        <f t="shared" si="122"/>
        <v>662</v>
      </c>
      <c r="J594" s="476">
        <f t="shared" si="122"/>
        <v>662</v>
      </c>
      <c r="K594" s="476">
        <f t="shared" si="122"/>
        <v>662</v>
      </c>
      <c r="L594" s="466"/>
      <c r="N594" s="466"/>
      <c r="O594" s="466"/>
    </row>
    <row r="595" spans="1:15" s="442" customFormat="1" ht="31.5" x14ac:dyDescent="0.25">
      <c r="A595" s="524" t="s">
        <v>2173</v>
      </c>
      <c r="B595" s="615" t="s">
        <v>175</v>
      </c>
      <c r="C595" s="235" t="s">
        <v>175</v>
      </c>
      <c r="D595" s="443" t="s">
        <v>2174</v>
      </c>
      <c r="E595" s="238"/>
      <c r="F595" s="292">
        <f t="shared" ref="F595:K595" si="123">F596+F598</f>
        <v>662</v>
      </c>
      <c r="G595" s="292">
        <f t="shared" si="123"/>
        <v>662</v>
      </c>
      <c r="H595" s="476">
        <f t="shared" si="123"/>
        <v>662</v>
      </c>
      <c r="I595" s="292">
        <f t="shared" si="123"/>
        <v>662</v>
      </c>
      <c r="J595" s="476">
        <f t="shared" si="123"/>
        <v>662</v>
      </c>
      <c r="K595" s="476">
        <f t="shared" si="123"/>
        <v>662</v>
      </c>
      <c r="L595" s="466"/>
      <c r="N595" s="466"/>
      <c r="O595" s="466"/>
    </row>
    <row r="596" spans="1:15" s="442" customFormat="1" ht="47.25" x14ac:dyDescent="0.25">
      <c r="A596" s="524" t="s">
        <v>922</v>
      </c>
      <c r="B596" s="615" t="s">
        <v>175</v>
      </c>
      <c r="C596" s="235" t="s">
        <v>175</v>
      </c>
      <c r="D596" s="443" t="s">
        <v>2174</v>
      </c>
      <c r="E596" s="238">
        <v>100</v>
      </c>
      <c r="F596" s="292">
        <f t="shared" ref="F596:K596" si="124">F597</f>
        <v>609.1</v>
      </c>
      <c r="G596" s="292">
        <f t="shared" si="124"/>
        <v>609.1</v>
      </c>
      <c r="H596" s="476">
        <f t="shared" si="124"/>
        <v>609.1</v>
      </c>
      <c r="I596" s="292">
        <f t="shared" si="124"/>
        <v>609.1</v>
      </c>
      <c r="J596" s="476">
        <f t="shared" si="124"/>
        <v>609.1</v>
      </c>
      <c r="K596" s="476">
        <f t="shared" si="124"/>
        <v>609.1</v>
      </c>
      <c r="L596" s="466"/>
      <c r="N596" s="466"/>
      <c r="O596" s="466"/>
    </row>
    <row r="597" spans="1:15" s="442" customFormat="1" x14ac:dyDescent="0.25">
      <c r="A597" s="524" t="s">
        <v>1748</v>
      </c>
      <c r="B597" s="615" t="s">
        <v>175</v>
      </c>
      <c r="C597" s="235" t="s">
        <v>175</v>
      </c>
      <c r="D597" s="443" t="s">
        <v>2174</v>
      </c>
      <c r="E597" s="238">
        <v>120</v>
      </c>
      <c r="F597" s="292">
        <f>'ведом. 2021-2023'!AD1031</f>
        <v>609.1</v>
      </c>
      <c r="G597" s="476">
        <f>F597</f>
        <v>609.1</v>
      </c>
      <c r="H597" s="476">
        <f>'ведом. 2021-2023'!AE1031</f>
        <v>609.1</v>
      </c>
      <c r="I597" s="476">
        <f>H597</f>
        <v>609.1</v>
      </c>
      <c r="J597" s="476">
        <f>'ведом. 2021-2023'!AF1031</f>
        <v>609.1</v>
      </c>
      <c r="K597" s="476">
        <f>J597</f>
        <v>609.1</v>
      </c>
      <c r="L597" s="466"/>
      <c r="N597" s="466"/>
      <c r="O597" s="466"/>
    </row>
    <row r="598" spans="1:15" s="442" customFormat="1" x14ac:dyDescent="0.25">
      <c r="A598" s="524" t="s">
        <v>1782</v>
      </c>
      <c r="B598" s="615" t="s">
        <v>175</v>
      </c>
      <c r="C598" s="235" t="s">
        <v>175</v>
      </c>
      <c r="D598" s="443" t="s">
        <v>2174</v>
      </c>
      <c r="E598" s="238">
        <v>200</v>
      </c>
      <c r="F598" s="292">
        <f t="shared" ref="F598:K598" si="125">F599</f>
        <v>52.9</v>
      </c>
      <c r="G598" s="292">
        <f t="shared" si="125"/>
        <v>52.9</v>
      </c>
      <c r="H598" s="476">
        <f t="shared" si="125"/>
        <v>52.9</v>
      </c>
      <c r="I598" s="292">
        <f t="shared" si="125"/>
        <v>52.9</v>
      </c>
      <c r="J598" s="476">
        <f t="shared" si="125"/>
        <v>52.9</v>
      </c>
      <c r="K598" s="476">
        <f t="shared" si="125"/>
        <v>52.9</v>
      </c>
      <c r="L598" s="466"/>
      <c r="N598" s="466"/>
      <c r="O598" s="466"/>
    </row>
    <row r="599" spans="1:15" s="442" customFormat="1" ht="31.5" x14ac:dyDescent="0.25">
      <c r="A599" s="524" t="s">
        <v>1274</v>
      </c>
      <c r="B599" s="615" t="s">
        <v>175</v>
      </c>
      <c r="C599" s="235" t="s">
        <v>175</v>
      </c>
      <c r="D599" s="443" t="s">
        <v>2174</v>
      </c>
      <c r="E599" s="238">
        <v>240</v>
      </c>
      <c r="F599" s="292">
        <f>'ведом. 2021-2023'!AD1033</f>
        <v>52.9</v>
      </c>
      <c r="G599" s="476">
        <f>F599</f>
        <v>52.9</v>
      </c>
      <c r="H599" s="476">
        <f>'ведом. 2021-2023'!AE1033</f>
        <v>52.9</v>
      </c>
      <c r="I599" s="476">
        <f>H599</f>
        <v>52.9</v>
      </c>
      <c r="J599" s="476">
        <f>'ведом. 2021-2023'!AF1033</f>
        <v>52.9</v>
      </c>
      <c r="K599" s="476">
        <f>J599</f>
        <v>52.9</v>
      </c>
      <c r="L599" s="466"/>
      <c r="N599" s="466"/>
      <c r="O599" s="466"/>
    </row>
    <row r="600" spans="1:15" s="442" customFormat="1" ht="31.5" x14ac:dyDescent="0.25">
      <c r="A600" s="521" t="s">
        <v>2104</v>
      </c>
      <c r="B600" s="615" t="s">
        <v>175</v>
      </c>
      <c r="C600" s="235" t="s">
        <v>175</v>
      </c>
      <c r="D600" s="443" t="s">
        <v>1806</v>
      </c>
      <c r="E600" s="238"/>
      <c r="F600" s="292">
        <f>F601</f>
        <v>2.5</v>
      </c>
      <c r="G600" s="476"/>
      <c r="H600" s="476">
        <f>H601</f>
        <v>7</v>
      </c>
      <c r="I600" s="476"/>
      <c r="J600" s="476">
        <f>J601</f>
        <v>7</v>
      </c>
      <c r="K600" s="476"/>
      <c r="L600" s="466"/>
      <c r="N600" s="466"/>
      <c r="O600" s="466"/>
    </row>
    <row r="601" spans="1:15" s="442" customFormat="1" ht="47.25" x14ac:dyDescent="0.25">
      <c r="A601" s="521" t="s">
        <v>2105</v>
      </c>
      <c r="B601" s="615" t="s">
        <v>175</v>
      </c>
      <c r="C601" s="235" t="s">
        <v>175</v>
      </c>
      <c r="D601" s="443" t="s">
        <v>2106</v>
      </c>
      <c r="E601" s="238"/>
      <c r="F601" s="292">
        <f>F602</f>
        <v>2.5</v>
      </c>
      <c r="G601" s="476"/>
      <c r="H601" s="476">
        <f>H602</f>
        <v>7</v>
      </c>
      <c r="I601" s="476"/>
      <c r="J601" s="476">
        <f>J602</f>
        <v>7</v>
      </c>
      <c r="K601" s="476"/>
      <c r="L601" s="466"/>
      <c r="N601" s="466"/>
      <c r="O601" s="466"/>
    </row>
    <row r="602" spans="1:15" s="442" customFormat="1" ht="31.5" x14ac:dyDescent="0.25">
      <c r="A602" s="529" t="s">
        <v>2107</v>
      </c>
      <c r="B602" s="615" t="s">
        <v>175</v>
      </c>
      <c r="C602" s="235" t="s">
        <v>175</v>
      </c>
      <c r="D602" s="443" t="s">
        <v>2108</v>
      </c>
      <c r="E602" s="238"/>
      <c r="F602" s="292">
        <f>F603</f>
        <v>2.5</v>
      </c>
      <c r="G602" s="476"/>
      <c r="H602" s="476">
        <f>H603</f>
        <v>7</v>
      </c>
      <c r="I602" s="476"/>
      <c r="J602" s="476">
        <f>J603</f>
        <v>7</v>
      </c>
      <c r="K602" s="476"/>
      <c r="L602" s="466"/>
      <c r="N602" s="466"/>
      <c r="O602" s="466"/>
    </row>
    <row r="603" spans="1:15" s="442" customFormat="1" ht="94.5" x14ac:dyDescent="0.25">
      <c r="A603" s="529" t="s">
        <v>2244</v>
      </c>
      <c r="B603" s="615" t="s">
        <v>175</v>
      </c>
      <c r="C603" s="235" t="s">
        <v>175</v>
      </c>
      <c r="D603" s="472" t="s">
        <v>2109</v>
      </c>
      <c r="E603" s="238"/>
      <c r="F603" s="292">
        <f t="shared" ref="F603:J604" si="126">F604</f>
        <v>2.5</v>
      </c>
      <c r="G603" s="476"/>
      <c r="H603" s="476">
        <f t="shared" si="126"/>
        <v>7</v>
      </c>
      <c r="I603" s="476"/>
      <c r="J603" s="476">
        <f t="shared" si="126"/>
        <v>7</v>
      </c>
      <c r="K603" s="476"/>
      <c r="L603" s="466"/>
      <c r="N603" s="466"/>
      <c r="O603" s="466"/>
    </row>
    <row r="604" spans="1:15" s="442" customFormat="1" x14ac:dyDescent="0.25">
      <c r="A604" s="524" t="s">
        <v>1782</v>
      </c>
      <c r="B604" s="615" t="s">
        <v>175</v>
      </c>
      <c r="C604" s="235" t="s">
        <v>175</v>
      </c>
      <c r="D604" s="472" t="s">
        <v>2109</v>
      </c>
      <c r="E604" s="238">
        <v>200</v>
      </c>
      <c r="F604" s="292">
        <f t="shared" si="126"/>
        <v>2.5</v>
      </c>
      <c r="G604" s="476"/>
      <c r="H604" s="476">
        <f t="shared" si="126"/>
        <v>7</v>
      </c>
      <c r="I604" s="476"/>
      <c r="J604" s="476">
        <f t="shared" si="126"/>
        <v>7</v>
      </c>
      <c r="K604" s="476"/>
      <c r="L604" s="466"/>
      <c r="N604" s="466"/>
      <c r="O604" s="466"/>
    </row>
    <row r="605" spans="1:15" s="442" customFormat="1" ht="31.5" x14ac:dyDescent="0.25">
      <c r="A605" s="524" t="s">
        <v>1274</v>
      </c>
      <c r="B605" s="615" t="s">
        <v>175</v>
      </c>
      <c r="C605" s="235" t="s">
        <v>175</v>
      </c>
      <c r="D605" s="472" t="s">
        <v>2109</v>
      </c>
      <c r="E605" s="238">
        <v>240</v>
      </c>
      <c r="F605" s="292">
        <f>'ведом. 2021-2023'!AD352+'ведом. 2021-2023'!AD1039</f>
        <v>2.5</v>
      </c>
      <c r="G605" s="476"/>
      <c r="H605" s="476">
        <f>'ведом. 2021-2023'!AE352+'ведом. 2021-2023'!AE1039</f>
        <v>7</v>
      </c>
      <c r="I605" s="476"/>
      <c r="J605" s="476">
        <f>'ведом. 2021-2023'!AF352+'ведом. 2021-2023'!AF1039</f>
        <v>7</v>
      </c>
      <c r="K605" s="476"/>
      <c r="L605" s="466"/>
      <c r="N605" s="466"/>
      <c r="O605" s="466"/>
    </row>
    <row r="606" spans="1:15" s="442" customFormat="1" x14ac:dyDescent="0.25">
      <c r="A606" s="521" t="s">
        <v>1989</v>
      </c>
      <c r="B606" s="615" t="s">
        <v>175</v>
      </c>
      <c r="C606" s="235" t="s">
        <v>175</v>
      </c>
      <c r="D606" s="443" t="s">
        <v>1990</v>
      </c>
      <c r="E606" s="238"/>
      <c r="F606" s="292">
        <f>F612+F607</f>
        <v>9859.6</v>
      </c>
      <c r="G606" s="476">
        <f>G607</f>
        <v>239</v>
      </c>
      <c r="H606" s="476">
        <f>H612+H607</f>
        <v>9764.6</v>
      </c>
      <c r="I606" s="476">
        <f>I607</f>
        <v>239</v>
      </c>
      <c r="J606" s="476">
        <f>J612+J607</f>
        <v>9764.6</v>
      </c>
      <c r="K606" s="476">
        <f>K607</f>
        <v>239</v>
      </c>
      <c r="L606" s="466"/>
      <c r="N606" s="466"/>
      <c r="O606" s="466"/>
    </row>
    <row r="607" spans="1:15" s="442" customFormat="1" x14ac:dyDescent="0.25">
      <c r="A607" s="518" t="s">
        <v>2371</v>
      </c>
      <c r="B607" s="615" t="s">
        <v>175</v>
      </c>
      <c r="C607" s="235" t="s">
        <v>175</v>
      </c>
      <c r="D607" s="443" t="s">
        <v>1991</v>
      </c>
      <c r="E607" s="238"/>
      <c r="F607" s="292">
        <f>F608</f>
        <v>239</v>
      </c>
      <c r="G607" s="476">
        <f>G608</f>
        <v>239</v>
      </c>
      <c r="H607" s="476">
        <f>H608</f>
        <v>239</v>
      </c>
      <c r="I607" s="476">
        <f>I608</f>
        <v>239</v>
      </c>
      <c r="J607" s="476">
        <f>J608</f>
        <v>239</v>
      </c>
      <c r="K607" s="476">
        <f>K608</f>
        <v>239</v>
      </c>
      <c r="L607" s="466"/>
      <c r="N607" s="466"/>
      <c r="O607" s="466"/>
    </row>
    <row r="608" spans="1:15" s="442" customFormat="1" ht="53.45" customHeight="1" x14ac:dyDescent="0.25">
      <c r="A608" s="521" t="s">
        <v>2372</v>
      </c>
      <c r="B608" s="615" t="s">
        <v>175</v>
      </c>
      <c r="C608" s="235" t="s">
        <v>175</v>
      </c>
      <c r="D608" s="443" t="s">
        <v>2175</v>
      </c>
      <c r="E608" s="238"/>
      <c r="F608" s="292">
        <f>F609</f>
        <v>239</v>
      </c>
      <c r="G608" s="476">
        <f>G609</f>
        <v>239</v>
      </c>
      <c r="H608" s="476">
        <f>H609</f>
        <v>239</v>
      </c>
      <c r="I608" s="476">
        <f>I609</f>
        <v>239</v>
      </c>
      <c r="J608" s="476">
        <f>J609</f>
        <v>239</v>
      </c>
      <c r="K608" s="476">
        <f>K609</f>
        <v>239</v>
      </c>
      <c r="L608" s="466"/>
      <c r="N608" s="466"/>
      <c r="O608" s="466"/>
    </row>
    <row r="609" spans="1:15" s="442" customFormat="1" ht="110.25" x14ac:dyDescent="0.25">
      <c r="A609" s="521" t="s">
        <v>2177</v>
      </c>
      <c r="B609" s="615" t="s">
        <v>175</v>
      </c>
      <c r="C609" s="235" t="s">
        <v>175</v>
      </c>
      <c r="D609" s="443" t="s">
        <v>2176</v>
      </c>
      <c r="E609" s="238"/>
      <c r="F609" s="292">
        <f>F610</f>
        <v>239</v>
      </c>
      <c r="G609" s="476">
        <f>G610</f>
        <v>239</v>
      </c>
      <c r="H609" s="476">
        <f>H610</f>
        <v>239</v>
      </c>
      <c r="I609" s="476">
        <f>I610</f>
        <v>239</v>
      </c>
      <c r="J609" s="476">
        <f>J610</f>
        <v>239</v>
      </c>
      <c r="K609" s="476">
        <f>K610</f>
        <v>239</v>
      </c>
      <c r="L609" s="466"/>
      <c r="N609" s="466"/>
      <c r="O609" s="466"/>
    </row>
    <row r="610" spans="1:15" s="442" customFormat="1" ht="47.25" x14ac:dyDescent="0.25">
      <c r="A610" s="520" t="s">
        <v>922</v>
      </c>
      <c r="B610" s="615" t="s">
        <v>175</v>
      </c>
      <c r="C610" s="235" t="s">
        <v>175</v>
      </c>
      <c r="D610" s="443" t="s">
        <v>2176</v>
      </c>
      <c r="E610" s="238">
        <v>100</v>
      </c>
      <c r="F610" s="292">
        <f>F611</f>
        <v>239</v>
      </c>
      <c r="G610" s="476">
        <f>G611</f>
        <v>239</v>
      </c>
      <c r="H610" s="476">
        <f>H611</f>
        <v>239</v>
      </c>
      <c r="I610" s="476">
        <f>I611</f>
        <v>239</v>
      </c>
      <c r="J610" s="476">
        <f>J611</f>
        <v>239</v>
      </c>
      <c r="K610" s="476">
        <f>K611</f>
        <v>239</v>
      </c>
      <c r="L610" s="466"/>
      <c r="N610" s="466"/>
      <c r="O610" s="466"/>
    </row>
    <row r="611" spans="1:15" s="442" customFormat="1" x14ac:dyDescent="0.25">
      <c r="A611" s="520" t="s">
        <v>1748</v>
      </c>
      <c r="B611" s="615" t="s">
        <v>175</v>
      </c>
      <c r="C611" s="235" t="s">
        <v>175</v>
      </c>
      <c r="D611" s="443" t="s">
        <v>2176</v>
      </c>
      <c r="E611" s="238">
        <v>120</v>
      </c>
      <c r="F611" s="292">
        <f>'ведом. 2021-2023'!AD358</f>
        <v>239</v>
      </c>
      <c r="G611" s="476">
        <f>F611</f>
        <v>239</v>
      </c>
      <c r="H611" s="476">
        <f>'ведом. 2021-2023'!AE358</f>
        <v>239</v>
      </c>
      <c r="I611" s="476">
        <f>H611</f>
        <v>239</v>
      </c>
      <c r="J611" s="476">
        <f>'ведом. 2021-2023'!AF358</f>
        <v>239</v>
      </c>
      <c r="K611" s="476">
        <f>J611</f>
        <v>239</v>
      </c>
      <c r="L611" s="466"/>
      <c r="N611" s="466"/>
      <c r="O611" s="466"/>
    </row>
    <row r="612" spans="1:15" s="442" customFormat="1" x14ac:dyDescent="0.25">
      <c r="A612" s="521" t="s">
        <v>1161</v>
      </c>
      <c r="B612" s="615" t="s">
        <v>175</v>
      </c>
      <c r="C612" s="235" t="s">
        <v>175</v>
      </c>
      <c r="D612" s="443" t="s">
        <v>2202</v>
      </c>
      <c r="E612" s="238"/>
      <c r="F612" s="292">
        <f>F613</f>
        <v>9620.6</v>
      </c>
      <c r="G612" s="476"/>
      <c r="H612" s="476">
        <f>H613</f>
        <v>9525.6</v>
      </c>
      <c r="I612" s="476"/>
      <c r="J612" s="476">
        <f>J613</f>
        <v>9525.6</v>
      </c>
      <c r="K612" s="476"/>
      <c r="L612" s="466"/>
      <c r="N612" s="466"/>
      <c r="O612" s="466"/>
    </row>
    <row r="613" spans="1:15" s="442" customFormat="1" ht="31.5" x14ac:dyDescent="0.25">
      <c r="A613" s="521" t="s">
        <v>1910</v>
      </c>
      <c r="B613" s="615" t="s">
        <v>175</v>
      </c>
      <c r="C613" s="235" t="s">
        <v>175</v>
      </c>
      <c r="D613" s="443" t="s">
        <v>2201</v>
      </c>
      <c r="E613" s="238"/>
      <c r="F613" s="292">
        <f>F614</f>
        <v>9620.6</v>
      </c>
      <c r="G613" s="476"/>
      <c r="H613" s="476">
        <f>H614</f>
        <v>9525.6</v>
      </c>
      <c r="I613" s="476"/>
      <c r="J613" s="476">
        <f>J614</f>
        <v>9525.6</v>
      </c>
      <c r="K613" s="476"/>
      <c r="L613" s="466"/>
      <c r="N613" s="466"/>
      <c r="O613" s="466"/>
    </row>
    <row r="614" spans="1:15" s="442" customFormat="1" x14ac:dyDescent="0.25">
      <c r="A614" s="524" t="s">
        <v>1924</v>
      </c>
      <c r="B614" s="615" t="s">
        <v>175</v>
      </c>
      <c r="C614" s="235" t="s">
        <v>175</v>
      </c>
      <c r="D614" s="443" t="s">
        <v>2200</v>
      </c>
      <c r="E614" s="238"/>
      <c r="F614" s="292">
        <f>F615+F620+F623</f>
        <v>9620.6</v>
      </c>
      <c r="G614" s="476"/>
      <c r="H614" s="476">
        <f>H615+H620+H623</f>
        <v>9525.6</v>
      </c>
      <c r="I614" s="476"/>
      <c r="J614" s="476">
        <f>J615+J620+J623</f>
        <v>9525.6</v>
      </c>
      <c r="K614" s="476"/>
      <c r="L614" s="466"/>
      <c r="N614" s="466"/>
      <c r="O614" s="466"/>
    </row>
    <row r="615" spans="1:15" s="442" customFormat="1" ht="31.5" x14ac:dyDescent="0.25">
      <c r="A615" s="524" t="s">
        <v>1925</v>
      </c>
      <c r="B615" s="615" t="s">
        <v>175</v>
      </c>
      <c r="C615" s="235" t="s">
        <v>175</v>
      </c>
      <c r="D615" s="443" t="s">
        <v>2199</v>
      </c>
      <c r="E615" s="238"/>
      <c r="F615" s="292">
        <f>F616+F618</f>
        <v>1220.4000000000003</v>
      </c>
      <c r="G615" s="476"/>
      <c r="H615" s="476">
        <f>H616+H618</f>
        <v>1125.4000000000001</v>
      </c>
      <c r="I615" s="476"/>
      <c r="J615" s="476">
        <f>J616+J618</f>
        <v>1125.4000000000001</v>
      </c>
      <c r="K615" s="476"/>
      <c r="L615" s="466"/>
      <c r="N615" s="466"/>
      <c r="O615" s="466"/>
    </row>
    <row r="616" spans="1:15" s="442" customFormat="1" x14ac:dyDescent="0.25">
      <c r="A616" s="524" t="s">
        <v>1782</v>
      </c>
      <c r="B616" s="615" t="s">
        <v>175</v>
      </c>
      <c r="C616" s="235" t="s">
        <v>175</v>
      </c>
      <c r="D616" s="443" t="s">
        <v>2199</v>
      </c>
      <c r="E616" s="238">
        <v>200</v>
      </c>
      <c r="F616" s="292">
        <f>F617</f>
        <v>1195.7000000000003</v>
      </c>
      <c r="G616" s="476"/>
      <c r="H616" s="476">
        <f>H617</f>
        <v>1125.4000000000001</v>
      </c>
      <c r="I616" s="476"/>
      <c r="J616" s="476">
        <f>J617</f>
        <v>1125.4000000000001</v>
      </c>
      <c r="K616" s="476"/>
      <c r="L616" s="466"/>
      <c r="N616" s="466"/>
      <c r="O616" s="466"/>
    </row>
    <row r="617" spans="1:15" s="442" customFormat="1" ht="31.5" x14ac:dyDescent="0.25">
      <c r="A617" s="524" t="s">
        <v>1274</v>
      </c>
      <c r="B617" s="615" t="s">
        <v>175</v>
      </c>
      <c r="C617" s="235" t="s">
        <v>175</v>
      </c>
      <c r="D617" s="443" t="s">
        <v>2199</v>
      </c>
      <c r="E617" s="238">
        <v>240</v>
      </c>
      <c r="F617" s="292">
        <f>'ведом. 2021-2023'!AD364</f>
        <v>1195.7000000000003</v>
      </c>
      <c r="G617" s="476"/>
      <c r="H617" s="476">
        <f>'ведом. 2021-2023'!AE364</f>
        <v>1125.4000000000001</v>
      </c>
      <c r="I617" s="476"/>
      <c r="J617" s="476">
        <f>'ведом. 2021-2023'!AF364</f>
        <v>1125.4000000000001</v>
      </c>
      <c r="K617" s="476"/>
      <c r="L617" s="466"/>
      <c r="N617" s="466"/>
      <c r="O617" s="466"/>
    </row>
    <row r="618" spans="1:15" s="514" customFormat="1" x14ac:dyDescent="0.25">
      <c r="A618" s="520" t="s">
        <v>924</v>
      </c>
      <c r="B618" s="615" t="s">
        <v>175</v>
      </c>
      <c r="C618" s="235" t="s">
        <v>175</v>
      </c>
      <c r="D618" s="443" t="s">
        <v>2199</v>
      </c>
      <c r="E618" s="238">
        <v>800</v>
      </c>
      <c r="F618" s="292">
        <f>F619</f>
        <v>24.7</v>
      </c>
      <c r="G618" s="476"/>
      <c r="H618" s="476">
        <f>H619</f>
        <v>0</v>
      </c>
      <c r="I618" s="476"/>
      <c r="J618" s="476">
        <f>J619</f>
        <v>0</v>
      </c>
      <c r="K618" s="476"/>
      <c r="L618" s="466"/>
      <c r="N618" s="466"/>
      <c r="O618" s="466"/>
    </row>
    <row r="619" spans="1:15" s="514" customFormat="1" x14ac:dyDescent="0.25">
      <c r="A619" s="520" t="s">
        <v>1320</v>
      </c>
      <c r="B619" s="615" t="s">
        <v>175</v>
      </c>
      <c r="C619" s="235" t="s">
        <v>175</v>
      </c>
      <c r="D619" s="443" t="s">
        <v>2199</v>
      </c>
      <c r="E619" s="238">
        <v>850</v>
      </c>
      <c r="F619" s="292">
        <f>'ведом. 2021-2023'!AD366</f>
        <v>24.7</v>
      </c>
      <c r="G619" s="476"/>
      <c r="H619" s="476">
        <f>'ведом. 2021-2023'!AE366</f>
        <v>0</v>
      </c>
      <c r="I619" s="476"/>
      <c r="J619" s="476">
        <f>'ведом. 2021-2023'!AF366</f>
        <v>0</v>
      </c>
      <c r="K619" s="476"/>
      <c r="L619" s="466"/>
      <c r="N619" s="466"/>
      <c r="O619" s="466"/>
    </row>
    <row r="620" spans="1:15" s="442" customFormat="1" ht="31.5" x14ac:dyDescent="0.25">
      <c r="A620" s="524" t="s">
        <v>1926</v>
      </c>
      <c r="B620" s="615" t="s">
        <v>175</v>
      </c>
      <c r="C620" s="235" t="s">
        <v>175</v>
      </c>
      <c r="D620" s="443" t="s">
        <v>2198</v>
      </c>
      <c r="E620" s="238"/>
      <c r="F620" s="292">
        <f>F621</f>
        <v>4697.3</v>
      </c>
      <c r="G620" s="476"/>
      <c r="H620" s="476">
        <f>H621</f>
        <v>4697.3</v>
      </c>
      <c r="I620" s="476"/>
      <c r="J620" s="476">
        <f>J621</f>
        <v>4697.3</v>
      </c>
      <c r="K620" s="476"/>
      <c r="L620" s="466"/>
      <c r="N620" s="466"/>
      <c r="O620" s="466"/>
    </row>
    <row r="621" spans="1:15" s="442" customFormat="1" ht="47.25" x14ac:dyDescent="0.25">
      <c r="A621" s="524" t="s">
        <v>922</v>
      </c>
      <c r="B621" s="615" t="s">
        <v>175</v>
      </c>
      <c r="C621" s="235" t="s">
        <v>175</v>
      </c>
      <c r="D621" s="443" t="s">
        <v>2198</v>
      </c>
      <c r="E621" s="238">
        <v>100</v>
      </c>
      <c r="F621" s="292">
        <f>F622</f>
        <v>4697.3</v>
      </c>
      <c r="G621" s="476"/>
      <c r="H621" s="476">
        <f>H622</f>
        <v>4697.3</v>
      </c>
      <c r="I621" s="476"/>
      <c r="J621" s="476">
        <f>J622</f>
        <v>4697.3</v>
      </c>
      <c r="K621" s="476"/>
      <c r="L621" s="466"/>
      <c r="N621" s="466"/>
      <c r="O621" s="466"/>
    </row>
    <row r="622" spans="1:15" s="442" customFormat="1" x14ac:dyDescent="0.25">
      <c r="A622" s="524" t="s">
        <v>1748</v>
      </c>
      <c r="B622" s="615" t="s">
        <v>175</v>
      </c>
      <c r="C622" s="235" t="s">
        <v>175</v>
      </c>
      <c r="D622" s="443" t="s">
        <v>2198</v>
      </c>
      <c r="E622" s="238">
        <v>120</v>
      </c>
      <c r="F622" s="292">
        <f>'ведом. 2021-2023'!AD369</f>
        <v>4697.3</v>
      </c>
      <c r="G622" s="476"/>
      <c r="H622" s="476">
        <f>'ведом. 2021-2023'!AE369</f>
        <v>4697.3</v>
      </c>
      <c r="I622" s="476"/>
      <c r="J622" s="476">
        <f>'ведом. 2021-2023'!AF369</f>
        <v>4697.3</v>
      </c>
      <c r="K622" s="476"/>
      <c r="L622" s="466"/>
      <c r="N622" s="466"/>
      <c r="O622" s="466"/>
    </row>
    <row r="623" spans="1:15" s="442" customFormat="1" ht="31.5" x14ac:dyDescent="0.25">
      <c r="A623" s="524" t="s">
        <v>1927</v>
      </c>
      <c r="B623" s="615" t="s">
        <v>175</v>
      </c>
      <c r="C623" s="235" t="s">
        <v>175</v>
      </c>
      <c r="D623" s="443" t="s">
        <v>2197</v>
      </c>
      <c r="E623" s="238"/>
      <c r="F623" s="292">
        <f>F624</f>
        <v>3702.9</v>
      </c>
      <c r="G623" s="476"/>
      <c r="H623" s="476">
        <f>H624</f>
        <v>3702.9</v>
      </c>
      <c r="I623" s="476"/>
      <c r="J623" s="476">
        <f>J624</f>
        <v>3702.9</v>
      </c>
      <c r="K623" s="476"/>
      <c r="L623" s="466"/>
      <c r="N623" s="466"/>
      <c r="O623" s="466"/>
    </row>
    <row r="624" spans="1:15" s="442" customFormat="1" ht="47.25" x14ac:dyDescent="0.25">
      <c r="A624" s="524" t="s">
        <v>922</v>
      </c>
      <c r="B624" s="615" t="s">
        <v>175</v>
      </c>
      <c r="C624" s="235" t="s">
        <v>175</v>
      </c>
      <c r="D624" s="443" t="s">
        <v>2197</v>
      </c>
      <c r="E624" s="238">
        <v>100</v>
      </c>
      <c r="F624" s="292">
        <f>F625</f>
        <v>3702.9</v>
      </c>
      <c r="G624" s="476"/>
      <c r="H624" s="476">
        <f>H625</f>
        <v>3702.9</v>
      </c>
      <c r="I624" s="476"/>
      <c r="J624" s="476">
        <f>J625</f>
        <v>3702.9</v>
      </c>
      <c r="K624" s="476"/>
      <c r="L624" s="466"/>
      <c r="N624" s="466"/>
      <c r="O624" s="466"/>
    </row>
    <row r="625" spans="1:24" s="442" customFormat="1" x14ac:dyDescent="0.25">
      <c r="A625" s="524" t="s">
        <v>1748</v>
      </c>
      <c r="B625" s="615" t="s">
        <v>175</v>
      </c>
      <c r="C625" s="235" t="s">
        <v>175</v>
      </c>
      <c r="D625" s="443" t="s">
        <v>2197</v>
      </c>
      <c r="E625" s="238">
        <v>120</v>
      </c>
      <c r="F625" s="292">
        <f>'ведом. 2021-2023'!AD372</f>
        <v>3702.9</v>
      </c>
      <c r="G625" s="476"/>
      <c r="H625" s="476">
        <f>'ведом. 2021-2023'!AE372</f>
        <v>3702.9</v>
      </c>
      <c r="I625" s="476"/>
      <c r="J625" s="476">
        <f>'ведом. 2021-2023'!AF372</f>
        <v>3702.9</v>
      </c>
      <c r="K625" s="476"/>
      <c r="L625" s="466"/>
      <c r="N625" s="466"/>
      <c r="O625" s="466"/>
    </row>
    <row r="626" spans="1:24" s="442" customFormat="1" x14ac:dyDescent="0.25">
      <c r="A626" s="521" t="s">
        <v>1973</v>
      </c>
      <c r="B626" s="615" t="s">
        <v>175</v>
      </c>
      <c r="C626" s="235" t="s">
        <v>175</v>
      </c>
      <c r="D626" s="443" t="s">
        <v>1974</v>
      </c>
      <c r="E626" s="238"/>
      <c r="F626" s="292">
        <f>F627</f>
        <v>10956.2</v>
      </c>
      <c r="G626" s="476"/>
      <c r="H626" s="476">
        <f>H627</f>
        <v>10968.2</v>
      </c>
      <c r="I626" s="476"/>
      <c r="J626" s="476">
        <f>J627</f>
        <v>10968.2</v>
      </c>
      <c r="K626" s="476"/>
      <c r="L626" s="466"/>
      <c r="N626" s="466"/>
      <c r="O626" s="466"/>
    </row>
    <row r="627" spans="1:24" s="442" customFormat="1" x14ac:dyDescent="0.25">
      <c r="A627" s="521" t="s">
        <v>1908</v>
      </c>
      <c r="B627" s="615" t="s">
        <v>175</v>
      </c>
      <c r="C627" s="235" t="s">
        <v>175</v>
      </c>
      <c r="D627" s="443" t="s">
        <v>1980</v>
      </c>
      <c r="E627" s="238"/>
      <c r="F627" s="292">
        <f>F628</f>
        <v>10956.2</v>
      </c>
      <c r="G627" s="476"/>
      <c r="H627" s="476">
        <f>H628</f>
        <v>10968.2</v>
      </c>
      <c r="I627" s="476"/>
      <c r="J627" s="476">
        <f>J628</f>
        <v>10968.2</v>
      </c>
      <c r="K627" s="476"/>
      <c r="L627" s="466"/>
      <c r="N627" s="466"/>
      <c r="O627" s="466"/>
    </row>
    <row r="628" spans="1:24" s="442" customFormat="1" ht="31.5" x14ac:dyDescent="0.25">
      <c r="A628" s="521" t="s">
        <v>1910</v>
      </c>
      <c r="B628" s="615" t="s">
        <v>175</v>
      </c>
      <c r="C628" s="235" t="s">
        <v>175</v>
      </c>
      <c r="D628" s="443" t="s">
        <v>1981</v>
      </c>
      <c r="E628" s="238"/>
      <c r="F628" s="292">
        <f>F629</f>
        <v>10956.2</v>
      </c>
      <c r="G628" s="476"/>
      <c r="H628" s="476">
        <f>H629</f>
        <v>10968.2</v>
      </c>
      <c r="I628" s="476"/>
      <c r="J628" s="476">
        <f>J629</f>
        <v>10968.2</v>
      </c>
      <c r="K628" s="476"/>
      <c r="L628" s="466"/>
      <c r="N628" s="466"/>
      <c r="O628" s="466"/>
    </row>
    <row r="629" spans="1:24" s="442" customFormat="1" x14ac:dyDescent="0.25">
      <c r="A629" s="522" t="s">
        <v>1924</v>
      </c>
      <c r="B629" s="615" t="s">
        <v>175</v>
      </c>
      <c r="C629" s="235" t="s">
        <v>175</v>
      </c>
      <c r="D629" s="443" t="s">
        <v>1982</v>
      </c>
      <c r="E629" s="238"/>
      <c r="F629" s="292">
        <f>F630+F635+F638</f>
        <v>10956.2</v>
      </c>
      <c r="G629" s="476"/>
      <c r="H629" s="476">
        <f>H630+H635+H638</f>
        <v>10968.2</v>
      </c>
      <c r="I629" s="476"/>
      <c r="J629" s="476">
        <f>J630+J635+J638</f>
        <v>10968.2</v>
      </c>
      <c r="K629" s="476"/>
      <c r="L629" s="466"/>
      <c r="N629" s="466"/>
      <c r="O629" s="466"/>
    </row>
    <row r="630" spans="1:24" s="442" customFormat="1" ht="31.5" x14ac:dyDescent="0.25">
      <c r="A630" s="524" t="s">
        <v>1925</v>
      </c>
      <c r="B630" s="615" t="s">
        <v>175</v>
      </c>
      <c r="C630" s="235" t="s">
        <v>175</v>
      </c>
      <c r="D630" s="443" t="s">
        <v>1983</v>
      </c>
      <c r="E630" s="581"/>
      <c r="F630" s="292">
        <f>F631+F633</f>
        <v>1866</v>
      </c>
      <c r="G630" s="476"/>
      <c r="H630" s="476">
        <f>H631+H633</f>
        <v>1878</v>
      </c>
      <c r="I630" s="476"/>
      <c r="J630" s="476">
        <f>J631+J633</f>
        <v>1878</v>
      </c>
      <c r="K630" s="476"/>
      <c r="L630" s="466"/>
      <c r="N630" s="466"/>
      <c r="O630" s="466"/>
    </row>
    <row r="631" spans="1:24" s="442" customFormat="1" x14ac:dyDescent="0.25">
      <c r="A631" s="524" t="s">
        <v>1782</v>
      </c>
      <c r="B631" s="615" t="s">
        <v>175</v>
      </c>
      <c r="C631" s="235" t="s">
        <v>175</v>
      </c>
      <c r="D631" s="443" t="s">
        <v>1983</v>
      </c>
      <c r="E631" s="238">
        <v>200</v>
      </c>
      <c r="F631" s="292">
        <f>F632</f>
        <v>1857.9</v>
      </c>
      <c r="G631" s="476"/>
      <c r="H631" s="476">
        <f>H632</f>
        <v>1878</v>
      </c>
      <c r="I631" s="476"/>
      <c r="J631" s="476">
        <f>J632</f>
        <v>1878</v>
      </c>
      <c r="K631" s="476"/>
      <c r="L631" s="466"/>
      <c r="N631" s="466"/>
      <c r="O631" s="466"/>
    </row>
    <row r="632" spans="1:24" s="442" customFormat="1" ht="31.5" x14ac:dyDescent="0.25">
      <c r="A632" s="524" t="s">
        <v>1274</v>
      </c>
      <c r="B632" s="615" t="s">
        <v>175</v>
      </c>
      <c r="C632" s="235" t="s">
        <v>175</v>
      </c>
      <c r="D632" s="443" t="s">
        <v>1983</v>
      </c>
      <c r="E632" s="238">
        <v>240</v>
      </c>
      <c r="F632" s="292">
        <f>'ведом. 2021-2023'!AD1046</f>
        <v>1857.9</v>
      </c>
      <c r="G632" s="476"/>
      <c r="H632" s="476">
        <f>'ведом. 2021-2023'!AE1046</f>
        <v>1878</v>
      </c>
      <c r="I632" s="476"/>
      <c r="J632" s="476">
        <f>'ведом. 2021-2023'!AF1046</f>
        <v>1878</v>
      </c>
      <c r="K632" s="476"/>
      <c r="L632" s="466"/>
      <c r="N632" s="466"/>
      <c r="O632" s="466"/>
    </row>
    <row r="633" spans="1:24" s="514" customFormat="1" x14ac:dyDescent="0.25">
      <c r="A633" s="520" t="s">
        <v>924</v>
      </c>
      <c r="B633" s="615" t="s">
        <v>175</v>
      </c>
      <c r="C633" s="235" t="s">
        <v>175</v>
      </c>
      <c r="D633" s="443" t="s">
        <v>1983</v>
      </c>
      <c r="E633" s="238">
        <v>800</v>
      </c>
      <c r="F633" s="292">
        <f>F634</f>
        <v>8.1</v>
      </c>
      <c r="G633" s="476"/>
      <c r="H633" s="476">
        <f>H634</f>
        <v>0</v>
      </c>
      <c r="I633" s="476"/>
      <c r="J633" s="476">
        <f>J634</f>
        <v>0</v>
      </c>
      <c r="K633" s="476"/>
      <c r="L633" s="466"/>
      <c r="N633" s="466"/>
      <c r="O633" s="466"/>
    </row>
    <row r="634" spans="1:24" s="514" customFormat="1" x14ac:dyDescent="0.25">
      <c r="A634" s="520" t="s">
        <v>1320</v>
      </c>
      <c r="B634" s="615" t="s">
        <v>175</v>
      </c>
      <c r="C634" s="235" t="s">
        <v>175</v>
      </c>
      <c r="D634" s="443" t="s">
        <v>1983</v>
      </c>
      <c r="E634" s="238">
        <v>850</v>
      </c>
      <c r="F634" s="292">
        <f>'ведом. 2021-2023'!AD1048</f>
        <v>8.1</v>
      </c>
      <c r="G634" s="476"/>
      <c r="H634" s="476">
        <f>'ведом. 2021-2023'!AE1048</f>
        <v>0</v>
      </c>
      <c r="I634" s="476"/>
      <c r="J634" s="476">
        <f>'ведом. 2021-2023'!AF1048</f>
        <v>0</v>
      </c>
      <c r="K634" s="476"/>
      <c r="L634" s="466"/>
      <c r="N634" s="466"/>
      <c r="O634" s="466"/>
    </row>
    <row r="635" spans="1:24" s="442" customFormat="1" ht="31.5" x14ac:dyDescent="0.25">
      <c r="A635" s="524" t="s">
        <v>1926</v>
      </c>
      <c r="B635" s="615" t="s">
        <v>175</v>
      </c>
      <c r="C635" s="235" t="s">
        <v>175</v>
      </c>
      <c r="D635" s="443" t="s">
        <v>1984</v>
      </c>
      <c r="E635" s="581"/>
      <c r="F635" s="292">
        <f>F636</f>
        <v>4198.8999999999996</v>
      </c>
      <c r="G635" s="476"/>
      <c r="H635" s="476">
        <f>H636</f>
        <v>4198.8999999999996</v>
      </c>
      <c r="I635" s="476"/>
      <c r="J635" s="476">
        <f>J636</f>
        <v>4198.8999999999996</v>
      </c>
      <c r="K635" s="476"/>
      <c r="L635" s="466"/>
      <c r="N635" s="466"/>
      <c r="O635" s="466"/>
    </row>
    <row r="636" spans="1:24" s="442" customFormat="1" ht="47.25" x14ac:dyDescent="0.25">
      <c r="A636" s="524" t="s">
        <v>922</v>
      </c>
      <c r="B636" s="615" t="s">
        <v>175</v>
      </c>
      <c r="C636" s="235" t="s">
        <v>175</v>
      </c>
      <c r="D636" s="443" t="s">
        <v>1984</v>
      </c>
      <c r="E636" s="238">
        <v>100</v>
      </c>
      <c r="F636" s="292">
        <f>F637</f>
        <v>4198.8999999999996</v>
      </c>
      <c r="G636" s="476"/>
      <c r="H636" s="476">
        <f>H637</f>
        <v>4198.8999999999996</v>
      </c>
      <c r="I636" s="476"/>
      <c r="J636" s="476">
        <f>J637</f>
        <v>4198.8999999999996</v>
      </c>
      <c r="K636" s="476"/>
      <c r="L636" s="466"/>
      <c r="N636" s="466"/>
      <c r="O636" s="466"/>
    </row>
    <row r="637" spans="1:24" s="442" customFormat="1" x14ac:dyDescent="0.25">
      <c r="A637" s="524" t="s">
        <v>1748</v>
      </c>
      <c r="B637" s="615" t="s">
        <v>175</v>
      </c>
      <c r="C637" s="235" t="s">
        <v>175</v>
      </c>
      <c r="D637" s="443" t="s">
        <v>1984</v>
      </c>
      <c r="E637" s="238">
        <v>120</v>
      </c>
      <c r="F637" s="292">
        <f>'ведом. 2021-2023'!AD1051</f>
        <v>4198.8999999999996</v>
      </c>
      <c r="G637" s="476"/>
      <c r="H637" s="476">
        <f>'ведом. 2021-2023'!AE1051</f>
        <v>4198.8999999999996</v>
      </c>
      <c r="I637" s="476"/>
      <c r="J637" s="476">
        <f>'ведом. 2021-2023'!AF1051</f>
        <v>4198.8999999999996</v>
      </c>
      <c r="K637" s="476"/>
      <c r="L637" s="466"/>
      <c r="N637" s="466"/>
      <c r="O637" s="466"/>
    </row>
    <row r="638" spans="1:24" s="442" customFormat="1" ht="31.5" x14ac:dyDescent="0.25">
      <c r="A638" s="524" t="s">
        <v>1927</v>
      </c>
      <c r="B638" s="615" t="s">
        <v>175</v>
      </c>
      <c r="C638" s="235" t="s">
        <v>175</v>
      </c>
      <c r="D638" s="443" t="s">
        <v>1985</v>
      </c>
      <c r="E638" s="581"/>
      <c r="F638" s="292">
        <f>F639</f>
        <v>4891.3</v>
      </c>
      <c r="G638" s="476"/>
      <c r="H638" s="476">
        <f>H639</f>
        <v>4891.3</v>
      </c>
      <c r="I638" s="476"/>
      <c r="J638" s="476">
        <f>J639</f>
        <v>4891.3</v>
      </c>
      <c r="K638" s="476"/>
      <c r="L638" s="466"/>
      <c r="N638" s="466"/>
      <c r="O638" s="466"/>
    </row>
    <row r="639" spans="1:24" s="442" customFormat="1" ht="47.25" x14ac:dyDescent="0.25">
      <c r="A639" s="524" t="s">
        <v>922</v>
      </c>
      <c r="B639" s="615" t="s">
        <v>175</v>
      </c>
      <c r="C639" s="235" t="s">
        <v>175</v>
      </c>
      <c r="D639" s="443" t="s">
        <v>1985</v>
      </c>
      <c r="E639" s="238">
        <v>100</v>
      </c>
      <c r="F639" s="292">
        <f>F640</f>
        <v>4891.3</v>
      </c>
      <c r="G639" s="476"/>
      <c r="H639" s="476">
        <f>H640</f>
        <v>4891.3</v>
      </c>
      <c r="I639" s="476"/>
      <c r="J639" s="476">
        <f>J640</f>
        <v>4891.3</v>
      </c>
      <c r="K639" s="476"/>
      <c r="L639" s="466"/>
      <c r="N639" s="466"/>
      <c r="O639" s="466"/>
    </row>
    <row r="640" spans="1:24" s="467" customFormat="1" x14ac:dyDescent="0.25">
      <c r="A640" s="524" t="s">
        <v>1748</v>
      </c>
      <c r="B640" s="615" t="s">
        <v>175</v>
      </c>
      <c r="C640" s="235" t="s">
        <v>175</v>
      </c>
      <c r="D640" s="443" t="s">
        <v>1985</v>
      </c>
      <c r="E640" s="238">
        <v>120</v>
      </c>
      <c r="F640" s="292">
        <f>'ведом. 2021-2023'!AD1054</f>
        <v>4891.3</v>
      </c>
      <c r="G640" s="476"/>
      <c r="H640" s="476">
        <f>'ведом. 2021-2023'!AE1054</f>
        <v>4891.3</v>
      </c>
      <c r="I640" s="476"/>
      <c r="J640" s="476">
        <f>'ведом. 2021-2023'!AF1054</f>
        <v>4891.3</v>
      </c>
      <c r="K640" s="476"/>
      <c r="L640" s="466"/>
      <c r="N640" s="466"/>
      <c r="O640" s="466"/>
      <c r="R640" s="274"/>
      <c r="S640" s="654"/>
      <c r="T640" s="655"/>
      <c r="U640" s="655"/>
      <c r="V640" s="656"/>
      <c r="W640" s="656"/>
      <c r="X640" s="657"/>
    </row>
    <row r="641" spans="1:24" s="467" customFormat="1" x14ac:dyDescent="0.25">
      <c r="A641" s="559" t="s">
        <v>866</v>
      </c>
      <c r="B641" s="617" t="s">
        <v>1747</v>
      </c>
      <c r="C641" s="235"/>
      <c r="D641" s="249"/>
      <c r="E641" s="238"/>
      <c r="F641" s="292">
        <f t="shared" ref="F641:J652" si="127">F642</f>
        <v>1712885.9000000001</v>
      </c>
      <c r="G641" s="292">
        <f t="shared" si="127"/>
        <v>1695747.1</v>
      </c>
      <c r="H641" s="292">
        <f t="shared" si="127"/>
        <v>651397.6</v>
      </c>
      <c r="I641" s="292">
        <f t="shared" si="127"/>
        <v>644883.6</v>
      </c>
      <c r="J641" s="292">
        <f t="shared" si="127"/>
        <v>10</v>
      </c>
      <c r="K641" s="476"/>
      <c r="L641" s="466"/>
      <c r="N641" s="466"/>
      <c r="O641" s="466"/>
      <c r="R641" s="274"/>
      <c r="S641" s="654"/>
      <c r="T641" s="655"/>
      <c r="U641" s="655"/>
      <c r="V641" s="656"/>
      <c r="W641" s="656"/>
      <c r="X641" s="657"/>
    </row>
    <row r="642" spans="1:24" s="467" customFormat="1" x14ac:dyDescent="0.25">
      <c r="A642" s="520" t="s">
        <v>1702</v>
      </c>
      <c r="B642" s="246" t="s">
        <v>1747</v>
      </c>
      <c r="C642" s="235" t="s">
        <v>567</v>
      </c>
      <c r="D642" s="249"/>
      <c r="E642" s="238"/>
      <c r="F642" s="292">
        <f t="shared" si="127"/>
        <v>1712885.9000000001</v>
      </c>
      <c r="G642" s="292">
        <f t="shared" si="127"/>
        <v>1695747.1</v>
      </c>
      <c r="H642" s="292">
        <f t="shared" si="127"/>
        <v>651397.6</v>
      </c>
      <c r="I642" s="292">
        <f t="shared" si="127"/>
        <v>644883.6</v>
      </c>
      <c r="J642" s="292">
        <f t="shared" si="127"/>
        <v>10</v>
      </c>
      <c r="K642" s="476"/>
      <c r="L642" s="466"/>
      <c r="N642" s="466"/>
      <c r="O642" s="466"/>
      <c r="R642" s="274"/>
      <c r="S642" s="654"/>
      <c r="T642" s="655"/>
      <c r="U642" s="655"/>
      <c r="V642" s="656"/>
      <c r="W642" s="656"/>
      <c r="X642" s="657"/>
    </row>
    <row r="643" spans="1:24" s="467" customFormat="1" x14ac:dyDescent="0.25">
      <c r="A643" s="521" t="s">
        <v>1949</v>
      </c>
      <c r="B643" s="246" t="s">
        <v>1747</v>
      </c>
      <c r="C643" s="235" t="s">
        <v>567</v>
      </c>
      <c r="D643" s="443" t="s">
        <v>1771</v>
      </c>
      <c r="E643" s="238"/>
      <c r="F643" s="292">
        <f t="shared" si="127"/>
        <v>1712885.9000000001</v>
      </c>
      <c r="G643" s="292">
        <f t="shared" si="127"/>
        <v>1695747.1</v>
      </c>
      <c r="H643" s="292">
        <f t="shared" si="127"/>
        <v>651397.6</v>
      </c>
      <c r="I643" s="292">
        <f t="shared" si="127"/>
        <v>644883.6</v>
      </c>
      <c r="J643" s="292">
        <f t="shared" si="127"/>
        <v>10</v>
      </c>
      <c r="K643" s="476"/>
      <c r="L643" s="466"/>
      <c r="N643" s="466"/>
      <c r="O643" s="466"/>
      <c r="R643" s="274"/>
      <c r="S643" s="654"/>
      <c r="T643" s="655"/>
      <c r="U643" s="655"/>
      <c r="V643" s="656"/>
      <c r="W643" s="656"/>
      <c r="X643" s="657"/>
    </row>
    <row r="644" spans="1:24" s="467" customFormat="1" x14ac:dyDescent="0.25">
      <c r="A644" s="521" t="s">
        <v>2307</v>
      </c>
      <c r="B644" s="246" t="s">
        <v>1747</v>
      </c>
      <c r="C644" s="235" t="s">
        <v>567</v>
      </c>
      <c r="D644" s="443" t="s">
        <v>2308</v>
      </c>
      <c r="E644" s="238"/>
      <c r="F644" s="292">
        <f>F649+F645</f>
        <v>1712885.9000000001</v>
      </c>
      <c r="G644" s="292">
        <f t="shared" ref="G644:J644" si="128">G649+G645</f>
        <v>1695747.1</v>
      </c>
      <c r="H644" s="292">
        <f t="shared" si="128"/>
        <v>651397.6</v>
      </c>
      <c r="I644" s="292">
        <f t="shared" si="128"/>
        <v>644883.6</v>
      </c>
      <c r="J644" s="292">
        <f t="shared" si="128"/>
        <v>10</v>
      </c>
      <c r="K644" s="476"/>
      <c r="L644" s="466"/>
      <c r="N644" s="466"/>
      <c r="O644" s="466"/>
      <c r="R644" s="274"/>
      <c r="S644" s="654"/>
      <c r="T644" s="655"/>
      <c r="U644" s="655"/>
      <c r="V644" s="656"/>
      <c r="W644" s="656"/>
      <c r="X644" s="657"/>
    </row>
    <row r="645" spans="1:24" s="467" customFormat="1" ht="47.25" x14ac:dyDescent="0.25">
      <c r="A645" s="622" t="s">
        <v>2430</v>
      </c>
      <c r="B645" s="255" t="s">
        <v>1747</v>
      </c>
      <c r="C645" s="235" t="s">
        <v>567</v>
      </c>
      <c r="D645" s="443" t="s">
        <v>2432</v>
      </c>
      <c r="E645" s="238"/>
      <c r="F645" s="292">
        <f>F646</f>
        <v>10</v>
      </c>
      <c r="G645" s="292"/>
      <c r="H645" s="292">
        <f t="shared" ref="H645:J645" si="129">H646</f>
        <v>0</v>
      </c>
      <c r="I645" s="292"/>
      <c r="J645" s="292">
        <f t="shared" si="129"/>
        <v>10</v>
      </c>
      <c r="K645" s="476"/>
      <c r="L645" s="466"/>
      <c r="N645" s="466"/>
      <c r="O645" s="466"/>
      <c r="R645" s="274"/>
      <c r="S645" s="654"/>
      <c r="T645" s="655"/>
      <c r="U645" s="655"/>
      <c r="V645" s="656"/>
      <c r="W645" s="656"/>
      <c r="X645" s="657"/>
    </row>
    <row r="646" spans="1:24" s="467" customFormat="1" ht="31.5" x14ac:dyDescent="0.25">
      <c r="A646" s="622" t="s">
        <v>2431</v>
      </c>
      <c r="B646" s="255" t="s">
        <v>1747</v>
      </c>
      <c r="C646" s="235" t="s">
        <v>567</v>
      </c>
      <c r="D646" s="443" t="s">
        <v>2433</v>
      </c>
      <c r="E646" s="238"/>
      <c r="F646" s="292">
        <f>F647</f>
        <v>10</v>
      </c>
      <c r="G646" s="292"/>
      <c r="H646" s="292">
        <f t="shared" ref="H646:J646" si="130">H647</f>
        <v>0</v>
      </c>
      <c r="I646" s="292"/>
      <c r="J646" s="292">
        <f t="shared" si="130"/>
        <v>10</v>
      </c>
      <c r="K646" s="476"/>
      <c r="L646" s="466"/>
      <c r="N646" s="466"/>
      <c r="O646" s="466"/>
      <c r="R646" s="274"/>
      <c r="S646" s="654"/>
      <c r="T646" s="655"/>
      <c r="U646" s="655"/>
      <c r="V646" s="656"/>
      <c r="W646" s="656"/>
      <c r="X646" s="657"/>
    </row>
    <row r="647" spans="1:24" s="467" customFormat="1" x14ac:dyDescent="0.25">
      <c r="A647" s="520" t="s">
        <v>1782</v>
      </c>
      <c r="B647" s="255" t="s">
        <v>1747</v>
      </c>
      <c r="C647" s="235" t="s">
        <v>567</v>
      </c>
      <c r="D647" s="443" t="s">
        <v>2433</v>
      </c>
      <c r="E647" s="238">
        <v>200</v>
      </c>
      <c r="F647" s="292">
        <f>F648</f>
        <v>10</v>
      </c>
      <c r="G647" s="292"/>
      <c r="H647" s="292">
        <f t="shared" ref="H647:J647" si="131">H648</f>
        <v>0</v>
      </c>
      <c r="I647" s="292"/>
      <c r="J647" s="292">
        <f t="shared" si="131"/>
        <v>10</v>
      </c>
      <c r="K647" s="476"/>
      <c r="L647" s="466"/>
      <c r="N647" s="466"/>
      <c r="O647" s="466"/>
      <c r="R647" s="274"/>
      <c r="S647" s="654"/>
      <c r="T647" s="655"/>
      <c r="U647" s="655"/>
      <c r="V647" s="656"/>
      <c r="W647" s="656"/>
      <c r="X647" s="657"/>
    </row>
    <row r="648" spans="1:24" s="467" customFormat="1" ht="31.5" x14ac:dyDescent="0.25">
      <c r="A648" s="520" t="s">
        <v>1274</v>
      </c>
      <c r="B648" s="255" t="s">
        <v>1747</v>
      </c>
      <c r="C648" s="235" t="s">
        <v>567</v>
      </c>
      <c r="D648" s="443" t="s">
        <v>2433</v>
      </c>
      <c r="E648" s="238">
        <v>240</v>
      </c>
      <c r="F648" s="292">
        <f>'ведом. 2021-2023'!AD1062</f>
        <v>10</v>
      </c>
      <c r="G648" s="292"/>
      <c r="H648" s="292">
        <f>'ведом. 2021-2023'!AE1062</f>
        <v>0</v>
      </c>
      <c r="I648" s="292"/>
      <c r="J648" s="292">
        <f>'ведом. 2021-2023'!AF1062</f>
        <v>10</v>
      </c>
      <c r="K648" s="476"/>
      <c r="L648" s="466"/>
      <c r="N648" s="466"/>
      <c r="O648" s="466"/>
      <c r="R648" s="274"/>
      <c r="S648" s="654"/>
      <c r="T648" s="655"/>
      <c r="U648" s="655"/>
      <c r="V648" s="656"/>
      <c r="W648" s="656"/>
      <c r="X648" s="657"/>
    </row>
    <row r="649" spans="1:24" s="467" customFormat="1" x14ac:dyDescent="0.25">
      <c r="A649" s="522" t="s">
        <v>2309</v>
      </c>
      <c r="B649" s="246" t="s">
        <v>1747</v>
      </c>
      <c r="C649" s="235" t="s">
        <v>567</v>
      </c>
      <c r="D649" s="443" t="s">
        <v>2310</v>
      </c>
      <c r="E649" s="580"/>
      <c r="F649" s="292">
        <f t="shared" si="127"/>
        <v>1712875.9000000001</v>
      </c>
      <c r="G649" s="292">
        <f t="shared" si="127"/>
        <v>1695747.1</v>
      </c>
      <c r="H649" s="292">
        <f t="shared" si="127"/>
        <v>651397.6</v>
      </c>
      <c r="I649" s="292">
        <f t="shared" si="127"/>
        <v>644883.6</v>
      </c>
      <c r="J649" s="292">
        <f t="shared" si="127"/>
        <v>0</v>
      </c>
      <c r="K649" s="476"/>
      <c r="L649" s="466"/>
      <c r="N649" s="466"/>
      <c r="O649" s="466"/>
      <c r="R649" s="274"/>
      <c r="S649" s="654"/>
      <c r="T649" s="655"/>
      <c r="U649" s="655"/>
      <c r="V649" s="656"/>
      <c r="W649" s="656"/>
      <c r="X649" s="657"/>
    </row>
    <row r="650" spans="1:24" s="467" customFormat="1" x14ac:dyDescent="0.25">
      <c r="A650" s="522" t="s">
        <v>2311</v>
      </c>
      <c r="B650" s="246" t="s">
        <v>1747</v>
      </c>
      <c r="C650" s="235" t="s">
        <v>567</v>
      </c>
      <c r="D650" s="443" t="s">
        <v>2312</v>
      </c>
      <c r="E650" s="580"/>
      <c r="F650" s="292">
        <f t="shared" si="127"/>
        <v>1712875.9000000001</v>
      </c>
      <c r="G650" s="292">
        <f t="shared" si="127"/>
        <v>1695747.1</v>
      </c>
      <c r="H650" s="292">
        <f t="shared" si="127"/>
        <v>651397.6</v>
      </c>
      <c r="I650" s="292">
        <f t="shared" si="127"/>
        <v>644883.6</v>
      </c>
      <c r="J650" s="292">
        <f t="shared" si="127"/>
        <v>0</v>
      </c>
      <c r="K650" s="476"/>
      <c r="L650" s="466"/>
      <c r="N650" s="466"/>
      <c r="O650" s="466"/>
      <c r="R650" s="274"/>
      <c r="S650" s="654"/>
      <c r="T650" s="655"/>
      <c r="U650" s="655"/>
      <c r="V650" s="656"/>
      <c r="W650" s="656"/>
      <c r="X650" s="657"/>
    </row>
    <row r="651" spans="1:24" s="467" customFormat="1" ht="31.5" x14ac:dyDescent="0.25">
      <c r="A651" s="522" t="s">
        <v>2313</v>
      </c>
      <c r="B651" s="246" t="s">
        <v>1747</v>
      </c>
      <c r="C651" s="235" t="s">
        <v>567</v>
      </c>
      <c r="D651" s="443" t="s">
        <v>2314</v>
      </c>
      <c r="E651" s="580"/>
      <c r="F651" s="292">
        <f t="shared" si="127"/>
        <v>1712875.9000000001</v>
      </c>
      <c r="G651" s="292">
        <f t="shared" si="127"/>
        <v>1695747.1</v>
      </c>
      <c r="H651" s="292">
        <f t="shared" si="127"/>
        <v>651397.6</v>
      </c>
      <c r="I651" s="292">
        <f t="shared" si="127"/>
        <v>644883.6</v>
      </c>
      <c r="J651" s="292">
        <f t="shared" si="127"/>
        <v>0</v>
      </c>
      <c r="K651" s="476"/>
      <c r="L651" s="466"/>
      <c r="N651" s="466"/>
      <c r="O651" s="466"/>
      <c r="R651" s="274"/>
      <c r="S651" s="654"/>
      <c r="T651" s="655"/>
      <c r="U651" s="655"/>
      <c r="V651" s="656"/>
      <c r="W651" s="656"/>
      <c r="X651" s="657"/>
    </row>
    <row r="652" spans="1:24" s="467" customFormat="1" x14ac:dyDescent="0.25">
      <c r="A652" s="531" t="s">
        <v>1837</v>
      </c>
      <c r="B652" s="246" t="s">
        <v>1747</v>
      </c>
      <c r="C652" s="235" t="s">
        <v>567</v>
      </c>
      <c r="D652" s="443" t="s">
        <v>2314</v>
      </c>
      <c r="E652" s="580" t="s">
        <v>1838</v>
      </c>
      <c r="F652" s="292">
        <f t="shared" si="127"/>
        <v>1712875.9000000001</v>
      </c>
      <c r="G652" s="292">
        <f t="shared" si="127"/>
        <v>1695747.1</v>
      </c>
      <c r="H652" s="292">
        <f t="shared" si="127"/>
        <v>651397.6</v>
      </c>
      <c r="I652" s="292">
        <f t="shared" si="127"/>
        <v>644883.6</v>
      </c>
      <c r="J652" s="292">
        <f t="shared" si="127"/>
        <v>0</v>
      </c>
      <c r="K652" s="476"/>
      <c r="L652" s="466"/>
      <c r="N652" s="466"/>
      <c r="O652" s="466"/>
      <c r="R652" s="274"/>
      <c r="S652" s="654"/>
      <c r="T652" s="655"/>
      <c r="U652" s="655"/>
      <c r="V652" s="656"/>
      <c r="W652" s="656"/>
      <c r="X652" s="657"/>
    </row>
    <row r="653" spans="1:24" s="467" customFormat="1" x14ac:dyDescent="0.25">
      <c r="A653" s="520" t="s">
        <v>232</v>
      </c>
      <c r="B653" s="246" t="s">
        <v>1747</v>
      </c>
      <c r="C653" s="235" t="s">
        <v>567</v>
      </c>
      <c r="D653" s="443" t="s">
        <v>2314</v>
      </c>
      <c r="E653" s="580" t="s">
        <v>1839</v>
      </c>
      <c r="F653" s="292">
        <f>'ведом. 2021-2023'!AD1067</f>
        <v>1712875.9000000001</v>
      </c>
      <c r="G653" s="476">
        <v>1695747.1</v>
      </c>
      <c r="H653" s="292">
        <f>'ведом. 2021-2023'!AE1067</f>
        <v>651397.6</v>
      </c>
      <c r="I653" s="476">
        <v>644883.6</v>
      </c>
      <c r="J653" s="476">
        <f>'ведом. 2021-2023'!AF1067</f>
        <v>0</v>
      </c>
      <c r="K653" s="476"/>
      <c r="L653" s="466"/>
      <c r="N653" s="466"/>
      <c r="O653" s="466"/>
      <c r="R653" s="274"/>
      <c r="S653" s="654"/>
      <c r="T653" s="655"/>
      <c r="U653" s="655"/>
      <c r="V653" s="656"/>
      <c r="W653" s="656"/>
      <c r="X653" s="657"/>
    </row>
    <row r="654" spans="1:24" s="442" customFormat="1" x14ac:dyDescent="0.25">
      <c r="A654" s="609" t="s">
        <v>174</v>
      </c>
      <c r="B654" s="617" t="s">
        <v>205</v>
      </c>
      <c r="C654" s="248"/>
      <c r="D654" s="271"/>
      <c r="E654" s="576"/>
      <c r="F654" s="745">
        <f t="shared" ref="F654:K654" si="132">F655+F669+F725+F760+F779</f>
        <v>1101561.5999999999</v>
      </c>
      <c r="G654" s="479">
        <f t="shared" si="132"/>
        <v>725712.10000000009</v>
      </c>
      <c r="H654" s="479">
        <f t="shared" si="132"/>
        <v>1092782.0999999999</v>
      </c>
      <c r="I654" s="479">
        <f t="shared" si="132"/>
        <v>728583.5</v>
      </c>
      <c r="J654" s="479">
        <f t="shared" si="132"/>
        <v>1081135.2999999998</v>
      </c>
      <c r="K654" s="479">
        <f t="shared" si="132"/>
        <v>717114.5</v>
      </c>
      <c r="L654" s="466"/>
      <c r="N654" s="466"/>
      <c r="O654" s="466"/>
    </row>
    <row r="655" spans="1:24" s="442" customFormat="1" x14ac:dyDescent="0.25">
      <c r="A655" s="524" t="s">
        <v>389</v>
      </c>
      <c r="B655" s="615" t="s">
        <v>205</v>
      </c>
      <c r="C655" s="235" t="s">
        <v>566</v>
      </c>
      <c r="D655" s="443"/>
      <c r="E655" s="577"/>
      <c r="F655" s="292">
        <f t="shared" ref="F655:K655" si="133">F656</f>
        <v>433920.8</v>
      </c>
      <c r="G655" s="476">
        <f t="shared" si="133"/>
        <v>283550</v>
      </c>
      <c r="H655" s="476">
        <f t="shared" si="133"/>
        <v>425351.9</v>
      </c>
      <c r="I655" s="476">
        <f t="shared" si="133"/>
        <v>277827</v>
      </c>
      <c r="J655" s="476">
        <f t="shared" si="133"/>
        <v>425351.9</v>
      </c>
      <c r="K655" s="476">
        <f t="shared" si="133"/>
        <v>277827</v>
      </c>
      <c r="L655" s="466"/>
      <c r="N655" s="466"/>
      <c r="O655" s="466"/>
    </row>
    <row r="656" spans="1:24" s="442" customFormat="1" x14ac:dyDescent="0.25">
      <c r="A656" s="607" t="s">
        <v>2022</v>
      </c>
      <c r="B656" s="620" t="s">
        <v>205</v>
      </c>
      <c r="C656" s="235" t="s">
        <v>566</v>
      </c>
      <c r="D656" s="443" t="s">
        <v>1760</v>
      </c>
      <c r="E656" s="238"/>
      <c r="F656" s="292">
        <f t="shared" ref="F656:H657" si="134">F657</f>
        <v>433920.8</v>
      </c>
      <c r="G656" s="476">
        <f t="shared" ref="G656:I657" si="135">G657</f>
        <v>283550</v>
      </c>
      <c r="H656" s="476">
        <f t="shared" si="134"/>
        <v>425351.9</v>
      </c>
      <c r="I656" s="476">
        <f t="shared" si="135"/>
        <v>277827</v>
      </c>
      <c r="J656" s="476">
        <f>J657</f>
        <v>425351.9</v>
      </c>
      <c r="K656" s="476">
        <f>K657</f>
        <v>277827</v>
      </c>
      <c r="L656" s="466"/>
      <c r="N656" s="466"/>
      <c r="O656" s="466"/>
    </row>
    <row r="657" spans="1:15" s="442" customFormat="1" x14ac:dyDescent="0.25">
      <c r="A657" s="521" t="s">
        <v>2023</v>
      </c>
      <c r="B657" s="620" t="s">
        <v>205</v>
      </c>
      <c r="C657" s="235" t="s">
        <v>566</v>
      </c>
      <c r="D657" s="443" t="s">
        <v>1778</v>
      </c>
      <c r="E657" s="238"/>
      <c r="F657" s="292">
        <f>F658</f>
        <v>433920.8</v>
      </c>
      <c r="G657" s="476">
        <f t="shared" si="135"/>
        <v>283550</v>
      </c>
      <c r="H657" s="476">
        <f t="shared" si="134"/>
        <v>425351.9</v>
      </c>
      <c r="I657" s="476">
        <f t="shared" si="135"/>
        <v>277827</v>
      </c>
      <c r="J657" s="476">
        <f>J658</f>
        <v>425351.9</v>
      </c>
      <c r="K657" s="476">
        <f>K658</f>
        <v>277827</v>
      </c>
      <c r="L657" s="466"/>
      <c r="N657" s="466"/>
      <c r="O657" s="466"/>
    </row>
    <row r="658" spans="1:15" s="442" customFormat="1" ht="31.5" x14ac:dyDescent="0.25">
      <c r="A658" s="521" t="s">
        <v>2024</v>
      </c>
      <c r="B658" s="620" t="s">
        <v>205</v>
      </c>
      <c r="C658" s="235" t="s">
        <v>566</v>
      </c>
      <c r="D658" s="443" t="s">
        <v>1792</v>
      </c>
      <c r="E658" s="238"/>
      <c r="F658" s="292">
        <f t="shared" ref="F658:K658" si="136">F659+F666</f>
        <v>433920.8</v>
      </c>
      <c r="G658" s="476">
        <f t="shared" si="136"/>
        <v>283550</v>
      </c>
      <c r="H658" s="476">
        <f t="shared" si="136"/>
        <v>425351.9</v>
      </c>
      <c r="I658" s="476">
        <f t="shared" si="136"/>
        <v>277827</v>
      </c>
      <c r="J658" s="476">
        <f t="shared" si="136"/>
        <v>425351.9</v>
      </c>
      <c r="K658" s="476">
        <f t="shared" si="136"/>
        <v>277827</v>
      </c>
      <c r="L658" s="466"/>
      <c r="N658" s="466"/>
      <c r="O658" s="466"/>
    </row>
    <row r="659" spans="1:15" s="442" customFormat="1" ht="31.5" x14ac:dyDescent="0.25">
      <c r="A659" s="524" t="s">
        <v>2027</v>
      </c>
      <c r="B659" s="620" t="s">
        <v>205</v>
      </c>
      <c r="C659" s="235" t="s">
        <v>566</v>
      </c>
      <c r="D659" s="443" t="s">
        <v>2163</v>
      </c>
      <c r="E659" s="594"/>
      <c r="F659" s="292">
        <f>F660+F663</f>
        <v>150370.79999999999</v>
      </c>
      <c r="G659" s="476"/>
      <c r="H659" s="476">
        <f>H660+H663</f>
        <v>147524.9</v>
      </c>
      <c r="I659" s="476"/>
      <c r="J659" s="476">
        <f>J660+J663</f>
        <v>147524.9</v>
      </c>
      <c r="K659" s="476"/>
      <c r="L659" s="466"/>
      <c r="N659" s="466"/>
      <c r="O659" s="466"/>
    </row>
    <row r="660" spans="1:15" s="442" customFormat="1" ht="31.5" x14ac:dyDescent="0.25">
      <c r="A660" s="524" t="s">
        <v>2204</v>
      </c>
      <c r="B660" s="620" t="s">
        <v>205</v>
      </c>
      <c r="C660" s="235" t="s">
        <v>566</v>
      </c>
      <c r="D660" s="443" t="s">
        <v>2164</v>
      </c>
      <c r="E660" s="238"/>
      <c r="F660" s="292">
        <f>F661</f>
        <v>149301.5</v>
      </c>
      <c r="G660" s="476"/>
      <c r="H660" s="476">
        <f>H661</f>
        <v>145755.6</v>
      </c>
      <c r="I660" s="476"/>
      <c r="J660" s="476">
        <f>J661</f>
        <v>145755.6</v>
      </c>
      <c r="K660" s="476"/>
      <c r="L660" s="466"/>
      <c r="N660" s="466"/>
      <c r="O660" s="466"/>
    </row>
    <row r="661" spans="1:15" s="442" customFormat="1" ht="31.5" x14ac:dyDescent="0.25">
      <c r="A661" s="524" t="s">
        <v>1343</v>
      </c>
      <c r="B661" s="620" t="s">
        <v>205</v>
      </c>
      <c r="C661" s="235" t="s">
        <v>566</v>
      </c>
      <c r="D661" s="443" t="s">
        <v>2164</v>
      </c>
      <c r="E661" s="238">
        <v>600</v>
      </c>
      <c r="F661" s="292">
        <f>F662</f>
        <v>149301.5</v>
      </c>
      <c r="G661" s="476"/>
      <c r="H661" s="476">
        <f>H662</f>
        <v>145755.6</v>
      </c>
      <c r="I661" s="476"/>
      <c r="J661" s="476">
        <f>J662</f>
        <v>145755.6</v>
      </c>
      <c r="K661" s="476"/>
      <c r="L661" s="466"/>
      <c r="N661" s="466"/>
      <c r="O661" s="466"/>
    </row>
    <row r="662" spans="1:15" s="442" customFormat="1" x14ac:dyDescent="0.25">
      <c r="A662" s="524" t="s">
        <v>1344</v>
      </c>
      <c r="B662" s="615" t="s">
        <v>205</v>
      </c>
      <c r="C662" s="235" t="s">
        <v>566</v>
      </c>
      <c r="D662" s="443" t="s">
        <v>2164</v>
      </c>
      <c r="E662" s="238">
        <v>610</v>
      </c>
      <c r="F662" s="292">
        <f>'ведом. 2021-2023'!AD725</f>
        <v>149301.5</v>
      </c>
      <c r="G662" s="476"/>
      <c r="H662" s="476">
        <f>'ведом. 2021-2023'!AE725</f>
        <v>145755.6</v>
      </c>
      <c r="I662" s="476"/>
      <c r="J662" s="476">
        <f>'ведом. 2021-2023'!AF725</f>
        <v>145755.6</v>
      </c>
      <c r="K662" s="476"/>
      <c r="L662" s="466"/>
      <c r="N662" s="466"/>
      <c r="O662" s="466"/>
    </row>
    <row r="663" spans="1:15" s="442" customFormat="1" ht="31.5" x14ac:dyDescent="0.25">
      <c r="A663" s="524" t="s">
        <v>2028</v>
      </c>
      <c r="B663" s="615" t="s">
        <v>205</v>
      </c>
      <c r="C663" s="235" t="s">
        <v>566</v>
      </c>
      <c r="D663" s="443" t="s">
        <v>2165</v>
      </c>
      <c r="E663" s="238"/>
      <c r="F663" s="292">
        <f>F664</f>
        <v>1069.3</v>
      </c>
      <c r="G663" s="476"/>
      <c r="H663" s="476">
        <f>H664</f>
        <v>1769.3</v>
      </c>
      <c r="I663" s="476"/>
      <c r="J663" s="476">
        <f>J664</f>
        <v>1769.3</v>
      </c>
      <c r="K663" s="476"/>
      <c r="L663" s="466"/>
      <c r="N663" s="466"/>
      <c r="O663" s="466"/>
    </row>
    <row r="664" spans="1:15" s="442" customFormat="1" ht="31.5" x14ac:dyDescent="0.25">
      <c r="A664" s="524" t="s">
        <v>1343</v>
      </c>
      <c r="B664" s="615" t="s">
        <v>205</v>
      </c>
      <c r="C664" s="235" t="s">
        <v>566</v>
      </c>
      <c r="D664" s="443" t="s">
        <v>2165</v>
      </c>
      <c r="E664" s="238">
        <v>600</v>
      </c>
      <c r="F664" s="292">
        <f>F665</f>
        <v>1069.3</v>
      </c>
      <c r="G664" s="476"/>
      <c r="H664" s="476">
        <f>H665</f>
        <v>1769.3</v>
      </c>
      <c r="I664" s="476"/>
      <c r="J664" s="476">
        <f>J665</f>
        <v>1769.3</v>
      </c>
      <c r="K664" s="476"/>
      <c r="L664" s="466"/>
      <c r="N664" s="466"/>
      <c r="O664" s="466"/>
    </row>
    <row r="665" spans="1:15" s="442" customFormat="1" x14ac:dyDescent="0.25">
      <c r="A665" s="524" t="s">
        <v>1344</v>
      </c>
      <c r="B665" s="620" t="s">
        <v>205</v>
      </c>
      <c r="C665" s="235" t="s">
        <v>566</v>
      </c>
      <c r="D665" s="443" t="s">
        <v>2165</v>
      </c>
      <c r="E665" s="238">
        <v>610</v>
      </c>
      <c r="F665" s="292">
        <f>'ведом. 2021-2023'!AD728</f>
        <v>1069.3</v>
      </c>
      <c r="G665" s="476"/>
      <c r="H665" s="476">
        <f>'ведом. 2021-2023'!AE728</f>
        <v>1769.3</v>
      </c>
      <c r="I665" s="476"/>
      <c r="J665" s="476">
        <f>'ведом. 2021-2023'!AF728</f>
        <v>1769.3</v>
      </c>
      <c r="K665" s="476"/>
      <c r="L665" s="466"/>
      <c r="N665" s="466"/>
      <c r="O665" s="466"/>
    </row>
    <row r="666" spans="1:15" s="442" customFormat="1" ht="78.75" x14ac:dyDescent="0.25">
      <c r="A666" s="522" t="s">
        <v>2025</v>
      </c>
      <c r="B666" s="616" t="s">
        <v>205</v>
      </c>
      <c r="C666" s="242" t="s">
        <v>566</v>
      </c>
      <c r="D666" s="443" t="s">
        <v>2166</v>
      </c>
      <c r="E666" s="594"/>
      <c r="F666" s="292">
        <f t="shared" ref="F666:K667" si="137">F667</f>
        <v>283550</v>
      </c>
      <c r="G666" s="476">
        <f t="shared" si="137"/>
        <v>283550</v>
      </c>
      <c r="H666" s="476">
        <f t="shared" si="137"/>
        <v>277827</v>
      </c>
      <c r="I666" s="476">
        <f t="shared" si="137"/>
        <v>277827</v>
      </c>
      <c r="J666" s="476">
        <f t="shared" si="137"/>
        <v>277827</v>
      </c>
      <c r="K666" s="476">
        <f t="shared" si="137"/>
        <v>277827</v>
      </c>
      <c r="L666" s="466"/>
      <c r="N666" s="466"/>
      <c r="O666" s="466"/>
    </row>
    <row r="667" spans="1:15" s="442" customFormat="1" ht="31.5" x14ac:dyDescent="0.25">
      <c r="A667" s="524" t="s">
        <v>1343</v>
      </c>
      <c r="B667" s="616" t="s">
        <v>205</v>
      </c>
      <c r="C667" s="242" t="s">
        <v>566</v>
      </c>
      <c r="D667" s="443" t="s">
        <v>2166</v>
      </c>
      <c r="E667" s="577">
        <v>600</v>
      </c>
      <c r="F667" s="292">
        <f t="shared" si="137"/>
        <v>283550</v>
      </c>
      <c r="G667" s="476">
        <f t="shared" si="137"/>
        <v>283550</v>
      </c>
      <c r="H667" s="476">
        <f t="shared" si="137"/>
        <v>277827</v>
      </c>
      <c r="I667" s="476">
        <f t="shared" si="137"/>
        <v>277827</v>
      </c>
      <c r="J667" s="476">
        <f t="shared" si="137"/>
        <v>277827</v>
      </c>
      <c r="K667" s="476">
        <f t="shared" si="137"/>
        <v>277827</v>
      </c>
      <c r="L667" s="466"/>
      <c r="N667" s="466"/>
      <c r="O667" s="466"/>
    </row>
    <row r="668" spans="1:15" s="442" customFormat="1" x14ac:dyDescent="0.25">
      <c r="A668" s="524" t="s">
        <v>1344</v>
      </c>
      <c r="B668" s="620" t="s">
        <v>205</v>
      </c>
      <c r="C668" s="235" t="s">
        <v>566</v>
      </c>
      <c r="D668" s="443" t="s">
        <v>2166</v>
      </c>
      <c r="E668" s="577">
        <v>610</v>
      </c>
      <c r="F668" s="292">
        <f>'ведом. 2021-2023'!AD731</f>
        <v>283550</v>
      </c>
      <c r="G668" s="476">
        <f>F668</f>
        <v>283550</v>
      </c>
      <c r="H668" s="476">
        <f>'ведом. 2021-2023'!AE731</f>
        <v>277827</v>
      </c>
      <c r="I668" s="476">
        <f>H668</f>
        <v>277827</v>
      </c>
      <c r="J668" s="476">
        <f>'ведом. 2021-2023'!AF731</f>
        <v>277827</v>
      </c>
      <c r="K668" s="476">
        <f>J668</f>
        <v>277827</v>
      </c>
      <c r="L668" s="466"/>
      <c r="N668" s="466"/>
      <c r="O668" s="466"/>
    </row>
    <row r="669" spans="1:15" s="442" customFormat="1" x14ac:dyDescent="0.25">
      <c r="A669" s="520" t="s">
        <v>734</v>
      </c>
      <c r="B669" s="620" t="s">
        <v>205</v>
      </c>
      <c r="C669" s="235" t="s">
        <v>567</v>
      </c>
      <c r="D669" s="249"/>
      <c r="E669" s="577"/>
      <c r="F669" s="292">
        <f t="shared" ref="F669:K669" si="138">F670+F714+F700+F721+F707</f>
        <v>510443.39999999997</v>
      </c>
      <c r="G669" s="292">
        <f t="shared" si="138"/>
        <v>428559.8</v>
      </c>
      <c r="H669" s="292">
        <f t="shared" si="138"/>
        <v>508695.1</v>
      </c>
      <c r="I669" s="292">
        <f t="shared" si="138"/>
        <v>428478.3</v>
      </c>
      <c r="J669" s="292">
        <f t="shared" si="138"/>
        <v>516839.6</v>
      </c>
      <c r="K669" s="292">
        <f t="shared" si="138"/>
        <v>435714.5</v>
      </c>
      <c r="L669" s="466"/>
      <c r="N669" s="466"/>
      <c r="O669" s="466"/>
    </row>
    <row r="670" spans="1:15" s="442" customFormat="1" x14ac:dyDescent="0.25">
      <c r="A670" s="607" t="s">
        <v>2022</v>
      </c>
      <c r="B670" s="620" t="s">
        <v>205</v>
      </c>
      <c r="C670" s="235" t="s">
        <v>567</v>
      </c>
      <c r="D670" s="443" t="s">
        <v>1760</v>
      </c>
      <c r="E670" s="238"/>
      <c r="F670" s="752">
        <f t="shared" ref="F670:K670" si="139">F671</f>
        <v>508510.5</v>
      </c>
      <c r="G670" s="478">
        <f t="shared" si="139"/>
        <v>428559.8</v>
      </c>
      <c r="H670" s="478">
        <f t="shared" si="139"/>
        <v>507745.1</v>
      </c>
      <c r="I670" s="478">
        <f t="shared" si="139"/>
        <v>428478.3</v>
      </c>
      <c r="J670" s="478">
        <f t="shared" si="139"/>
        <v>507784.3</v>
      </c>
      <c r="K670" s="478">
        <f t="shared" si="139"/>
        <v>428015.1</v>
      </c>
      <c r="L670" s="466"/>
      <c r="N670" s="466"/>
      <c r="O670" s="466"/>
    </row>
    <row r="671" spans="1:15" s="442" customFormat="1" x14ac:dyDescent="0.25">
      <c r="A671" s="521" t="s">
        <v>2029</v>
      </c>
      <c r="B671" s="615" t="s">
        <v>205</v>
      </c>
      <c r="C671" s="235" t="s">
        <v>567</v>
      </c>
      <c r="D671" s="443" t="s">
        <v>1761</v>
      </c>
      <c r="E671" s="238"/>
      <c r="F671" s="752">
        <f>F672+F686+F696</f>
        <v>508510.5</v>
      </c>
      <c r="G671" s="478">
        <f>G672+G686</f>
        <v>428559.8</v>
      </c>
      <c r="H671" s="478">
        <f>H672+H686+H696</f>
        <v>507745.1</v>
      </c>
      <c r="I671" s="478">
        <f>I672+I686</f>
        <v>428478.3</v>
      </c>
      <c r="J671" s="478">
        <f>J672+J686+J696</f>
        <v>507784.3</v>
      </c>
      <c r="K671" s="478">
        <f>K672+K686</f>
        <v>428015.1</v>
      </c>
      <c r="L671" s="466"/>
      <c r="N671" s="466"/>
      <c r="O671" s="466"/>
    </row>
    <row r="672" spans="1:15" s="442" customFormat="1" ht="31.5" x14ac:dyDescent="0.25">
      <c r="A672" s="518" t="s">
        <v>2030</v>
      </c>
      <c r="B672" s="615" t="s">
        <v>205</v>
      </c>
      <c r="C672" s="235" t="s">
        <v>567</v>
      </c>
      <c r="D672" s="443" t="s">
        <v>1793</v>
      </c>
      <c r="E672" s="238"/>
      <c r="F672" s="752">
        <f t="shared" ref="F672:K672" si="140">F673+F683+F680</f>
        <v>460159.3</v>
      </c>
      <c r="G672" s="478">
        <f t="shared" si="140"/>
        <v>386169</v>
      </c>
      <c r="H672" s="478">
        <f t="shared" si="140"/>
        <v>457404.1</v>
      </c>
      <c r="I672" s="478">
        <f t="shared" si="140"/>
        <v>385641</v>
      </c>
      <c r="J672" s="478">
        <f t="shared" si="140"/>
        <v>457404.1</v>
      </c>
      <c r="K672" s="478">
        <f t="shared" si="140"/>
        <v>385641</v>
      </c>
      <c r="L672" s="466"/>
      <c r="N672" s="466"/>
      <c r="O672" s="466"/>
    </row>
    <row r="673" spans="1:15" s="442" customFormat="1" ht="31.5" x14ac:dyDescent="0.25">
      <c r="A673" s="521" t="s">
        <v>2031</v>
      </c>
      <c r="B673" s="615" t="s">
        <v>205</v>
      </c>
      <c r="C673" s="235" t="s">
        <v>567</v>
      </c>
      <c r="D673" s="443" t="s">
        <v>2032</v>
      </c>
      <c r="E673" s="238"/>
      <c r="F673" s="292">
        <f>F674+F677</f>
        <v>73990.3</v>
      </c>
      <c r="G673" s="292"/>
      <c r="H673" s="292">
        <f t="shared" ref="H673:J673" si="141">H674+H677</f>
        <v>71763.100000000006</v>
      </c>
      <c r="I673" s="292"/>
      <c r="J673" s="292">
        <f t="shared" si="141"/>
        <v>71763.100000000006</v>
      </c>
      <c r="K673" s="476"/>
      <c r="L673" s="466"/>
      <c r="N673" s="466"/>
      <c r="O673" s="466"/>
    </row>
    <row r="674" spans="1:15" s="442" customFormat="1" ht="31.5" x14ac:dyDescent="0.25">
      <c r="A674" s="521" t="s">
        <v>2203</v>
      </c>
      <c r="B674" s="615" t="s">
        <v>205</v>
      </c>
      <c r="C674" s="235" t="s">
        <v>567</v>
      </c>
      <c r="D674" s="443" t="s">
        <v>2033</v>
      </c>
      <c r="E674" s="594"/>
      <c r="F674" s="292">
        <f>F675</f>
        <v>69129</v>
      </c>
      <c r="G674" s="476"/>
      <c r="H674" s="476">
        <f>H675</f>
        <v>69929</v>
      </c>
      <c r="I674" s="476"/>
      <c r="J674" s="476">
        <f>J675</f>
        <v>69929</v>
      </c>
      <c r="K674" s="476"/>
      <c r="L674" s="466"/>
      <c r="N674" s="466"/>
      <c r="O674" s="466"/>
    </row>
    <row r="675" spans="1:15" s="442" customFormat="1" ht="31.5" x14ac:dyDescent="0.25">
      <c r="A675" s="524" t="s">
        <v>1343</v>
      </c>
      <c r="B675" s="615" t="s">
        <v>205</v>
      </c>
      <c r="C675" s="235" t="s">
        <v>567</v>
      </c>
      <c r="D675" s="443" t="s">
        <v>2033</v>
      </c>
      <c r="E675" s="238">
        <v>600</v>
      </c>
      <c r="F675" s="292">
        <f>F676</f>
        <v>69129</v>
      </c>
      <c r="G675" s="476"/>
      <c r="H675" s="476">
        <f>H676</f>
        <v>69929</v>
      </c>
      <c r="I675" s="476"/>
      <c r="J675" s="476">
        <f>J676</f>
        <v>69929</v>
      </c>
      <c r="K675" s="476"/>
      <c r="L675" s="466"/>
      <c r="N675" s="466"/>
      <c r="O675" s="466"/>
    </row>
    <row r="676" spans="1:15" s="442" customFormat="1" x14ac:dyDescent="0.25">
      <c r="A676" s="524" t="s">
        <v>1344</v>
      </c>
      <c r="B676" s="615" t="s">
        <v>205</v>
      </c>
      <c r="C676" s="235" t="s">
        <v>567</v>
      </c>
      <c r="D676" s="443" t="s">
        <v>2033</v>
      </c>
      <c r="E676" s="238">
        <v>610</v>
      </c>
      <c r="F676" s="292">
        <f>'ведом. 2021-2023'!AD739</f>
        <v>69129</v>
      </c>
      <c r="G676" s="476"/>
      <c r="H676" s="476">
        <f>'ведом. 2021-2023'!AE739</f>
        <v>69929</v>
      </c>
      <c r="I676" s="476"/>
      <c r="J676" s="476">
        <f>'ведом. 2021-2023'!AF739</f>
        <v>69929</v>
      </c>
      <c r="K676" s="476"/>
      <c r="L676" s="466"/>
      <c r="N676" s="466"/>
      <c r="O676" s="466"/>
    </row>
    <row r="677" spans="1:15" s="514" customFormat="1" ht="43.15" customHeight="1" x14ac:dyDescent="0.25">
      <c r="A677" s="524" t="s">
        <v>2035</v>
      </c>
      <c r="B677" s="615" t="s">
        <v>205</v>
      </c>
      <c r="C677" s="235" t="s">
        <v>567</v>
      </c>
      <c r="D677" s="443" t="s">
        <v>2034</v>
      </c>
      <c r="E677" s="238"/>
      <c r="F677" s="292">
        <f>F678</f>
        <v>4861.3</v>
      </c>
      <c r="G677" s="292"/>
      <c r="H677" s="292">
        <f t="shared" ref="H677:J677" si="142">H678</f>
        <v>1834.1</v>
      </c>
      <c r="I677" s="292"/>
      <c r="J677" s="292">
        <f t="shared" si="142"/>
        <v>1834.1</v>
      </c>
      <c r="K677" s="476"/>
      <c r="L677" s="466"/>
      <c r="N677" s="466"/>
      <c r="O677" s="466"/>
    </row>
    <row r="678" spans="1:15" s="442" customFormat="1" ht="31.5" x14ac:dyDescent="0.25">
      <c r="A678" s="524" t="s">
        <v>1343</v>
      </c>
      <c r="B678" s="615" t="s">
        <v>205</v>
      </c>
      <c r="C678" s="235" t="s">
        <v>567</v>
      </c>
      <c r="D678" s="443" t="s">
        <v>2034</v>
      </c>
      <c r="E678" s="238">
        <v>600</v>
      </c>
      <c r="F678" s="292">
        <f>F679</f>
        <v>4861.3</v>
      </c>
      <c r="G678" s="476"/>
      <c r="H678" s="476">
        <f>H679</f>
        <v>1834.1</v>
      </c>
      <c r="I678" s="476"/>
      <c r="J678" s="476">
        <f>J679</f>
        <v>1834.1</v>
      </c>
      <c r="K678" s="476"/>
      <c r="L678" s="466"/>
      <c r="N678" s="466"/>
      <c r="O678" s="466"/>
    </row>
    <row r="679" spans="1:15" s="442" customFormat="1" x14ac:dyDescent="0.25">
      <c r="A679" s="524" t="s">
        <v>1344</v>
      </c>
      <c r="B679" s="615" t="s">
        <v>205</v>
      </c>
      <c r="C679" s="235" t="s">
        <v>567</v>
      </c>
      <c r="D679" s="443" t="s">
        <v>2034</v>
      </c>
      <c r="E679" s="238">
        <v>610</v>
      </c>
      <c r="F679" s="292">
        <f>'ведом. 2021-2023'!AD742</f>
        <v>4861.3</v>
      </c>
      <c r="G679" s="476"/>
      <c r="H679" s="476">
        <f>'ведом. 2021-2023'!AE742</f>
        <v>1834.1</v>
      </c>
      <c r="I679" s="476"/>
      <c r="J679" s="476">
        <f>'ведом. 2021-2023'!AF742</f>
        <v>1834.1</v>
      </c>
      <c r="K679" s="476"/>
      <c r="L679" s="466"/>
      <c r="N679" s="466"/>
      <c r="O679" s="466"/>
    </row>
    <row r="680" spans="1:15" s="514" customFormat="1" ht="141.75" x14ac:dyDescent="0.25">
      <c r="A680" s="515" t="s">
        <v>2289</v>
      </c>
      <c r="B680" s="615" t="s">
        <v>205</v>
      </c>
      <c r="C680" s="235" t="s">
        <v>567</v>
      </c>
      <c r="D680" s="249" t="s">
        <v>2290</v>
      </c>
      <c r="E680" s="238"/>
      <c r="F680" s="292">
        <f t="shared" ref="F680:K681" si="143">F681</f>
        <v>18358</v>
      </c>
      <c r="G680" s="476">
        <f t="shared" si="143"/>
        <v>18358</v>
      </c>
      <c r="H680" s="476">
        <f t="shared" si="143"/>
        <v>18358</v>
      </c>
      <c r="I680" s="476">
        <f t="shared" si="143"/>
        <v>18358</v>
      </c>
      <c r="J680" s="476">
        <f t="shared" si="143"/>
        <v>18358</v>
      </c>
      <c r="K680" s="476">
        <f t="shared" si="143"/>
        <v>18358</v>
      </c>
      <c r="L680" s="466"/>
      <c r="N680" s="466"/>
      <c r="O680" s="466"/>
    </row>
    <row r="681" spans="1:15" s="514" customFormat="1" ht="31.5" x14ac:dyDescent="0.25">
      <c r="A681" s="520" t="s">
        <v>1343</v>
      </c>
      <c r="B681" s="615" t="s">
        <v>205</v>
      </c>
      <c r="C681" s="235" t="s">
        <v>567</v>
      </c>
      <c r="D681" s="249" t="s">
        <v>2290</v>
      </c>
      <c r="E681" s="238">
        <v>600</v>
      </c>
      <c r="F681" s="292">
        <f t="shared" si="143"/>
        <v>18358</v>
      </c>
      <c r="G681" s="476">
        <f t="shared" si="143"/>
        <v>18358</v>
      </c>
      <c r="H681" s="476">
        <f t="shared" si="143"/>
        <v>18358</v>
      </c>
      <c r="I681" s="476">
        <f t="shared" si="143"/>
        <v>18358</v>
      </c>
      <c r="J681" s="476">
        <f t="shared" si="143"/>
        <v>18358</v>
      </c>
      <c r="K681" s="476">
        <f t="shared" si="143"/>
        <v>18358</v>
      </c>
      <c r="L681" s="466"/>
      <c r="N681" s="466"/>
      <c r="O681" s="466"/>
    </row>
    <row r="682" spans="1:15" s="514" customFormat="1" x14ac:dyDescent="0.25">
      <c r="A682" s="520" t="s">
        <v>1344</v>
      </c>
      <c r="B682" s="615" t="s">
        <v>205</v>
      </c>
      <c r="C682" s="235" t="s">
        <v>567</v>
      </c>
      <c r="D682" s="249" t="s">
        <v>2290</v>
      </c>
      <c r="E682" s="238">
        <v>610</v>
      </c>
      <c r="F682" s="292">
        <f>'ведом. 2021-2023'!AD745</f>
        <v>18358</v>
      </c>
      <c r="G682" s="476">
        <f>18358</f>
        <v>18358</v>
      </c>
      <c r="H682" s="476">
        <f>'ведом. 2021-2023'!AE745</f>
        <v>18358</v>
      </c>
      <c r="I682" s="476">
        <f>18358</f>
        <v>18358</v>
      </c>
      <c r="J682" s="476">
        <f>'ведом. 2021-2023'!AF745</f>
        <v>18358</v>
      </c>
      <c r="K682" s="476">
        <f>18358</f>
        <v>18358</v>
      </c>
      <c r="L682" s="466"/>
      <c r="N682" s="466"/>
      <c r="O682" s="466"/>
    </row>
    <row r="683" spans="1:15" s="442" customFormat="1" ht="110.25" x14ac:dyDescent="0.25">
      <c r="A683" s="522" t="s">
        <v>2036</v>
      </c>
      <c r="B683" s="615" t="s">
        <v>205</v>
      </c>
      <c r="C683" s="235" t="s">
        <v>567</v>
      </c>
      <c r="D683" s="249" t="s">
        <v>1794</v>
      </c>
      <c r="E683" s="577"/>
      <c r="F683" s="292">
        <f t="shared" ref="F683:K684" si="144">F684</f>
        <v>367811</v>
      </c>
      <c r="G683" s="476">
        <f t="shared" si="144"/>
        <v>367811</v>
      </c>
      <c r="H683" s="476">
        <f t="shared" si="144"/>
        <v>367283</v>
      </c>
      <c r="I683" s="476">
        <f t="shared" si="144"/>
        <v>367283</v>
      </c>
      <c r="J683" s="476">
        <f t="shared" si="144"/>
        <v>367283</v>
      </c>
      <c r="K683" s="476">
        <f t="shared" si="144"/>
        <v>367283</v>
      </c>
      <c r="L683" s="466"/>
      <c r="N683" s="466"/>
      <c r="O683" s="466"/>
    </row>
    <row r="684" spans="1:15" s="442" customFormat="1" ht="31.5" x14ac:dyDescent="0.25">
      <c r="A684" s="524" t="s">
        <v>1343</v>
      </c>
      <c r="B684" s="615" t="s">
        <v>205</v>
      </c>
      <c r="C684" s="235" t="s">
        <v>567</v>
      </c>
      <c r="D684" s="249" t="s">
        <v>1794</v>
      </c>
      <c r="E684" s="238">
        <v>600</v>
      </c>
      <c r="F684" s="292">
        <f t="shared" si="144"/>
        <v>367811</v>
      </c>
      <c r="G684" s="476">
        <f t="shared" si="144"/>
        <v>367811</v>
      </c>
      <c r="H684" s="476">
        <f t="shared" si="144"/>
        <v>367283</v>
      </c>
      <c r="I684" s="476">
        <f t="shared" si="144"/>
        <v>367283</v>
      </c>
      <c r="J684" s="476">
        <f t="shared" si="144"/>
        <v>367283</v>
      </c>
      <c r="K684" s="476">
        <f t="shared" si="144"/>
        <v>367283</v>
      </c>
      <c r="L684" s="466"/>
      <c r="N684" s="466"/>
      <c r="O684" s="466"/>
    </row>
    <row r="685" spans="1:15" s="442" customFormat="1" x14ac:dyDescent="0.25">
      <c r="A685" s="524" t="s">
        <v>1344</v>
      </c>
      <c r="B685" s="615" t="s">
        <v>205</v>
      </c>
      <c r="C685" s="235" t="s">
        <v>567</v>
      </c>
      <c r="D685" s="249" t="s">
        <v>1794</v>
      </c>
      <c r="E685" s="238">
        <v>610</v>
      </c>
      <c r="F685" s="292">
        <f>'ведом. 2021-2023'!AD748</f>
        <v>367811</v>
      </c>
      <c r="G685" s="476">
        <f>F685</f>
        <v>367811</v>
      </c>
      <c r="H685" s="476">
        <f>'ведом. 2021-2023'!AE748</f>
        <v>367283</v>
      </c>
      <c r="I685" s="476">
        <f>H685</f>
        <v>367283</v>
      </c>
      <c r="J685" s="476">
        <f>'ведом. 2021-2023'!AF748</f>
        <v>367283</v>
      </c>
      <c r="K685" s="476">
        <f>J685</f>
        <v>367283</v>
      </c>
      <c r="L685" s="466"/>
      <c r="N685" s="466"/>
      <c r="O685" s="466"/>
    </row>
    <row r="686" spans="1:15" s="442" customFormat="1" ht="47.25" x14ac:dyDescent="0.25">
      <c r="A686" s="521" t="s">
        <v>2037</v>
      </c>
      <c r="B686" s="615" t="s">
        <v>205</v>
      </c>
      <c r="C686" s="235" t="s">
        <v>567</v>
      </c>
      <c r="D686" s="443" t="s">
        <v>1795</v>
      </c>
      <c r="E686" s="238"/>
      <c r="F686" s="292">
        <f t="shared" ref="F686:K686" si="145">F693+F687+F690</f>
        <v>47332.4</v>
      </c>
      <c r="G686" s="476">
        <f t="shared" si="145"/>
        <v>42390.8</v>
      </c>
      <c r="H686" s="476">
        <f t="shared" si="145"/>
        <v>49314.7</v>
      </c>
      <c r="I686" s="476">
        <f t="shared" si="145"/>
        <v>42837.3</v>
      </c>
      <c r="J686" s="476">
        <f t="shared" si="145"/>
        <v>49353.899999999994</v>
      </c>
      <c r="K686" s="476">
        <f t="shared" si="145"/>
        <v>42374.1</v>
      </c>
      <c r="L686" s="466"/>
      <c r="N686" s="466"/>
      <c r="O686" s="466"/>
    </row>
    <row r="687" spans="1:15" s="442" customFormat="1" ht="47.25" x14ac:dyDescent="0.25">
      <c r="A687" s="524" t="s">
        <v>2038</v>
      </c>
      <c r="B687" s="615" t="s">
        <v>205</v>
      </c>
      <c r="C687" s="235" t="s">
        <v>567</v>
      </c>
      <c r="D687" s="443" t="s">
        <v>1796</v>
      </c>
      <c r="E687" s="238"/>
      <c r="F687" s="292">
        <f t="shared" ref="F687:K688" si="146">F688</f>
        <v>69</v>
      </c>
      <c r="G687" s="476">
        <f t="shared" si="146"/>
        <v>69</v>
      </c>
      <c r="H687" s="476">
        <f t="shared" si="146"/>
        <v>69</v>
      </c>
      <c r="I687" s="476">
        <f t="shared" si="146"/>
        <v>69</v>
      </c>
      <c r="J687" s="476">
        <f t="shared" si="146"/>
        <v>69</v>
      </c>
      <c r="K687" s="476">
        <f t="shared" si="146"/>
        <v>69</v>
      </c>
      <c r="L687" s="466"/>
      <c r="N687" s="466"/>
      <c r="O687" s="466"/>
    </row>
    <row r="688" spans="1:15" s="442" customFormat="1" ht="31.5" x14ac:dyDescent="0.25">
      <c r="A688" s="524" t="s">
        <v>1343</v>
      </c>
      <c r="B688" s="615" t="s">
        <v>205</v>
      </c>
      <c r="C688" s="235" t="s">
        <v>567</v>
      </c>
      <c r="D688" s="249" t="str">
        <f>D689</f>
        <v>03 2 03 62230</v>
      </c>
      <c r="E688" s="577">
        <v>600</v>
      </c>
      <c r="F688" s="292">
        <f t="shared" si="146"/>
        <v>69</v>
      </c>
      <c r="G688" s="476">
        <f t="shared" si="146"/>
        <v>69</v>
      </c>
      <c r="H688" s="476">
        <f t="shared" si="146"/>
        <v>69</v>
      </c>
      <c r="I688" s="476">
        <f t="shared" si="146"/>
        <v>69</v>
      </c>
      <c r="J688" s="476">
        <f t="shared" si="146"/>
        <v>69</v>
      </c>
      <c r="K688" s="476">
        <f t="shared" si="146"/>
        <v>69</v>
      </c>
      <c r="L688" s="466"/>
      <c r="N688" s="466"/>
      <c r="O688" s="466"/>
    </row>
    <row r="689" spans="1:15" s="442" customFormat="1" x14ac:dyDescent="0.25">
      <c r="A689" s="524" t="s">
        <v>1344</v>
      </c>
      <c r="B689" s="615" t="s">
        <v>205</v>
      </c>
      <c r="C689" s="235" t="s">
        <v>567</v>
      </c>
      <c r="D689" s="249" t="s">
        <v>1796</v>
      </c>
      <c r="E689" s="577">
        <v>610</v>
      </c>
      <c r="F689" s="292">
        <f>'ведом. 2021-2023'!AD752</f>
        <v>69</v>
      </c>
      <c r="G689" s="476">
        <f>F689</f>
        <v>69</v>
      </c>
      <c r="H689" s="476">
        <f>'ведом. 2021-2023'!AE752</f>
        <v>69</v>
      </c>
      <c r="I689" s="476">
        <f>H689</f>
        <v>69</v>
      </c>
      <c r="J689" s="476">
        <f>'ведом. 2021-2023'!AF752</f>
        <v>69</v>
      </c>
      <c r="K689" s="476">
        <f>J689</f>
        <v>69</v>
      </c>
      <c r="L689" s="466"/>
      <c r="N689" s="466"/>
      <c r="O689" s="466"/>
    </row>
    <row r="690" spans="1:15" s="514" customFormat="1" ht="31.5" x14ac:dyDescent="0.25">
      <c r="A690" s="520" t="s">
        <v>2285</v>
      </c>
      <c r="B690" s="615" t="s">
        <v>205</v>
      </c>
      <c r="C690" s="235" t="s">
        <v>567</v>
      </c>
      <c r="D690" s="249" t="s">
        <v>2286</v>
      </c>
      <c r="E690" s="238"/>
      <c r="F690" s="292">
        <f t="shared" ref="F690:K691" si="147">F691</f>
        <v>29567.4</v>
      </c>
      <c r="G690" s="476">
        <f t="shared" si="147"/>
        <v>26395.8</v>
      </c>
      <c r="H690" s="476">
        <f t="shared" si="147"/>
        <v>31549.699999999997</v>
      </c>
      <c r="I690" s="476">
        <f t="shared" si="147"/>
        <v>28257.3</v>
      </c>
      <c r="J690" s="476">
        <f t="shared" si="147"/>
        <v>31588.899999999998</v>
      </c>
      <c r="K690" s="476">
        <f t="shared" si="147"/>
        <v>27794.1</v>
      </c>
      <c r="L690" s="466"/>
      <c r="N690" s="466"/>
      <c r="O690" s="466"/>
    </row>
    <row r="691" spans="1:15" s="514" customFormat="1" x14ac:dyDescent="0.25">
      <c r="A691" s="515" t="s">
        <v>1782</v>
      </c>
      <c r="B691" s="615" t="s">
        <v>205</v>
      </c>
      <c r="C691" s="235" t="s">
        <v>567</v>
      </c>
      <c r="D691" s="249" t="s">
        <v>2286</v>
      </c>
      <c r="E691" s="238">
        <v>200</v>
      </c>
      <c r="F691" s="292">
        <f t="shared" si="147"/>
        <v>29567.4</v>
      </c>
      <c r="G691" s="476">
        <f t="shared" si="147"/>
        <v>26395.8</v>
      </c>
      <c r="H691" s="476">
        <f t="shared" si="147"/>
        <v>31549.699999999997</v>
      </c>
      <c r="I691" s="476">
        <f t="shared" si="147"/>
        <v>28257.3</v>
      </c>
      <c r="J691" s="476">
        <f t="shared" si="147"/>
        <v>31588.899999999998</v>
      </c>
      <c r="K691" s="476">
        <f t="shared" si="147"/>
        <v>27794.1</v>
      </c>
      <c r="L691" s="466"/>
      <c r="N691" s="466"/>
      <c r="O691" s="466"/>
    </row>
    <row r="692" spans="1:15" s="514" customFormat="1" ht="31.5" x14ac:dyDescent="0.25">
      <c r="A692" s="515" t="s">
        <v>1274</v>
      </c>
      <c r="B692" s="615" t="s">
        <v>205</v>
      </c>
      <c r="C692" s="235" t="s">
        <v>567</v>
      </c>
      <c r="D692" s="249" t="s">
        <v>2286</v>
      </c>
      <c r="E692" s="238">
        <v>240</v>
      </c>
      <c r="F692" s="292">
        <f>'ведом. 2021-2023'!AD755</f>
        <v>29567.4</v>
      </c>
      <c r="G692" s="476">
        <v>26395.8</v>
      </c>
      <c r="H692" s="476">
        <f>'ведом. 2021-2023'!AE755</f>
        <v>31549.699999999997</v>
      </c>
      <c r="I692" s="476">
        <v>28257.3</v>
      </c>
      <c r="J692" s="476">
        <f>'ведом. 2021-2023'!AF755</f>
        <v>31588.899999999998</v>
      </c>
      <c r="K692" s="476">
        <v>27794.1</v>
      </c>
      <c r="L692" s="466"/>
      <c r="N692" s="466"/>
      <c r="O692" s="466"/>
    </row>
    <row r="693" spans="1:15" s="514" customFormat="1" ht="47.25" x14ac:dyDescent="0.25">
      <c r="A693" s="522" t="s">
        <v>2373</v>
      </c>
      <c r="B693" s="615" t="s">
        <v>205</v>
      </c>
      <c r="C693" s="235" t="s">
        <v>567</v>
      </c>
      <c r="D693" s="443" t="s">
        <v>2325</v>
      </c>
      <c r="E693" s="576"/>
      <c r="F693" s="292">
        <f t="shared" ref="F693:K694" si="148">F694</f>
        <v>17696</v>
      </c>
      <c r="G693" s="476">
        <f t="shared" si="148"/>
        <v>15926</v>
      </c>
      <c r="H693" s="476">
        <f t="shared" si="148"/>
        <v>17696</v>
      </c>
      <c r="I693" s="476">
        <f t="shared" si="148"/>
        <v>14511</v>
      </c>
      <c r="J693" s="476">
        <f t="shared" si="148"/>
        <v>17696</v>
      </c>
      <c r="K693" s="476">
        <f t="shared" si="148"/>
        <v>14511</v>
      </c>
      <c r="L693" s="466"/>
      <c r="N693" s="466"/>
      <c r="O693" s="466"/>
    </row>
    <row r="694" spans="1:15" s="514" customFormat="1" x14ac:dyDescent="0.25">
      <c r="A694" s="515" t="s">
        <v>1782</v>
      </c>
      <c r="B694" s="615" t="s">
        <v>205</v>
      </c>
      <c r="C694" s="235" t="s">
        <v>567</v>
      </c>
      <c r="D694" s="443" t="s">
        <v>2325</v>
      </c>
      <c r="E694" s="238">
        <v>200</v>
      </c>
      <c r="F694" s="292">
        <f t="shared" si="148"/>
        <v>17696</v>
      </c>
      <c r="G694" s="476">
        <f t="shared" si="148"/>
        <v>15926</v>
      </c>
      <c r="H694" s="476">
        <f t="shared" si="148"/>
        <v>17696</v>
      </c>
      <c r="I694" s="476">
        <f t="shared" si="148"/>
        <v>14511</v>
      </c>
      <c r="J694" s="476">
        <f t="shared" si="148"/>
        <v>17696</v>
      </c>
      <c r="K694" s="476">
        <f t="shared" si="148"/>
        <v>14511</v>
      </c>
      <c r="L694" s="466"/>
      <c r="N694" s="466"/>
      <c r="O694" s="466"/>
    </row>
    <row r="695" spans="1:15" s="514" customFormat="1" ht="31.5" x14ac:dyDescent="0.25">
      <c r="A695" s="515" t="s">
        <v>1274</v>
      </c>
      <c r="B695" s="615" t="s">
        <v>205</v>
      </c>
      <c r="C695" s="235" t="s">
        <v>567</v>
      </c>
      <c r="D695" s="443" t="s">
        <v>2325</v>
      </c>
      <c r="E695" s="238">
        <v>240</v>
      </c>
      <c r="F695" s="292">
        <f>'ведом. 2021-2023'!AD758</f>
        <v>17696</v>
      </c>
      <c r="G695" s="476">
        <v>15926</v>
      </c>
      <c r="H695" s="476">
        <f>'ведом. 2021-2023'!AE758</f>
        <v>17696</v>
      </c>
      <c r="I695" s="476">
        <v>14511</v>
      </c>
      <c r="J695" s="476">
        <f>'ведом. 2021-2023'!AF758</f>
        <v>17696</v>
      </c>
      <c r="K695" s="476">
        <v>14511</v>
      </c>
      <c r="L695" s="466"/>
      <c r="N695" s="466"/>
      <c r="O695" s="466"/>
    </row>
    <row r="696" spans="1:15" s="442" customFormat="1" ht="47.25" x14ac:dyDescent="0.25">
      <c r="A696" s="521" t="s">
        <v>2129</v>
      </c>
      <c r="B696" s="615" t="s">
        <v>205</v>
      </c>
      <c r="C696" s="235" t="s">
        <v>567</v>
      </c>
      <c r="D696" s="443" t="s">
        <v>2168</v>
      </c>
      <c r="E696" s="577"/>
      <c r="F696" s="292">
        <f>F697</f>
        <v>1018.8</v>
      </c>
      <c r="G696" s="476"/>
      <c r="H696" s="476">
        <f>H697</f>
        <v>1026.3</v>
      </c>
      <c r="I696" s="476"/>
      <c r="J696" s="476">
        <f>J697</f>
        <v>1026.3</v>
      </c>
      <c r="K696" s="476"/>
      <c r="L696" s="466"/>
      <c r="N696" s="466"/>
      <c r="O696" s="466"/>
    </row>
    <row r="697" spans="1:15" s="442" customFormat="1" ht="31.5" x14ac:dyDescent="0.25">
      <c r="A697" s="521" t="s">
        <v>2031</v>
      </c>
      <c r="B697" s="615" t="s">
        <v>205</v>
      </c>
      <c r="C697" s="235" t="s">
        <v>567</v>
      </c>
      <c r="D697" s="443" t="s">
        <v>2169</v>
      </c>
      <c r="E697" s="577"/>
      <c r="F697" s="292">
        <f>F698</f>
        <v>1018.8</v>
      </c>
      <c r="G697" s="292"/>
      <c r="H697" s="292">
        <f>H698</f>
        <v>1026.3</v>
      </c>
      <c r="I697" s="292"/>
      <c r="J697" s="292">
        <f>J698</f>
        <v>1026.3</v>
      </c>
      <c r="K697" s="476"/>
      <c r="L697" s="466"/>
      <c r="N697" s="466"/>
      <c r="O697" s="466"/>
    </row>
    <row r="698" spans="1:15" s="442" customFormat="1" ht="31.5" x14ac:dyDescent="0.25">
      <c r="A698" s="524" t="s">
        <v>1343</v>
      </c>
      <c r="B698" s="615" t="s">
        <v>205</v>
      </c>
      <c r="C698" s="235" t="s">
        <v>567</v>
      </c>
      <c r="D698" s="443" t="s">
        <v>2169</v>
      </c>
      <c r="E698" s="577">
        <v>600</v>
      </c>
      <c r="F698" s="292">
        <f>F699</f>
        <v>1018.8</v>
      </c>
      <c r="G698" s="476"/>
      <c r="H698" s="476">
        <f>H699</f>
        <v>1026.3</v>
      </c>
      <c r="I698" s="476"/>
      <c r="J698" s="476">
        <f>J699</f>
        <v>1026.3</v>
      </c>
      <c r="K698" s="476"/>
      <c r="L698" s="466"/>
      <c r="N698" s="466"/>
      <c r="O698" s="466"/>
    </row>
    <row r="699" spans="1:15" s="442" customFormat="1" x14ac:dyDescent="0.25">
      <c r="A699" s="524" t="s">
        <v>1344</v>
      </c>
      <c r="B699" s="615" t="s">
        <v>205</v>
      </c>
      <c r="C699" s="235" t="s">
        <v>567</v>
      </c>
      <c r="D699" s="443" t="s">
        <v>2169</v>
      </c>
      <c r="E699" s="577">
        <v>610</v>
      </c>
      <c r="F699" s="292">
        <f>'ведом. 2021-2023'!AD762</f>
        <v>1018.8</v>
      </c>
      <c r="G699" s="476"/>
      <c r="H699" s="476">
        <f>'ведом. 2021-2023'!AE762</f>
        <v>1026.3</v>
      </c>
      <c r="I699" s="476"/>
      <c r="J699" s="476">
        <f>'ведом. 2021-2023'!AF762</f>
        <v>1026.3</v>
      </c>
      <c r="K699" s="476"/>
      <c r="L699" s="466"/>
      <c r="N699" s="466"/>
      <c r="O699" s="466"/>
    </row>
    <row r="700" spans="1:15" s="442" customFormat="1" x14ac:dyDescent="0.25">
      <c r="A700" s="521" t="s">
        <v>2075</v>
      </c>
      <c r="B700" s="615" t="s">
        <v>205</v>
      </c>
      <c r="C700" s="235" t="s">
        <v>567</v>
      </c>
      <c r="D700" s="464" t="s">
        <v>1769</v>
      </c>
      <c r="E700" s="577"/>
      <c r="F700" s="292">
        <f>F701</f>
        <v>950</v>
      </c>
      <c r="G700" s="292"/>
      <c r="H700" s="292">
        <f>H701</f>
        <v>950</v>
      </c>
      <c r="I700" s="292"/>
      <c r="J700" s="292">
        <f>J701</f>
        <v>950</v>
      </c>
      <c r="K700" s="476"/>
      <c r="L700" s="466"/>
      <c r="N700" s="466"/>
      <c r="O700" s="466"/>
    </row>
    <row r="701" spans="1:15" s="442" customFormat="1" x14ac:dyDescent="0.25">
      <c r="A701" s="521" t="s">
        <v>2086</v>
      </c>
      <c r="B701" s="615" t="s">
        <v>205</v>
      </c>
      <c r="C701" s="235" t="s">
        <v>567</v>
      </c>
      <c r="D701" s="443" t="s">
        <v>1770</v>
      </c>
      <c r="E701" s="238"/>
      <c r="F701" s="292">
        <f t="shared" ref="F701:J702" si="149">F702</f>
        <v>950</v>
      </c>
      <c r="G701" s="476"/>
      <c r="H701" s="476">
        <f t="shared" si="149"/>
        <v>950</v>
      </c>
      <c r="I701" s="476"/>
      <c r="J701" s="476">
        <f t="shared" si="149"/>
        <v>950</v>
      </c>
      <c r="K701" s="476"/>
      <c r="L701" s="466"/>
      <c r="N701" s="466"/>
      <c r="O701" s="466"/>
    </row>
    <row r="702" spans="1:15" s="442" customFormat="1" ht="31.5" x14ac:dyDescent="0.25">
      <c r="A702" s="526" t="s">
        <v>2261</v>
      </c>
      <c r="B702" s="615" t="s">
        <v>205</v>
      </c>
      <c r="C702" s="235" t="s">
        <v>567</v>
      </c>
      <c r="D702" s="443" t="s">
        <v>2103</v>
      </c>
      <c r="E702" s="695"/>
      <c r="F702" s="292">
        <f>F703</f>
        <v>950</v>
      </c>
      <c r="G702" s="476"/>
      <c r="H702" s="476">
        <f t="shared" si="149"/>
        <v>950</v>
      </c>
      <c r="I702" s="476"/>
      <c r="J702" s="476">
        <f t="shared" si="149"/>
        <v>950</v>
      </c>
      <c r="K702" s="476"/>
      <c r="L702" s="466"/>
      <c r="N702" s="466"/>
      <c r="O702" s="466"/>
    </row>
    <row r="703" spans="1:15" s="442" customFormat="1" ht="31.5" x14ac:dyDescent="0.25">
      <c r="A703" s="529" t="s">
        <v>2087</v>
      </c>
      <c r="B703" s="615" t="s">
        <v>205</v>
      </c>
      <c r="C703" s="235" t="s">
        <v>567</v>
      </c>
      <c r="D703" s="443" t="s">
        <v>2089</v>
      </c>
      <c r="E703" s="238"/>
      <c r="F703" s="292">
        <f>F704</f>
        <v>950</v>
      </c>
      <c r="G703" s="476"/>
      <c r="H703" s="476">
        <f>H704</f>
        <v>950</v>
      </c>
      <c r="I703" s="476"/>
      <c r="J703" s="476">
        <f>J704</f>
        <v>950</v>
      </c>
      <c r="K703" s="476"/>
      <c r="L703" s="466"/>
      <c r="N703" s="466"/>
      <c r="O703" s="466"/>
    </row>
    <row r="704" spans="1:15" s="442" customFormat="1" ht="31.5" x14ac:dyDescent="0.25">
      <c r="A704" s="611" t="s">
        <v>2088</v>
      </c>
      <c r="B704" s="615" t="s">
        <v>205</v>
      </c>
      <c r="C704" s="235" t="s">
        <v>567</v>
      </c>
      <c r="D704" s="443" t="s">
        <v>2089</v>
      </c>
      <c r="E704" s="238"/>
      <c r="F704" s="292">
        <f>F705</f>
        <v>950</v>
      </c>
      <c r="G704" s="476"/>
      <c r="H704" s="476">
        <f>H705</f>
        <v>950</v>
      </c>
      <c r="I704" s="476"/>
      <c r="J704" s="476">
        <f>J705</f>
        <v>950</v>
      </c>
      <c r="K704" s="476"/>
      <c r="L704" s="466"/>
      <c r="N704" s="466"/>
      <c r="O704" s="466"/>
    </row>
    <row r="705" spans="1:15" s="442" customFormat="1" ht="31.5" x14ac:dyDescent="0.25">
      <c r="A705" s="524" t="s">
        <v>1343</v>
      </c>
      <c r="B705" s="615" t="s">
        <v>205</v>
      </c>
      <c r="C705" s="235" t="s">
        <v>567</v>
      </c>
      <c r="D705" s="443" t="s">
        <v>2089</v>
      </c>
      <c r="E705" s="577">
        <v>600</v>
      </c>
      <c r="F705" s="292">
        <f>F706</f>
        <v>950</v>
      </c>
      <c r="G705" s="476"/>
      <c r="H705" s="476">
        <f>H706</f>
        <v>950</v>
      </c>
      <c r="I705" s="476"/>
      <c r="J705" s="476">
        <f>J706</f>
        <v>950</v>
      </c>
      <c r="K705" s="476"/>
      <c r="L705" s="466"/>
      <c r="N705" s="466"/>
      <c r="O705" s="466"/>
    </row>
    <row r="706" spans="1:15" s="442" customFormat="1" x14ac:dyDescent="0.25">
      <c r="A706" s="524" t="s">
        <v>1344</v>
      </c>
      <c r="B706" s="615" t="s">
        <v>205</v>
      </c>
      <c r="C706" s="235" t="s">
        <v>567</v>
      </c>
      <c r="D706" s="443" t="s">
        <v>2089</v>
      </c>
      <c r="E706" s="577">
        <v>610</v>
      </c>
      <c r="F706" s="292">
        <f>'ведом. 2021-2023'!AD768</f>
        <v>950</v>
      </c>
      <c r="G706" s="476"/>
      <c r="H706" s="476">
        <f>'ведом. 2021-2023'!AE768</f>
        <v>950</v>
      </c>
      <c r="I706" s="476"/>
      <c r="J706" s="476">
        <f>'ведом. 2021-2023'!AF768</f>
        <v>950</v>
      </c>
      <c r="K706" s="476"/>
      <c r="L706" s="466"/>
      <c r="N706" s="466"/>
      <c r="O706" s="466"/>
    </row>
    <row r="707" spans="1:15" s="514" customFormat="1" ht="31.5" x14ac:dyDescent="0.25">
      <c r="A707" s="549" t="s">
        <v>1854</v>
      </c>
      <c r="B707" s="235" t="s">
        <v>205</v>
      </c>
      <c r="C707" s="235" t="s">
        <v>567</v>
      </c>
      <c r="D707" s="249" t="s">
        <v>1762</v>
      </c>
      <c r="E707" s="580"/>
      <c r="F707" s="292">
        <f t="shared" ref="F707:F712" si="150">F708</f>
        <v>883.8</v>
      </c>
      <c r="G707" s="292"/>
      <c r="H707" s="292">
        <f t="shared" ref="H707:J707" si="151">H708</f>
        <v>0</v>
      </c>
      <c r="I707" s="292"/>
      <c r="J707" s="292">
        <f t="shared" si="151"/>
        <v>0</v>
      </c>
      <c r="K707" s="476"/>
      <c r="L707" s="466"/>
      <c r="N707" s="466"/>
      <c r="O707" s="466"/>
    </row>
    <row r="708" spans="1:15" s="514" customFormat="1" x14ac:dyDescent="0.25">
      <c r="A708" s="549" t="s">
        <v>1855</v>
      </c>
      <c r="B708" s="235" t="s">
        <v>205</v>
      </c>
      <c r="C708" s="235" t="s">
        <v>567</v>
      </c>
      <c r="D708" s="249" t="s">
        <v>1766</v>
      </c>
      <c r="E708" s="580"/>
      <c r="F708" s="292">
        <f t="shared" si="150"/>
        <v>883.8</v>
      </c>
      <c r="G708" s="292"/>
      <c r="H708" s="292">
        <f t="shared" ref="H708:J708" si="152">H709</f>
        <v>0</v>
      </c>
      <c r="I708" s="292"/>
      <c r="J708" s="292">
        <f t="shared" si="152"/>
        <v>0</v>
      </c>
      <c r="K708" s="476"/>
      <c r="L708" s="466"/>
      <c r="N708" s="466"/>
      <c r="O708" s="466"/>
    </row>
    <row r="709" spans="1:15" s="514" customFormat="1" ht="47.25" x14ac:dyDescent="0.25">
      <c r="A709" s="515" t="s">
        <v>2255</v>
      </c>
      <c r="B709" s="235" t="s">
        <v>205</v>
      </c>
      <c r="C709" s="235" t="s">
        <v>567</v>
      </c>
      <c r="D709" s="443" t="s">
        <v>1786</v>
      </c>
      <c r="E709" s="580"/>
      <c r="F709" s="292">
        <f t="shared" si="150"/>
        <v>883.8</v>
      </c>
      <c r="G709" s="292"/>
      <c r="H709" s="292">
        <f t="shared" ref="H709:J709" si="153">H710</f>
        <v>0</v>
      </c>
      <c r="I709" s="292"/>
      <c r="J709" s="292">
        <f t="shared" si="153"/>
        <v>0</v>
      </c>
      <c r="K709" s="476"/>
      <c r="L709" s="466"/>
      <c r="N709" s="466"/>
      <c r="O709" s="466"/>
    </row>
    <row r="710" spans="1:15" s="514" customFormat="1" ht="47.25" x14ac:dyDescent="0.25">
      <c r="A710" s="549" t="s">
        <v>1856</v>
      </c>
      <c r="B710" s="235" t="s">
        <v>205</v>
      </c>
      <c r="C710" s="235" t="s">
        <v>567</v>
      </c>
      <c r="D710" s="443" t="s">
        <v>1857</v>
      </c>
      <c r="E710" s="580"/>
      <c r="F710" s="292">
        <f t="shared" si="150"/>
        <v>883.8</v>
      </c>
      <c r="G710" s="292"/>
      <c r="H710" s="292">
        <f t="shared" ref="H710:J710" si="154">H711</f>
        <v>0</v>
      </c>
      <c r="I710" s="292"/>
      <c r="J710" s="292">
        <f t="shared" si="154"/>
        <v>0</v>
      </c>
      <c r="K710" s="476"/>
      <c r="L710" s="466"/>
      <c r="N710" s="466"/>
      <c r="O710" s="466"/>
    </row>
    <row r="711" spans="1:15" s="514" customFormat="1" ht="63" x14ac:dyDescent="0.25">
      <c r="A711" s="525" t="s">
        <v>2250</v>
      </c>
      <c r="B711" s="235" t="s">
        <v>205</v>
      </c>
      <c r="C711" s="235" t="s">
        <v>567</v>
      </c>
      <c r="D711" s="443" t="s">
        <v>1858</v>
      </c>
      <c r="E711" s="580"/>
      <c r="F711" s="292">
        <f t="shared" si="150"/>
        <v>883.8</v>
      </c>
      <c r="G711" s="292"/>
      <c r="H711" s="292">
        <f t="shared" ref="H711:J711" si="155">H712</f>
        <v>0</v>
      </c>
      <c r="I711" s="292"/>
      <c r="J711" s="292">
        <f t="shared" si="155"/>
        <v>0</v>
      </c>
      <c r="K711" s="476"/>
      <c r="L711" s="466"/>
      <c r="N711" s="466"/>
      <c r="O711" s="466"/>
    </row>
    <row r="712" spans="1:15" s="514" customFormat="1" ht="31.5" x14ac:dyDescent="0.25">
      <c r="A712" s="524" t="s">
        <v>1343</v>
      </c>
      <c r="B712" s="235" t="s">
        <v>205</v>
      </c>
      <c r="C712" s="235" t="s">
        <v>567</v>
      </c>
      <c r="D712" s="443" t="s">
        <v>1858</v>
      </c>
      <c r="E712" s="577">
        <v>600</v>
      </c>
      <c r="F712" s="292">
        <f t="shared" si="150"/>
        <v>883.8</v>
      </c>
      <c r="G712" s="292"/>
      <c r="H712" s="292">
        <f t="shared" ref="H712:J712" si="156">H713</f>
        <v>0</v>
      </c>
      <c r="I712" s="292"/>
      <c r="J712" s="292">
        <f t="shared" si="156"/>
        <v>0</v>
      </c>
      <c r="K712" s="476"/>
      <c r="L712" s="466"/>
      <c r="N712" s="466"/>
      <c r="O712" s="466"/>
    </row>
    <row r="713" spans="1:15" s="514" customFormat="1" x14ac:dyDescent="0.25">
      <c r="A713" s="524" t="s">
        <v>1344</v>
      </c>
      <c r="B713" s="235" t="s">
        <v>205</v>
      </c>
      <c r="C713" s="235" t="s">
        <v>567</v>
      </c>
      <c r="D713" s="443" t="s">
        <v>1858</v>
      </c>
      <c r="E713" s="577">
        <v>610</v>
      </c>
      <c r="F713" s="292">
        <f>'ведом. 2021-2023'!AD775</f>
        <v>883.8</v>
      </c>
      <c r="G713" s="476"/>
      <c r="H713" s="476">
        <f>'ведом. 2021-2023'!AE775</f>
        <v>0</v>
      </c>
      <c r="I713" s="476"/>
      <c r="J713" s="476">
        <f>'ведом. 2021-2023'!AF775</f>
        <v>0</v>
      </c>
      <c r="K713" s="476"/>
      <c r="L713" s="466"/>
      <c r="N713" s="466"/>
      <c r="O713" s="466"/>
    </row>
    <row r="714" spans="1:15" s="442" customFormat="1" x14ac:dyDescent="0.25">
      <c r="A714" s="521" t="s">
        <v>1992</v>
      </c>
      <c r="B714" s="615" t="s">
        <v>205</v>
      </c>
      <c r="C714" s="235" t="s">
        <v>567</v>
      </c>
      <c r="D714" s="443" t="s">
        <v>1993</v>
      </c>
      <c r="E714" s="238"/>
      <c r="F714" s="292">
        <f t="shared" ref="F714:K714" si="157">F715</f>
        <v>0</v>
      </c>
      <c r="G714" s="476"/>
      <c r="H714" s="476">
        <f t="shared" si="157"/>
        <v>0</v>
      </c>
      <c r="I714" s="476"/>
      <c r="J714" s="476">
        <f t="shared" si="157"/>
        <v>8105.2999999999993</v>
      </c>
      <c r="K714" s="476">
        <f t="shared" si="157"/>
        <v>7699.4</v>
      </c>
      <c r="L714" s="466"/>
      <c r="N714" s="466"/>
      <c r="O714" s="466"/>
    </row>
    <row r="715" spans="1:15" s="442" customFormat="1" x14ac:dyDescent="0.25">
      <c r="A715" s="606" t="s">
        <v>2233</v>
      </c>
      <c r="B715" s="615" t="s">
        <v>205</v>
      </c>
      <c r="C715" s="235" t="s">
        <v>567</v>
      </c>
      <c r="D715" s="443" t="s">
        <v>2234</v>
      </c>
      <c r="E715" s="238"/>
      <c r="F715" s="292">
        <f t="shared" ref="F715:K716" si="158">F716</f>
        <v>0</v>
      </c>
      <c r="G715" s="476"/>
      <c r="H715" s="476">
        <f t="shared" si="158"/>
        <v>0</v>
      </c>
      <c r="I715" s="476"/>
      <c r="J715" s="476">
        <f t="shared" si="158"/>
        <v>8105.2999999999993</v>
      </c>
      <c r="K715" s="476">
        <f t="shared" si="158"/>
        <v>7699.4</v>
      </c>
      <c r="L715" s="466"/>
      <c r="N715" s="466"/>
      <c r="O715" s="466"/>
    </row>
    <row r="716" spans="1:15" s="442" customFormat="1" x14ac:dyDescent="0.25">
      <c r="A716" s="529" t="s">
        <v>1994</v>
      </c>
      <c r="B716" s="615" t="s">
        <v>205</v>
      </c>
      <c r="C716" s="235" t="s">
        <v>567</v>
      </c>
      <c r="D716" s="443" t="s">
        <v>1995</v>
      </c>
      <c r="E716" s="238"/>
      <c r="F716" s="292">
        <f>F717</f>
        <v>0</v>
      </c>
      <c r="G716" s="476"/>
      <c r="H716" s="476">
        <f t="shared" si="158"/>
        <v>0</v>
      </c>
      <c r="I716" s="476"/>
      <c r="J716" s="476">
        <f t="shared" si="158"/>
        <v>8105.2999999999993</v>
      </c>
      <c r="K716" s="476">
        <f t="shared" si="158"/>
        <v>7699.4</v>
      </c>
      <c r="L716" s="466"/>
      <c r="N716" s="466"/>
      <c r="O716" s="466"/>
    </row>
    <row r="717" spans="1:15" s="442" customFormat="1" ht="31.5" x14ac:dyDescent="0.25">
      <c r="A717" s="529" t="s">
        <v>1996</v>
      </c>
      <c r="B717" s="615" t="s">
        <v>205</v>
      </c>
      <c r="C717" s="235" t="s">
        <v>567</v>
      </c>
      <c r="D717" s="443" t="s">
        <v>1997</v>
      </c>
      <c r="E717" s="238"/>
      <c r="F717" s="292">
        <f t="shared" ref="F717:K719" si="159">F718</f>
        <v>0</v>
      </c>
      <c r="G717" s="476"/>
      <c r="H717" s="476">
        <f t="shared" si="159"/>
        <v>0</v>
      </c>
      <c r="I717" s="476"/>
      <c r="J717" s="476">
        <f t="shared" si="159"/>
        <v>8105.2999999999993</v>
      </c>
      <c r="K717" s="476">
        <f t="shared" si="159"/>
        <v>7699.4</v>
      </c>
      <c r="L717" s="466"/>
      <c r="N717" s="466"/>
      <c r="O717" s="466"/>
    </row>
    <row r="718" spans="1:15" s="442" customFormat="1" ht="47.25" x14ac:dyDescent="0.25">
      <c r="A718" s="533" t="s">
        <v>2420</v>
      </c>
      <c r="B718" s="246" t="s">
        <v>205</v>
      </c>
      <c r="C718" s="255" t="s">
        <v>567</v>
      </c>
      <c r="D718" s="443" t="s">
        <v>1998</v>
      </c>
      <c r="E718" s="238"/>
      <c r="F718" s="292">
        <f t="shared" si="159"/>
        <v>0</v>
      </c>
      <c r="G718" s="476"/>
      <c r="H718" s="476">
        <f t="shared" si="159"/>
        <v>0</v>
      </c>
      <c r="I718" s="476"/>
      <c r="J718" s="476">
        <f t="shared" si="159"/>
        <v>8105.2999999999993</v>
      </c>
      <c r="K718" s="476">
        <f t="shared" si="159"/>
        <v>7699.4</v>
      </c>
      <c r="L718" s="466"/>
      <c r="N718" s="466"/>
      <c r="O718" s="466"/>
    </row>
    <row r="719" spans="1:15" s="442" customFormat="1" x14ac:dyDescent="0.25">
      <c r="A719" s="613" t="s">
        <v>1837</v>
      </c>
      <c r="B719" s="246" t="s">
        <v>205</v>
      </c>
      <c r="C719" s="255" t="s">
        <v>567</v>
      </c>
      <c r="D719" s="272" t="s">
        <v>1998</v>
      </c>
      <c r="E719" s="590">
        <v>400</v>
      </c>
      <c r="F719" s="292">
        <f t="shared" si="159"/>
        <v>0</v>
      </c>
      <c r="G719" s="476"/>
      <c r="H719" s="476">
        <f t="shared" si="159"/>
        <v>0</v>
      </c>
      <c r="I719" s="476"/>
      <c r="J719" s="476">
        <f t="shared" si="159"/>
        <v>8105.2999999999993</v>
      </c>
      <c r="K719" s="476">
        <f t="shared" si="159"/>
        <v>7699.4</v>
      </c>
      <c r="L719" s="466"/>
      <c r="N719" s="466"/>
      <c r="O719" s="466"/>
    </row>
    <row r="720" spans="1:15" s="442" customFormat="1" x14ac:dyDescent="0.25">
      <c r="A720" s="524" t="s">
        <v>232</v>
      </c>
      <c r="B720" s="246" t="s">
        <v>205</v>
      </c>
      <c r="C720" s="255" t="s">
        <v>567</v>
      </c>
      <c r="D720" s="443" t="s">
        <v>1998</v>
      </c>
      <c r="E720" s="590">
        <v>410</v>
      </c>
      <c r="F720" s="292">
        <f>'ведом. 2021-2023'!AD1076</f>
        <v>0</v>
      </c>
      <c r="G720" s="476"/>
      <c r="H720" s="476">
        <f>'ведом. 2021-2023'!AE1076</f>
        <v>0</v>
      </c>
      <c r="I720" s="476"/>
      <c r="J720" s="476">
        <f>'ведом. 2021-2023'!AF1076</f>
        <v>8105.2999999999993</v>
      </c>
      <c r="K720" s="476">
        <v>7699.4</v>
      </c>
      <c r="L720" s="466"/>
      <c r="N720" s="466"/>
      <c r="O720" s="466"/>
    </row>
    <row r="721" spans="1:15" s="514" customFormat="1" x14ac:dyDescent="0.25">
      <c r="A721" s="547" t="s">
        <v>2259</v>
      </c>
      <c r="B721" s="615" t="s">
        <v>205</v>
      </c>
      <c r="C721" s="235" t="s">
        <v>567</v>
      </c>
      <c r="D721" s="550" t="s">
        <v>2260</v>
      </c>
      <c r="E721" s="590"/>
      <c r="F721" s="292">
        <f>F722</f>
        <v>99.1</v>
      </c>
      <c r="G721" s="476"/>
      <c r="H721" s="476">
        <f>H722</f>
        <v>0</v>
      </c>
      <c r="I721" s="476"/>
      <c r="J721" s="476">
        <f>J722</f>
        <v>0</v>
      </c>
      <c r="K721" s="476">
        <f>K722</f>
        <v>0</v>
      </c>
      <c r="L721" s="466"/>
      <c r="N721" s="466"/>
      <c r="O721" s="466"/>
    </row>
    <row r="722" spans="1:15" s="514" customFormat="1" ht="126" x14ac:dyDescent="0.25">
      <c r="A722" s="520" t="s">
        <v>2413</v>
      </c>
      <c r="B722" s="615" t="s">
        <v>205</v>
      </c>
      <c r="C722" s="235" t="s">
        <v>567</v>
      </c>
      <c r="D722" s="550" t="s">
        <v>2412</v>
      </c>
      <c r="E722" s="580"/>
      <c r="F722" s="292">
        <f>F723</f>
        <v>99.1</v>
      </c>
      <c r="G722" s="476"/>
      <c r="H722" s="476">
        <f t="shared" ref="H722:J723" si="160">H723</f>
        <v>0</v>
      </c>
      <c r="I722" s="476"/>
      <c r="J722" s="476">
        <f t="shared" si="160"/>
        <v>0</v>
      </c>
      <c r="K722" s="476"/>
      <c r="L722" s="466"/>
      <c r="N722" s="466"/>
      <c r="O722" s="466"/>
    </row>
    <row r="723" spans="1:15" s="514" customFormat="1" x14ac:dyDescent="0.25">
      <c r="A723" s="520" t="s">
        <v>924</v>
      </c>
      <c r="B723" s="615" t="s">
        <v>205</v>
      </c>
      <c r="C723" s="235" t="s">
        <v>567</v>
      </c>
      <c r="D723" s="550" t="s">
        <v>2412</v>
      </c>
      <c r="E723" s="580" t="s">
        <v>2242</v>
      </c>
      <c r="F723" s="292">
        <f>F724</f>
        <v>99.1</v>
      </c>
      <c r="G723" s="476"/>
      <c r="H723" s="476">
        <f t="shared" si="160"/>
        <v>0</v>
      </c>
      <c r="I723" s="476"/>
      <c r="J723" s="476">
        <f t="shared" si="160"/>
        <v>0</v>
      </c>
      <c r="K723" s="476"/>
      <c r="L723" s="466"/>
      <c r="N723" s="466"/>
      <c r="O723" s="466"/>
    </row>
    <row r="724" spans="1:15" s="514" customFormat="1" x14ac:dyDescent="0.25">
      <c r="A724" s="520" t="s">
        <v>1320</v>
      </c>
      <c r="B724" s="615" t="s">
        <v>205</v>
      </c>
      <c r="C724" s="235" t="s">
        <v>567</v>
      </c>
      <c r="D724" s="550" t="s">
        <v>2412</v>
      </c>
      <c r="E724" s="580" t="s">
        <v>2394</v>
      </c>
      <c r="F724" s="292">
        <f>'ведом. 2021-2023'!AD780</f>
        <v>99.1</v>
      </c>
      <c r="G724" s="476"/>
      <c r="H724" s="476">
        <f>'ведом. 2021-2023'!AE780</f>
        <v>0</v>
      </c>
      <c r="I724" s="476"/>
      <c r="J724" s="476">
        <f>'ведом. 2021-2023'!AF780</f>
        <v>0</v>
      </c>
      <c r="K724" s="476"/>
      <c r="L724" s="466"/>
      <c r="N724" s="466"/>
      <c r="O724" s="466"/>
    </row>
    <row r="725" spans="1:15" s="442" customFormat="1" x14ac:dyDescent="0.25">
      <c r="A725" s="524" t="s">
        <v>1813</v>
      </c>
      <c r="B725" s="620" t="s">
        <v>205</v>
      </c>
      <c r="C725" s="235" t="s">
        <v>193</v>
      </c>
      <c r="D725" s="249"/>
      <c r="E725" s="238"/>
      <c r="F725" s="292">
        <f>F736+F726+F754</f>
        <v>130030.39999999999</v>
      </c>
      <c r="G725" s="292">
        <f t="shared" ref="G725:J725" si="161">G736+G726+G754</f>
        <v>7125</v>
      </c>
      <c r="H725" s="292">
        <f t="shared" si="161"/>
        <v>115630.39999999999</v>
      </c>
      <c r="I725" s="292">
        <f t="shared" si="161"/>
        <v>0</v>
      </c>
      <c r="J725" s="292">
        <f t="shared" si="161"/>
        <v>115630.39999999999</v>
      </c>
      <c r="K725" s="476"/>
      <c r="L725" s="466"/>
      <c r="N725" s="466"/>
      <c r="O725" s="466"/>
    </row>
    <row r="726" spans="1:15" s="514" customFormat="1" x14ac:dyDescent="0.25">
      <c r="A726" s="521" t="s">
        <v>1999</v>
      </c>
      <c r="B726" s="620" t="s">
        <v>205</v>
      </c>
      <c r="C726" s="235" t="s">
        <v>193</v>
      </c>
      <c r="D726" s="443" t="s">
        <v>1775</v>
      </c>
      <c r="E726" s="576"/>
      <c r="F726" s="292">
        <f>F727+F731</f>
        <v>57695.5</v>
      </c>
      <c r="G726" s="476">
        <f>G727+G731</f>
        <v>7125</v>
      </c>
      <c r="H726" s="476">
        <f>H727+H731</f>
        <v>43445.5</v>
      </c>
      <c r="I726" s="476"/>
      <c r="J726" s="476">
        <f>J727+J731</f>
        <v>43445.5</v>
      </c>
      <c r="K726" s="476"/>
      <c r="L726" s="466"/>
      <c r="N726" s="466"/>
      <c r="O726" s="466"/>
    </row>
    <row r="727" spans="1:15" s="514" customFormat="1" ht="40.9" customHeight="1" x14ac:dyDescent="0.25">
      <c r="A727" s="553" t="s">
        <v>2419</v>
      </c>
      <c r="B727" s="620" t="s">
        <v>205</v>
      </c>
      <c r="C727" s="235" t="s">
        <v>193</v>
      </c>
      <c r="D727" s="443" t="s">
        <v>2269</v>
      </c>
      <c r="E727" s="238"/>
      <c r="F727" s="292">
        <f t="shared" ref="F727:H729" si="162">F728</f>
        <v>14250</v>
      </c>
      <c r="G727" s="476">
        <f t="shared" si="162"/>
        <v>7125</v>
      </c>
      <c r="H727" s="476">
        <f t="shared" si="162"/>
        <v>0</v>
      </c>
      <c r="I727" s="476"/>
      <c r="J727" s="476">
        <f>J728</f>
        <v>0</v>
      </c>
      <c r="K727" s="476"/>
      <c r="L727" s="466"/>
      <c r="N727" s="466"/>
      <c r="O727" s="466"/>
    </row>
    <row r="728" spans="1:15" s="514" customFormat="1" ht="47.25" x14ac:dyDescent="0.25">
      <c r="A728" s="524" t="s">
        <v>2221</v>
      </c>
      <c r="B728" s="615" t="s">
        <v>205</v>
      </c>
      <c r="C728" s="235" t="s">
        <v>193</v>
      </c>
      <c r="D728" s="443" t="s">
        <v>2324</v>
      </c>
      <c r="E728" s="577"/>
      <c r="F728" s="292">
        <f t="shared" si="162"/>
        <v>14250</v>
      </c>
      <c r="G728" s="476">
        <f t="shared" si="162"/>
        <v>7125</v>
      </c>
      <c r="H728" s="476">
        <f t="shared" si="162"/>
        <v>0</v>
      </c>
      <c r="I728" s="476"/>
      <c r="J728" s="476">
        <f>J729</f>
        <v>0</v>
      </c>
      <c r="K728" s="476"/>
      <c r="L728" s="466"/>
      <c r="N728" s="466"/>
      <c r="O728" s="466"/>
    </row>
    <row r="729" spans="1:15" s="514" customFormat="1" ht="31.5" x14ac:dyDescent="0.25">
      <c r="A729" s="520" t="s">
        <v>1343</v>
      </c>
      <c r="B729" s="615" t="s">
        <v>205</v>
      </c>
      <c r="C729" s="235" t="s">
        <v>193</v>
      </c>
      <c r="D729" s="443" t="s">
        <v>2324</v>
      </c>
      <c r="E729" s="577">
        <v>600</v>
      </c>
      <c r="F729" s="292">
        <f t="shared" si="162"/>
        <v>14250</v>
      </c>
      <c r="G729" s="476">
        <f t="shared" si="162"/>
        <v>7125</v>
      </c>
      <c r="H729" s="476">
        <f t="shared" si="162"/>
        <v>0</v>
      </c>
      <c r="I729" s="476"/>
      <c r="J729" s="476">
        <f>J730</f>
        <v>0</v>
      </c>
      <c r="K729" s="476"/>
      <c r="L729" s="466"/>
      <c r="N729" s="466"/>
      <c r="O729" s="466"/>
    </row>
    <row r="730" spans="1:15" s="514" customFormat="1" x14ac:dyDescent="0.25">
      <c r="A730" s="520" t="s">
        <v>1344</v>
      </c>
      <c r="B730" s="615" t="s">
        <v>205</v>
      </c>
      <c r="C730" s="235" t="s">
        <v>193</v>
      </c>
      <c r="D730" s="443" t="s">
        <v>2324</v>
      </c>
      <c r="E730" s="577">
        <v>610</v>
      </c>
      <c r="F730" s="292">
        <f>'ведом. 2021-2023'!AD379</f>
        <v>14250</v>
      </c>
      <c r="G730" s="476">
        <v>7125</v>
      </c>
      <c r="H730" s="476">
        <f>'ведом. 2021-2023'!AE379</f>
        <v>0</v>
      </c>
      <c r="I730" s="476"/>
      <c r="J730" s="476">
        <f>'ведом. 2021-2023'!AF379</f>
        <v>0</v>
      </c>
      <c r="K730" s="476"/>
      <c r="L730" s="466"/>
      <c r="N730" s="466"/>
      <c r="O730" s="466"/>
    </row>
    <row r="731" spans="1:15" s="514" customFormat="1" x14ac:dyDescent="0.25">
      <c r="A731" s="552" t="s">
        <v>2367</v>
      </c>
      <c r="B731" s="620" t="s">
        <v>205</v>
      </c>
      <c r="C731" s="235" t="s">
        <v>193</v>
      </c>
      <c r="D731" s="443" t="s">
        <v>2368</v>
      </c>
      <c r="E731" s="577"/>
      <c r="F731" s="292">
        <f>F732</f>
        <v>43445.5</v>
      </c>
      <c r="G731" s="476"/>
      <c r="H731" s="476">
        <f>H732</f>
        <v>43445.5</v>
      </c>
      <c r="I731" s="476"/>
      <c r="J731" s="476">
        <f>J732</f>
        <v>43445.5</v>
      </c>
      <c r="K731" s="476"/>
      <c r="L731" s="466"/>
      <c r="N731" s="466"/>
      <c r="O731" s="466"/>
    </row>
    <row r="732" spans="1:15" s="514" customFormat="1" ht="31.5" x14ac:dyDescent="0.25">
      <c r="A732" s="552" t="s">
        <v>2365</v>
      </c>
      <c r="B732" s="615" t="s">
        <v>205</v>
      </c>
      <c r="C732" s="235" t="s">
        <v>193</v>
      </c>
      <c r="D732" s="443" t="s">
        <v>2369</v>
      </c>
      <c r="E732" s="577"/>
      <c r="F732" s="292">
        <f>F733</f>
        <v>43445.5</v>
      </c>
      <c r="G732" s="476"/>
      <c r="H732" s="476">
        <f>H733</f>
        <v>43445.5</v>
      </c>
      <c r="I732" s="476"/>
      <c r="J732" s="476">
        <f>J733</f>
        <v>43445.5</v>
      </c>
      <c r="K732" s="476"/>
      <c r="L732" s="466"/>
      <c r="N732" s="466"/>
      <c r="O732" s="466"/>
    </row>
    <row r="733" spans="1:15" s="514" customFormat="1" ht="31.5" x14ac:dyDescent="0.25">
      <c r="A733" s="840" t="s">
        <v>2366</v>
      </c>
      <c r="B733" s="615" t="s">
        <v>205</v>
      </c>
      <c r="C733" s="235" t="s">
        <v>193</v>
      </c>
      <c r="D733" s="443" t="s">
        <v>2370</v>
      </c>
      <c r="E733" s="577"/>
      <c r="F733" s="292">
        <f>F734</f>
        <v>43445.5</v>
      </c>
      <c r="G733" s="476"/>
      <c r="H733" s="476">
        <f>H734</f>
        <v>43445.5</v>
      </c>
      <c r="I733" s="476"/>
      <c r="J733" s="476">
        <f>J734</f>
        <v>43445.5</v>
      </c>
      <c r="K733" s="476"/>
      <c r="L733" s="466"/>
      <c r="N733" s="466"/>
      <c r="O733" s="466"/>
    </row>
    <row r="734" spans="1:15" s="514" customFormat="1" ht="31.5" x14ac:dyDescent="0.25">
      <c r="A734" s="552" t="s">
        <v>1343</v>
      </c>
      <c r="B734" s="615" t="s">
        <v>205</v>
      </c>
      <c r="C734" s="235" t="s">
        <v>193</v>
      </c>
      <c r="D734" s="443" t="s">
        <v>2370</v>
      </c>
      <c r="E734" s="577">
        <v>600</v>
      </c>
      <c r="F734" s="292">
        <f>F735</f>
        <v>43445.5</v>
      </c>
      <c r="G734" s="476"/>
      <c r="H734" s="476">
        <f>H735</f>
        <v>43445.5</v>
      </c>
      <c r="I734" s="476"/>
      <c r="J734" s="476">
        <f>J735</f>
        <v>43445.5</v>
      </c>
      <c r="K734" s="476"/>
      <c r="L734" s="466"/>
      <c r="N734" s="466"/>
      <c r="O734" s="466"/>
    </row>
    <row r="735" spans="1:15" s="514" customFormat="1" x14ac:dyDescent="0.25">
      <c r="A735" s="552" t="s">
        <v>1344</v>
      </c>
      <c r="B735" s="615" t="s">
        <v>205</v>
      </c>
      <c r="C735" s="235" t="s">
        <v>193</v>
      </c>
      <c r="D735" s="443" t="s">
        <v>2370</v>
      </c>
      <c r="E735" s="577">
        <v>610</v>
      </c>
      <c r="F735" s="292">
        <f>'ведом. 2021-2023'!AD384</f>
        <v>43445.5</v>
      </c>
      <c r="G735" s="476"/>
      <c r="H735" s="476">
        <f>'ведом. 2021-2023'!AE384</f>
        <v>43445.5</v>
      </c>
      <c r="I735" s="476"/>
      <c r="J735" s="476">
        <f>'ведом. 2021-2023'!AF384</f>
        <v>43445.5</v>
      </c>
      <c r="K735" s="476"/>
      <c r="L735" s="466"/>
      <c r="N735" s="466"/>
      <c r="O735" s="466"/>
    </row>
    <row r="736" spans="1:15" s="442" customFormat="1" x14ac:dyDescent="0.25">
      <c r="A736" s="607" t="s">
        <v>2022</v>
      </c>
      <c r="B736" s="620" t="s">
        <v>205</v>
      </c>
      <c r="C736" s="235" t="s">
        <v>193</v>
      </c>
      <c r="D736" s="249" t="s">
        <v>1760</v>
      </c>
      <c r="E736" s="238"/>
      <c r="F736" s="292">
        <f>F737</f>
        <v>72114.899999999994</v>
      </c>
      <c r="G736" s="476"/>
      <c r="H736" s="476">
        <f>H737</f>
        <v>72184.899999999994</v>
      </c>
      <c r="I736" s="476"/>
      <c r="J736" s="476">
        <f>J737</f>
        <v>72184.899999999994</v>
      </c>
      <c r="K736" s="476"/>
      <c r="L736" s="466"/>
      <c r="N736" s="466"/>
      <c r="O736" s="466"/>
    </row>
    <row r="737" spans="1:15" s="442" customFormat="1" ht="31.5" x14ac:dyDescent="0.25">
      <c r="A737" s="521" t="s">
        <v>2039</v>
      </c>
      <c r="B737" s="620" t="s">
        <v>205</v>
      </c>
      <c r="C737" s="235" t="s">
        <v>193</v>
      </c>
      <c r="D737" s="443" t="s">
        <v>1779</v>
      </c>
      <c r="E737" s="581"/>
      <c r="F737" s="292">
        <f>F738+F746</f>
        <v>72114.899999999994</v>
      </c>
      <c r="G737" s="476"/>
      <c r="H737" s="476">
        <f>H738+H746</f>
        <v>72184.899999999994</v>
      </c>
      <c r="I737" s="476"/>
      <c r="J737" s="476">
        <f>J738+J746</f>
        <v>72184.899999999994</v>
      </c>
      <c r="K737" s="476"/>
      <c r="L737" s="466"/>
      <c r="N737" s="466"/>
      <c r="O737" s="466"/>
    </row>
    <row r="738" spans="1:15" s="442" customFormat="1" ht="31.5" x14ac:dyDescent="0.25">
      <c r="A738" s="521" t="s">
        <v>2040</v>
      </c>
      <c r="B738" s="620" t="s">
        <v>205</v>
      </c>
      <c r="C738" s="235" t="s">
        <v>193</v>
      </c>
      <c r="D738" s="443" t="s">
        <v>2185</v>
      </c>
      <c r="E738" s="581"/>
      <c r="F738" s="292">
        <f>F739</f>
        <v>59922.5</v>
      </c>
      <c r="G738" s="476"/>
      <c r="H738" s="476">
        <f>H739</f>
        <v>37407.800000000003</v>
      </c>
      <c r="I738" s="476"/>
      <c r="J738" s="476">
        <f>J739</f>
        <v>37407.800000000003</v>
      </c>
      <c r="K738" s="476"/>
      <c r="L738" s="466"/>
      <c r="N738" s="466"/>
      <c r="O738" s="466"/>
    </row>
    <row r="739" spans="1:15" s="442" customFormat="1" ht="31.5" x14ac:dyDescent="0.25">
      <c r="A739" s="521" t="s">
        <v>2041</v>
      </c>
      <c r="B739" s="620" t="s">
        <v>205</v>
      </c>
      <c r="C739" s="235" t="s">
        <v>193</v>
      </c>
      <c r="D739" s="443" t="s">
        <v>2186</v>
      </c>
      <c r="E739" s="598"/>
      <c r="F739" s="292">
        <f>F743+F740</f>
        <v>59922.5</v>
      </c>
      <c r="G739" s="476"/>
      <c r="H739" s="476">
        <f>H743+H740</f>
        <v>37407.800000000003</v>
      </c>
      <c r="I739" s="476"/>
      <c r="J739" s="476">
        <f>J743+J740</f>
        <v>37407.800000000003</v>
      </c>
      <c r="K739" s="476"/>
      <c r="L739" s="466"/>
      <c r="N739" s="466"/>
      <c r="O739" s="466"/>
    </row>
    <row r="740" spans="1:15" s="514" customFormat="1" ht="31.5" x14ac:dyDescent="0.25">
      <c r="A740" s="524" t="s">
        <v>2187</v>
      </c>
      <c r="B740" s="620" t="s">
        <v>205</v>
      </c>
      <c r="C740" s="235" t="s">
        <v>193</v>
      </c>
      <c r="D740" s="443" t="s">
        <v>2189</v>
      </c>
      <c r="E740" s="599"/>
      <c r="F740" s="292">
        <f>F742</f>
        <v>59737.5</v>
      </c>
      <c r="G740" s="476"/>
      <c r="H740" s="476">
        <f>H742</f>
        <v>37152.800000000003</v>
      </c>
      <c r="I740" s="476"/>
      <c r="J740" s="476">
        <f>J742</f>
        <v>37152.800000000003</v>
      </c>
      <c r="K740" s="476"/>
      <c r="L740" s="466"/>
      <c r="N740" s="466"/>
      <c r="O740" s="466"/>
    </row>
    <row r="741" spans="1:15" s="514" customFormat="1" ht="31.5" x14ac:dyDescent="0.25">
      <c r="A741" s="524" t="s">
        <v>1343</v>
      </c>
      <c r="B741" s="620" t="s">
        <v>205</v>
      </c>
      <c r="C741" s="235" t="s">
        <v>193</v>
      </c>
      <c r="D741" s="443" t="s">
        <v>2189</v>
      </c>
      <c r="E741" s="238">
        <v>600</v>
      </c>
      <c r="F741" s="292">
        <f>F742</f>
        <v>59737.5</v>
      </c>
      <c r="G741" s="476"/>
      <c r="H741" s="476">
        <f>H742</f>
        <v>37152.800000000003</v>
      </c>
      <c r="I741" s="476"/>
      <c r="J741" s="476">
        <f>J742</f>
        <v>37152.800000000003</v>
      </c>
      <c r="K741" s="476"/>
      <c r="L741" s="466"/>
      <c r="N741" s="466"/>
      <c r="O741" s="466"/>
    </row>
    <row r="742" spans="1:15" s="514" customFormat="1" x14ac:dyDescent="0.25">
      <c r="A742" s="524" t="s">
        <v>1344</v>
      </c>
      <c r="B742" s="620" t="s">
        <v>205</v>
      </c>
      <c r="C742" s="235" t="s">
        <v>193</v>
      </c>
      <c r="D742" s="443" t="s">
        <v>2189</v>
      </c>
      <c r="E742" s="238">
        <v>610</v>
      </c>
      <c r="F742" s="292">
        <f>'ведом. 2021-2023'!AD788</f>
        <v>59737.5</v>
      </c>
      <c r="G742" s="476"/>
      <c r="H742" s="476">
        <f>'ведом. 2021-2023'!AE788</f>
        <v>37152.800000000003</v>
      </c>
      <c r="I742" s="476"/>
      <c r="J742" s="476">
        <f>'ведом. 2021-2023'!AF788</f>
        <v>37152.800000000003</v>
      </c>
      <c r="K742" s="476"/>
      <c r="L742" s="466"/>
      <c r="N742" s="466"/>
      <c r="O742" s="466"/>
    </row>
    <row r="743" spans="1:15" s="442" customFormat="1" ht="31.5" x14ac:dyDescent="0.25">
      <c r="A743" s="524" t="s">
        <v>2188</v>
      </c>
      <c r="B743" s="620" t="s">
        <v>205</v>
      </c>
      <c r="C743" s="235" t="s">
        <v>193</v>
      </c>
      <c r="D743" s="443" t="s">
        <v>2190</v>
      </c>
      <c r="E743" s="581"/>
      <c r="F743" s="292">
        <f>F744</f>
        <v>185</v>
      </c>
      <c r="G743" s="476"/>
      <c r="H743" s="476">
        <f>H744</f>
        <v>255</v>
      </c>
      <c r="I743" s="476"/>
      <c r="J743" s="476">
        <f>J744</f>
        <v>255</v>
      </c>
      <c r="K743" s="476"/>
      <c r="L743" s="466"/>
      <c r="N743" s="466"/>
      <c r="O743" s="466"/>
    </row>
    <row r="744" spans="1:15" s="442" customFormat="1" ht="31.5" x14ac:dyDescent="0.25">
      <c r="A744" s="524" t="s">
        <v>1343</v>
      </c>
      <c r="B744" s="620" t="s">
        <v>205</v>
      </c>
      <c r="C744" s="235" t="s">
        <v>193</v>
      </c>
      <c r="D744" s="443" t="s">
        <v>2190</v>
      </c>
      <c r="E744" s="238">
        <v>600</v>
      </c>
      <c r="F744" s="292">
        <f>F745</f>
        <v>185</v>
      </c>
      <c r="G744" s="476"/>
      <c r="H744" s="476">
        <f>H745</f>
        <v>255</v>
      </c>
      <c r="I744" s="476"/>
      <c r="J744" s="476">
        <f>J745</f>
        <v>255</v>
      </c>
      <c r="K744" s="476"/>
      <c r="L744" s="466"/>
      <c r="N744" s="466"/>
      <c r="O744" s="466"/>
    </row>
    <row r="745" spans="1:15" s="442" customFormat="1" x14ac:dyDescent="0.25">
      <c r="A745" s="524" t="s">
        <v>1344</v>
      </c>
      <c r="B745" s="620" t="s">
        <v>205</v>
      </c>
      <c r="C745" s="235" t="s">
        <v>193</v>
      </c>
      <c r="D745" s="443" t="s">
        <v>2190</v>
      </c>
      <c r="E745" s="238">
        <v>610</v>
      </c>
      <c r="F745" s="292">
        <f>'ведом. 2021-2023'!AD791+'ведом. 2021-2023'!AD391</f>
        <v>185</v>
      </c>
      <c r="G745" s="476"/>
      <c r="H745" s="476">
        <f>'ведом. 2021-2023'!AE791+'ведом. 2021-2023'!AE391</f>
        <v>255</v>
      </c>
      <c r="I745" s="476"/>
      <c r="J745" s="476">
        <f>'ведом. 2021-2023'!AF791+'ведом. 2021-2023'!AF391</f>
        <v>255</v>
      </c>
      <c r="K745" s="476"/>
      <c r="L745" s="466"/>
      <c r="N745" s="466"/>
      <c r="O745" s="466"/>
    </row>
    <row r="746" spans="1:15" s="442" customFormat="1" ht="31.5" x14ac:dyDescent="0.25">
      <c r="A746" s="521" t="s">
        <v>2042</v>
      </c>
      <c r="B746" s="620" t="s">
        <v>205</v>
      </c>
      <c r="C746" s="235" t="s">
        <v>193</v>
      </c>
      <c r="D746" s="443" t="s">
        <v>2287</v>
      </c>
      <c r="E746" s="238"/>
      <c r="F746" s="292">
        <f>F747</f>
        <v>12192.399999999998</v>
      </c>
      <c r="G746" s="476"/>
      <c r="H746" s="476">
        <f>H747</f>
        <v>34777.1</v>
      </c>
      <c r="I746" s="476"/>
      <c r="J746" s="476">
        <f>J747</f>
        <v>34777.1</v>
      </c>
      <c r="K746" s="476"/>
      <c r="L746" s="466"/>
      <c r="N746" s="466"/>
      <c r="O746" s="466"/>
    </row>
    <row r="747" spans="1:15" s="442" customFormat="1" ht="31.5" x14ac:dyDescent="0.25">
      <c r="A747" s="522" t="s">
        <v>1840</v>
      </c>
      <c r="B747" s="620" t="s">
        <v>205</v>
      </c>
      <c r="C747" s="235" t="s">
        <v>193</v>
      </c>
      <c r="D747" s="443" t="s">
        <v>2288</v>
      </c>
      <c r="E747" s="238"/>
      <c r="F747" s="292">
        <f>F748+F752</f>
        <v>12192.399999999998</v>
      </c>
      <c r="G747" s="476"/>
      <c r="H747" s="476">
        <f>H748+H752</f>
        <v>34777.1</v>
      </c>
      <c r="I747" s="476"/>
      <c r="J747" s="476">
        <f>J748+J752</f>
        <v>34777.1</v>
      </c>
      <c r="K747" s="476"/>
      <c r="L747" s="466"/>
      <c r="N747" s="466"/>
      <c r="O747" s="466"/>
    </row>
    <row r="748" spans="1:15" s="442" customFormat="1" ht="31.5" x14ac:dyDescent="0.25">
      <c r="A748" s="524" t="s">
        <v>1343</v>
      </c>
      <c r="B748" s="620" t="s">
        <v>205</v>
      </c>
      <c r="C748" s="235" t="s">
        <v>193</v>
      </c>
      <c r="D748" s="443" t="s">
        <v>2288</v>
      </c>
      <c r="E748" s="238">
        <v>600</v>
      </c>
      <c r="F748" s="292">
        <f>F749+F750+F751</f>
        <v>11792.399999999998</v>
      </c>
      <c r="G748" s="476"/>
      <c r="H748" s="476">
        <f>H749+H750+H751</f>
        <v>34377.1</v>
      </c>
      <c r="I748" s="476"/>
      <c r="J748" s="476">
        <f>J749+J750+J751</f>
        <v>34377.1</v>
      </c>
      <c r="K748" s="476"/>
      <c r="L748" s="466"/>
      <c r="N748" s="466"/>
      <c r="O748" s="466"/>
    </row>
    <row r="749" spans="1:15" s="442" customFormat="1" x14ac:dyDescent="0.25">
      <c r="A749" s="524" t="s">
        <v>1344</v>
      </c>
      <c r="B749" s="620" t="s">
        <v>205</v>
      </c>
      <c r="C749" s="235" t="s">
        <v>193</v>
      </c>
      <c r="D749" s="443" t="s">
        <v>2288</v>
      </c>
      <c r="E749" s="238">
        <v>610</v>
      </c>
      <c r="F749" s="292">
        <f>'ведом. 2021-2023'!AD795</f>
        <v>11292.399999999998</v>
      </c>
      <c r="G749" s="476"/>
      <c r="H749" s="476">
        <f>'ведом. 2021-2023'!AE795</f>
        <v>33877.1</v>
      </c>
      <c r="I749" s="476"/>
      <c r="J749" s="476">
        <f>'ведом. 2021-2023'!AF795</f>
        <v>33877.1</v>
      </c>
      <c r="K749" s="476"/>
      <c r="L749" s="466"/>
      <c r="N749" s="466"/>
      <c r="O749" s="466"/>
    </row>
    <row r="750" spans="1:15" s="514" customFormat="1" x14ac:dyDescent="0.25">
      <c r="A750" s="520" t="s">
        <v>1801</v>
      </c>
      <c r="B750" s="620" t="s">
        <v>205</v>
      </c>
      <c r="C750" s="235" t="s">
        <v>193</v>
      </c>
      <c r="D750" s="443" t="s">
        <v>2288</v>
      </c>
      <c r="E750" s="238">
        <v>620</v>
      </c>
      <c r="F750" s="292">
        <f>'ведом. 2021-2023'!AD796</f>
        <v>250</v>
      </c>
      <c r="G750" s="476"/>
      <c r="H750" s="476">
        <f>'ведом. 2021-2023'!AE796</f>
        <v>250</v>
      </c>
      <c r="I750" s="476"/>
      <c r="J750" s="476">
        <f>'ведом. 2021-2023'!AF796</f>
        <v>250</v>
      </c>
      <c r="K750" s="476"/>
      <c r="L750" s="466"/>
      <c r="N750" s="466"/>
      <c r="O750" s="466"/>
    </row>
    <row r="751" spans="1:15" s="514" customFormat="1" ht="47.25" x14ac:dyDescent="0.25">
      <c r="A751" s="552" t="s">
        <v>2301</v>
      </c>
      <c r="B751" s="620" t="s">
        <v>205</v>
      </c>
      <c r="C751" s="235" t="s">
        <v>193</v>
      </c>
      <c r="D751" s="443" t="s">
        <v>2288</v>
      </c>
      <c r="E751" s="238">
        <v>630</v>
      </c>
      <c r="F751" s="292">
        <f>'ведом. 2021-2023'!AD797</f>
        <v>250</v>
      </c>
      <c r="G751" s="476"/>
      <c r="H751" s="476">
        <f>'ведом. 2021-2023'!AE797</f>
        <v>250</v>
      </c>
      <c r="I751" s="476"/>
      <c r="J751" s="476">
        <f>'ведом. 2021-2023'!AF797</f>
        <v>250</v>
      </c>
      <c r="K751" s="476"/>
      <c r="L751" s="466"/>
      <c r="N751" s="466"/>
      <c r="O751" s="466"/>
    </row>
    <row r="752" spans="1:15" s="514" customFormat="1" x14ac:dyDescent="0.25">
      <c r="A752" s="520" t="s">
        <v>924</v>
      </c>
      <c r="B752" s="620" t="s">
        <v>205</v>
      </c>
      <c r="C752" s="235" t="s">
        <v>193</v>
      </c>
      <c r="D752" s="443" t="s">
        <v>2288</v>
      </c>
      <c r="E752" s="238">
        <v>800</v>
      </c>
      <c r="F752" s="292">
        <f>F753</f>
        <v>400</v>
      </c>
      <c r="G752" s="476"/>
      <c r="H752" s="476">
        <f>H753</f>
        <v>400</v>
      </c>
      <c r="I752" s="476"/>
      <c r="J752" s="476">
        <f>J753</f>
        <v>400</v>
      </c>
      <c r="K752" s="476"/>
      <c r="L752" s="466"/>
      <c r="N752" s="466"/>
      <c r="O752" s="466"/>
    </row>
    <row r="753" spans="1:15" s="514" customFormat="1" ht="31.5" x14ac:dyDescent="0.25">
      <c r="A753" s="552" t="s">
        <v>1783</v>
      </c>
      <c r="B753" s="620" t="s">
        <v>205</v>
      </c>
      <c r="C753" s="235" t="s">
        <v>193</v>
      </c>
      <c r="D753" s="443" t="s">
        <v>2288</v>
      </c>
      <c r="E753" s="238">
        <v>810</v>
      </c>
      <c r="F753" s="292">
        <f>'ведом. 2021-2023'!AD799</f>
        <v>400</v>
      </c>
      <c r="G753" s="476"/>
      <c r="H753" s="476">
        <f>'ведом. 2021-2023'!AE799</f>
        <v>400</v>
      </c>
      <c r="I753" s="476"/>
      <c r="J753" s="476">
        <f>'ведом. 2021-2023'!AF799</f>
        <v>400</v>
      </c>
      <c r="K753" s="476"/>
      <c r="L753" s="466"/>
      <c r="N753" s="466"/>
      <c r="O753" s="466"/>
    </row>
    <row r="754" spans="1:15" s="514" customFormat="1" ht="31.5" x14ac:dyDescent="0.25">
      <c r="A754" s="549" t="s">
        <v>1854</v>
      </c>
      <c r="B754" s="235" t="s">
        <v>205</v>
      </c>
      <c r="C754" s="235" t="s">
        <v>193</v>
      </c>
      <c r="D754" s="249" t="s">
        <v>1762</v>
      </c>
      <c r="E754" s="577"/>
      <c r="F754" s="292">
        <f>F755</f>
        <v>220</v>
      </c>
      <c r="G754" s="292"/>
      <c r="H754" s="292">
        <f t="shared" ref="H754:J754" si="163">H755</f>
        <v>0</v>
      </c>
      <c r="I754" s="292"/>
      <c r="J754" s="292">
        <f t="shared" si="163"/>
        <v>0</v>
      </c>
      <c r="K754" s="476"/>
      <c r="L754" s="466"/>
      <c r="N754" s="466"/>
      <c r="O754" s="466"/>
    </row>
    <row r="755" spans="1:15" s="514" customFormat="1" ht="31.5" x14ac:dyDescent="0.25">
      <c r="A755" s="549" t="s">
        <v>2277</v>
      </c>
      <c r="B755" s="235" t="s">
        <v>205</v>
      </c>
      <c r="C755" s="235" t="s">
        <v>193</v>
      </c>
      <c r="D755" s="443" t="s">
        <v>1764</v>
      </c>
      <c r="E755" s="238"/>
      <c r="F755" s="292">
        <f>F756</f>
        <v>220</v>
      </c>
      <c r="G755" s="292"/>
      <c r="H755" s="292">
        <f t="shared" ref="H755:J755" si="164">H756</f>
        <v>0</v>
      </c>
      <c r="I755" s="292"/>
      <c r="J755" s="292">
        <f t="shared" si="164"/>
        <v>0</v>
      </c>
      <c r="K755" s="476"/>
      <c r="L755" s="466"/>
      <c r="N755" s="466"/>
      <c r="O755" s="466"/>
    </row>
    <row r="756" spans="1:15" s="514" customFormat="1" x14ac:dyDescent="0.25">
      <c r="A756" s="530" t="s">
        <v>1881</v>
      </c>
      <c r="B756" s="235" t="s">
        <v>205</v>
      </c>
      <c r="C756" s="235" t="s">
        <v>193</v>
      </c>
      <c r="D756" s="443" t="s">
        <v>1790</v>
      </c>
      <c r="E756" s="580"/>
      <c r="F756" s="292">
        <f>F757</f>
        <v>220</v>
      </c>
      <c r="G756" s="292"/>
      <c r="H756" s="292">
        <f t="shared" ref="H756:J756" si="165">H757</f>
        <v>0</v>
      </c>
      <c r="I756" s="292"/>
      <c r="J756" s="292">
        <f t="shared" si="165"/>
        <v>0</v>
      </c>
      <c r="K756" s="476"/>
      <c r="L756" s="466"/>
      <c r="N756" s="466"/>
      <c r="O756" s="466"/>
    </row>
    <row r="757" spans="1:15" s="514" customFormat="1" x14ac:dyDescent="0.25">
      <c r="A757" s="520" t="s">
        <v>1877</v>
      </c>
      <c r="B757" s="235" t="s">
        <v>205</v>
      </c>
      <c r="C757" s="235" t="s">
        <v>193</v>
      </c>
      <c r="D757" s="443" t="s">
        <v>1878</v>
      </c>
      <c r="E757" s="238"/>
      <c r="F757" s="292">
        <f>F758</f>
        <v>220</v>
      </c>
      <c r="G757" s="292"/>
      <c r="H757" s="292">
        <f t="shared" ref="H757:J757" si="166">H758</f>
        <v>0</v>
      </c>
      <c r="I757" s="292"/>
      <c r="J757" s="292">
        <f t="shared" si="166"/>
        <v>0</v>
      </c>
      <c r="K757" s="476"/>
      <c r="L757" s="466"/>
      <c r="N757" s="466"/>
      <c r="O757" s="466"/>
    </row>
    <row r="758" spans="1:15" s="514" customFormat="1" ht="31.5" x14ac:dyDescent="0.25">
      <c r="A758" s="520" t="s">
        <v>1343</v>
      </c>
      <c r="B758" s="235" t="s">
        <v>205</v>
      </c>
      <c r="C758" s="235" t="s">
        <v>193</v>
      </c>
      <c r="D758" s="443" t="s">
        <v>1878</v>
      </c>
      <c r="E758" s="577">
        <v>600</v>
      </c>
      <c r="F758" s="292">
        <f>F759</f>
        <v>220</v>
      </c>
      <c r="G758" s="292"/>
      <c r="H758" s="292">
        <f t="shared" ref="H758:J758" si="167">H759</f>
        <v>0</v>
      </c>
      <c r="I758" s="292"/>
      <c r="J758" s="292">
        <f t="shared" si="167"/>
        <v>0</v>
      </c>
      <c r="K758" s="476"/>
      <c r="L758" s="466"/>
      <c r="N758" s="466"/>
      <c r="O758" s="466"/>
    </row>
    <row r="759" spans="1:15" s="514" customFormat="1" x14ac:dyDescent="0.25">
      <c r="A759" s="520" t="s">
        <v>1344</v>
      </c>
      <c r="B759" s="235" t="s">
        <v>205</v>
      </c>
      <c r="C759" s="235" t="s">
        <v>193</v>
      </c>
      <c r="D759" s="443" t="s">
        <v>1878</v>
      </c>
      <c r="E759" s="577">
        <v>610</v>
      </c>
      <c r="F759" s="292">
        <f>'ведом. 2021-2023'!AD397</f>
        <v>220</v>
      </c>
      <c r="G759" s="476"/>
      <c r="H759" s="476">
        <f>'ведом. 2021-2023'!AE397</f>
        <v>0</v>
      </c>
      <c r="I759" s="476"/>
      <c r="J759" s="476">
        <f>'ведом. 2021-2023'!AF397</f>
        <v>0</v>
      </c>
      <c r="K759" s="476"/>
      <c r="L759" s="466"/>
      <c r="N759" s="466"/>
      <c r="O759" s="466"/>
    </row>
    <row r="760" spans="1:15" s="442" customFormat="1" x14ac:dyDescent="0.25">
      <c r="A760" s="524" t="s">
        <v>1814</v>
      </c>
      <c r="B760" s="615" t="s">
        <v>205</v>
      </c>
      <c r="C760" s="235" t="s">
        <v>205</v>
      </c>
      <c r="D760" s="249"/>
      <c r="E760" s="577"/>
      <c r="F760" s="292">
        <f>F761+F771</f>
        <v>1868.5</v>
      </c>
      <c r="G760" s="476"/>
      <c r="H760" s="476">
        <f>H761+H771</f>
        <v>1620.5</v>
      </c>
      <c r="I760" s="476"/>
      <c r="J760" s="476">
        <f>J761+J771</f>
        <v>1620.5</v>
      </c>
      <c r="K760" s="476"/>
      <c r="L760" s="466"/>
      <c r="N760" s="466"/>
      <c r="O760" s="466"/>
    </row>
    <row r="761" spans="1:15" s="442" customFormat="1" ht="31.5" x14ac:dyDescent="0.25">
      <c r="A761" s="521" t="s">
        <v>1854</v>
      </c>
      <c r="B761" s="615" t="s">
        <v>205</v>
      </c>
      <c r="C761" s="235" t="s">
        <v>205</v>
      </c>
      <c r="D761" s="249" t="s">
        <v>1762</v>
      </c>
      <c r="E761" s="577"/>
      <c r="F761" s="292">
        <f>F762</f>
        <v>355.5</v>
      </c>
      <c r="G761" s="476"/>
      <c r="H761" s="476">
        <f>H762</f>
        <v>355.5</v>
      </c>
      <c r="I761" s="476"/>
      <c r="J761" s="476">
        <f>J762</f>
        <v>355.5</v>
      </c>
      <c r="K761" s="476"/>
      <c r="L761" s="466"/>
      <c r="N761" s="466"/>
      <c r="O761" s="466"/>
    </row>
    <row r="762" spans="1:15" s="442" customFormat="1" x14ac:dyDescent="0.25">
      <c r="A762" s="521" t="s">
        <v>1855</v>
      </c>
      <c r="B762" s="615" t="s">
        <v>205</v>
      </c>
      <c r="C762" s="235" t="s">
        <v>205</v>
      </c>
      <c r="D762" s="249" t="s">
        <v>1766</v>
      </c>
      <c r="E762" s="577"/>
      <c r="F762" s="292">
        <f>F763+F767</f>
        <v>355.5</v>
      </c>
      <c r="G762" s="476"/>
      <c r="H762" s="476">
        <f>H763+H767</f>
        <v>355.5</v>
      </c>
      <c r="I762" s="476"/>
      <c r="J762" s="476">
        <f>J763+J767</f>
        <v>355.5</v>
      </c>
      <c r="K762" s="476"/>
      <c r="L762" s="466"/>
      <c r="N762" s="466"/>
      <c r="O762" s="466"/>
    </row>
    <row r="763" spans="1:15" s="442" customFormat="1" ht="47.25" x14ac:dyDescent="0.25">
      <c r="A763" s="530" t="s">
        <v>2256</v>
      </c>
      <c r="B763" s="615" t="s">
        <v>205</v>
      </c>
      <c r="C763" s="235" t="s">
        <v>205</v>
      </c>
      <c r="D763" s="443" t="s">
        <v>1862</v>
      </c>
      <c r="E763" s="577"/>
      <c r="F763" s="292">
        <f>F764</f>
        <v>292</v>
      </c>
      <c r="G763" s="476"/>
      <c r="H763" s="476">
        <f>H764</f>
        <v>292</v>
      </c>
      <c r="I763" s="476"/>
      <c r="J763" s="476">
        <f>J764</f>
        <v>292</v>
      </c>
      <c r="K763" s="476"/>
      <c r="L763" s="466"/>
      <c r="N763" s="466"/>
      <c r="O763" s="466"/>
    </row>
    <row r="764" spans="1:15" s="442" customFormat="1" ht="47.25" x14ac:dyDescent="0.25">
      <c r="A764" s="521" t="s">
        <v>1856</v>
      </c>
      <c r="B764" s="615" t="s">
        <v>205</v>
      </c>
      <c r="C764" s="235" t="s">
        <v>205</v>
      </c>
      <c r="D764" s="443" t="s">
        <v>1863</v>
      </c>
      <c r="E764" s="577"/>
      <c r="F764" s="292">
        <f>F765</f>
        <v>292</v>
      </c>
      <c r="G764" s="476"/>
      <c r="H764" s="476">
        <f>H765</f>
        <v>292</v>
      </c>
      <c r="I764" s="476"/>
      <c r="J764" s="476">
        <f>J765</f>
        <v>292</v>
      </c>
      <c r="K764" s="476"/>
      <c r="L764" s="466"/>
      <c r="N764" s="466"/>
      <c r="O764" s="466"/>
    </row>
    <row r="765" spans="1:15" s="442" customFormat="1" x14ac:dyDescent="0.25">
      <c r="A765" s="524" t="s">
        <v>1782</v>
      </c>
      <c r="B765" s="615" t="s">
        <v>205</v>
      </c>
      <c r="C765" s="235" t="s">
        <v>205</v>
      </c>
      <c r="D765" s="443" t="s">
        <v>1863</v>
      </c>
      <c r="E765" s="238">
        <v>200</v>
      </c>
      <c r="F765" s="292">
        <f>F766</f>
        <v>292</v>
      </c>
      <c r="G765" s="476"/>
      <c r="H765" s="476">
        <f>H766</f>
        <v>292</v>
      </c>
      <c r="I765" s="476"/>
      <c r="J765" s="476">
        <f>J766</f>
        <v>292</v>
      </c>
      <c r="K765" s="476"/>
      <c r="L765" s="466"/>
      <c r="N765" s="466"/>
      <c r="O765" s="466"/>
    </row>
    <row r="766" spans="1:15" s="442" customFormat="1" ht="31.5" x14ac:dyDescent="0.25">
      <c r="A766" s="524" t="s">
        <v>1274</v>
      </c>
      <c r="B766" s="615" t="s">
        <v>205</v>
      </c>
      <c r="C766" s="235" t="s">
        <v>205</v>
      </c>
      <c r="D766" s="443" t="s">
        <v>1863</v>
      </c>
      <c r="E766" s="238">
        <v>240</v>
      </c>
      <c r="F766" s="292">
        <f>'ведом. 2021-2023'!AD404</f>
        <v>292</v>
      </c>
      <c r="G766" s="476"/>
      <c r="H766" s="476">
        <f>'ведом. 2021-2023'!AE404</f>
        <v>292</v>
      </c>
      <c r="I766" s="476"/>
      <c r="J766" s="476">
        <f>'ведом. 2021-2023'!AF404</f>
        <v>292</v>
      </c>
      <c r="K766" s="476"/>
      <c r="L766" s="466"/>
      <c r="N766" s="466"/>
      <c r="O766" s="466"/>
    </row>
    <row r="767" spans="1:15" s="442" customFormat="1" ht="78.75" x14ac:dyDescent="0.25">
      <c r="A767" s="524" t="s">
        <v>1868</v>
      </c>
      <c r="B767" s="615" t="s">
        <v>205</v>
      </c>
      <c r="C767" s="235" t="s">
        <v>205</v>
      </c>
      <c r="D767" s="465" t="s">
        <v>1869</v>
      </c>
      <c r="E767" s="238"/>
      <c r="F767" s="292">
        <f>F768</f>
        <v>63.5</v>
      </c>
      <c r="G767" s="476"/>
      <c r="H767" s="476">
        <f>H768</f>
        <v>63.5</v>
      </c>
      <c r="I767" s="476"/>
      <c r="J767" s="476">
        <f>J768</f>
        <v>63.5</v>
      </c>
      <c r="K767" s="476"/>
      <c r="L767" s="466"/>
      <c r="N767" s="466"/>
      <c r="O767" s="466"/>
    </row>
    <row r="768" spans="1:15" s="442" customFormat="1" ht="63" x14ac:dyDescent="0.25">
      <c r="A768" s="529" t="s">
        <v>1870</v>
      </c>
      <c r="B768" s="615" t="s">
        <v>205</v>
      </c>
      <c r="C768" s="235" t="s">
        <v>205</v>
      </c>
      <c r="D768" s="443" t="s">
        <v>1871</v>
      </c>
      <c r="E768" s="238"/>
      <c r="F768" s="292">
        <f>F769</f>
        <v>63.5</v>
      </c>
      <c r="G768" s="476"/>
      <c r="H768" s="476">
        <f>H769</f>
        <v>63.5</v>
      </c>
      <c r="I768" s="476"/>
      <c r="J768" s="476">
        <f>J769</f>
        <v>63.5</v>
      </c>
      <c r="K768" s="476"/>
      <c r="L768" s="466"/>
      <c r="N768" s="466"/>
      <c r="O768" s="466"/>
    </row>
    <row r="769" spans="1:15" s="442" customFormat="1" x14ac:dyDescent="0.25">
      <c r="A769" s="524" t="s">
        <v>1782</v>
      </c>
      <c r="B769" s="246" t="s">
        <v>205</v>
      </c>
      <c r="C769" s="255" t="s">
        <v>205</v>
      </c>
      <c r="D769" s="443" t="s">
        <v>1871</v>
      </c>
      <c r="E769" s="238">
        <v>200</v>
      </c>
      <c r="F769" s="292">
        <f>F770</f>
        <v>63.5</v>
      </c>
      <c r="G769" s="476"/>
      <c r="H769" s="476">
        <f>H770</f>
        <v>63.5</v>
      </c>
      <c r="I769" s="476"/>
      <c r="J769" s="476">
        <f>J770</f>
        <v>63.5</v>
      </c>
      <c r="K769" s="476"/>
      <c r="L769" s="466"/>
      <c r="N769" s="466"/>
      <c r="O769" s="466"/>
    </row>
    <row r="770" spans="1:15" s="442" customFormat="1" ht="31.5" x14ac:dyDescent="0.25">
      <c r="A770" s="524" t="s">
        <v>1274</v>
      </c>
      <c r="B770" s="246" t="s">
        <v>205</v>
      </c>
      <c r="C770" s="255" t="s">
        <v>205</v>
      </c>
      <c r="D770" s="443" t="s">
        <v>1871</v>
      </c>
      <c r="E770" s="238">
        <v>240</v>
      </c>
      <c r="F770" s="292">
        <f>'ведом. 2021-2023'!AD408</f>
        <v>63.5</v>
      </c>
      <c r="G770" s="476"/>
      <c r="H770" s="476">
        <f>'ведом. 2021-2023'!AE408</f>
        <v>63.5</v>
      </c>
      <c r="I770" s="476"/>
      <c r="J770" s="476">
        <f>'ведом. 2021-2023'!AF408</f>
        <v>63.5</v>
      </c>
      <c r="K770" s="476"/>
      <c r="L770" s="466"/>
      <c r="N770" s="466"/>
      <c r="O770" s="466"/>
    </row>
    <row r="771" spans="1:15" s="442" customFormat="1" ht="31.5" x14ac:dyDescent="0.25">
      <c r="A771" s="521" t="s">
        <v>2104</v>
      </c>
      <c r="B771" s="615" t="s">
        <v>205</v>
      </c>
      <c r="C771" s="235" t="s">
        <v>205</v>
      </c>
      <c r="D771" s="443" t="s">
        <v>1806</v>
      </c>
      <c r="E771" s="238"/>
      <c r="F771" s="292">
        <f>F772</f>
        <v>1513</v>
      </c>
      <c r="G771" s="476"/>
      <c r="H771" s="476">
        <f>H772</f>
        <v>1265</v>
      </c>
      <c r="I771" s="476"/>
      <c r="J771" s="476">
        <f>J772</f>
        <v>1265</v>
      </c>
      <c r="K771" s="476"/>
      <c r="L771" s="466"/>
      <c r="N771" s="466"/>
      <c r="O771" s="466"/>
    </row>
    <row r="772" spans="1:15" s="442" customFormat="1" x14ac:dyDescent="0.25">
      <c r="A772" s="521" t="s">
        <v>2113</v>
      </c>
      <c r="B772" s="246" t="s">
        <v>205</v>
      </c>
      <c r="C772" s="255" t="s">
        <v>205</v>
      </c>
      <c r="D772" s="443" t="s">
        <v>2114</v>
      </c>
      <c r="E772" s="238"/>
      <c r="F772" s="292">
        <f>F773</f>
        <v>1513</v>
      </c>
      <c r="G772" s="476"/>
      <c r="H772" s="476">
        <f>H773</f>
        <v>1265</v>
      </c>
      <c r="I772" s="476"/>
      <c r="J772" s="476">
        <f>J773</f>
        <v>1265</v>
      </c>
      <c r="K772" s="476"/>
      <c r="L772" s="466"/>
      <c r="N772" s="466"/>
      <c r="O772" s="466"/>
    </row>
    <row r="773" spans="1:15" s="442" customFormat="1" ht="47.25" x14ac:dyDescent="0.25">
      <c r="A773" s="529" t="s">
        <v>2115</v>
      </c>
      <c r="B773" s="246" t="s">
        <v>205</v>
      </c>
      <c r="C773" s="255" t="s">
        <v>205</v>
      </c>
      <c r="D773" s="443" t="s">
        <v>2116</v>
      </c>
      <c r="E773" s="238"/>
      <c r="F773" s="292">
        <f>F774</f>
        <v>1513</v>
      </c>
      <c r="G773" s="476"/>
      <c r="H773" s="476">
        <f>H774</f>
        <v>1265</v>
      </c>
      <c r="I773" s="476"/>
      <c r="J773" s="476">
        <f>J774</f>
        <v>1265</v>
      </c>
      <c r="K773" s="476"/>
      <c r="L773" s="466"/>
      <c r="N773" s="466"/>
      <c r="O773" s="466"/>
    </row>
    <row r="774" spans="1:15" s="442" customFormat="1" ht="31.5" x14ac:dyDescent="0.25">
      <c r="A774" s="529" t="s">
        <v>2117</v>
      </c>
      <c r="B774" s="615" t="s">
        <v>205</v>
      </c>
      <c r="C774" s="235" t="s">
        <v>205</v>
      </c>
      <c r="D774" s="443" t="s">
        <v>2118</v>
      </c>
      <c r="E774" s="238"/>
      <c r="F774" s="292">
        <f>F775+F777</f>
        <v>1513</v>
      </c>
      <c r="G774" s="292"/>
      <c r="H774" s="292">
        <f>H775+H777</f>
        <v>1265</v>
      </c>
      <c r="I774" s="292"/>
      <c r="J774" s="292">
        <f>J775+J777</f>
        <v>1265</v>
      </c>
      <c r="K774" s="476"/>
      <c r="L774" s="466"/>
      <c r="N774" s="466"/>
      <c r="O774" s="466"/>
    </row>
    <row r="775" spans="1:15" s="442" customFormat="1" x14ac:dyDescent="0.25">
      <c r="A775" s="524" t="s">
        <v>1782</v>
      </c>
      <c r="B775" s="246" t="s">
        <v>205</v>
      </c>
      <c r="C775" s="255" t="s">
        <v>205</v>
      </c>
      <c r="D775" s="443" t="s">
        <v>2118</v>
      </c>
      <c r="E775" s="238">
        <v>200</v>
      </c>
      <c r="F775" s="292">
        <f>F776</f>
        <v>430</v>
      </c>
      <c r="G775" s="483"/>
      <c r="H775" s="476">
        <f>H776</f>
        <v>775</v>
      </c>
      <c r="I775" s="483"/>
      <c r="J775" s="476">
        <f>J776</f>
        <v>775</v>
      </c>
      <c r="K775" s="483"/>
      <c r="L775" s="466"/>
      <c r="N775" s="466"/>
      <c r="O775" s="466"/>
    </row>
    <row r="776" spans="1:15" s="442" customFormat="1" ht="31.5" x14ac:dyDescent="0.25">
      <c r="A776" s="524" t="s">
        <v>1274</v>
      </c>
      <c r="B776" s="246" t="s">
        <v>205</v>
      </c>
      <c r="C776" s="255" t="s">
        <v>205</v>
      </c>
      <c r="D776" s="443" t="s">
        <v>2118</v>
      </c>
      <c r="E776" s="238">
        <v>240</v>
      </c>
      <c r="F776" s="292">
        <f>'ведом. 2021-2023'!AD414</f>
        <v>430</v>
      </c>
      <c r="G776" s="476"/>
      <c r="H776" s="476">
        <f>'ведом. 2021-2023'!AE414</f>
        <v>775</v>
      </c>
      <c r="I776" s="476"/>
      <c r="J776" s="476">
        <f>'ведом. 2021-2023'!AF414</f>
        <v>775</v>
      </c>
      <c r="K776" s="476"/>
      <c r="L776" s="466"/>
      <c r="N776" s="466"/>
      <c r="O776" s="466"/>
    </row>
    <row r="777" spans="1:15" s="504" customFormat="1" ht="31.5" x14ac:dyDescent="0.25">
      <c r="A777" s="520" t="s">
        <v>1343</v>
      </c>
      <c r="B777" s="246" t="s">
        <v>205</v>
      </c>
      <c r="C777" s="255" t="s">
        <v>205</v>
      </c>
      <c r="D777" s="443" t="s">
        <v>2118</v>
      </c>
      <c r="E777" s="238">
        <v>600</v>
      </c>
      <c r="F777" s="292">
        <f>F778</f>
        <v>1083</v>
      </c>
      <c r="G777" s="292"/>
      <c r="H777" s="292">
        <f>H778</f>
        <v>490</v>
      </c>
      <c r="I777" s="292"/>
      <c r="J777" s="292">
        <f>J778</f>
        <v>490</v>
      </c>
      <c r="K777" s="476"/>
      <c r="L777" s="466"/>
      <c r="N777" s="466"/>
      <c r="O777" s="466"/>
    </row>
    <row r="778" spans="1:15" s="504" customFormat="1" x14ac:dyDescent="0.25">
      <c r="A778" s="520" t="s">
        <v>1344</v>
      </c>
      <c r="B778" s="246" t="s">
        <v>205</v>
      </c>
      <c r="C778" s="255" t="s">
        <v>205</v>
      </c>
      <c r="D778" s="443" t="s">
        <v>2118</v>
      </c>
      <c r="E778" s="238">
        <v>610</v>
      </c>
      <c r="F778" s="292">
        <f>'ведом. 2021-2023'!AD806+'ведом. 2021-2023'!AD416</f>
        <v>1083</v>
      </c>
      <c r="G778" s="476"/>
      <c r="H778" s="476">
        <f>'ведом. 2021-2023'!AE806</f>
        <v>490</v>
      </c>
      <c r="I778" s="476"/>
      <c r="J778" s="476">
        <f>'ведом. 2021-2023'!AF806</f>
        <v>490</v>
      </c>
      <c r="K778" s="476"/>
      <c r="L778" s="466"/>
      <c r="N778" s="466"/>
      <c r="O778" s="466"/>
    </row>
    <row r="779" spans="1:15" s="442" customFormat="1" x14ac:dyDescent="0.25">
      <c r="A779" s="524" t="s">
        <v>840</v>
      </c>
      <c r="B779" s="615" t="s">
        <v>205</v>
      </c>
      <c r="C779" s="235" t="s">
        <v>406</v>
      </c>
      <c r="D779" s="249"/>
      <c r="E779" s="238"/>
      <c r="F779" s="292">
        <f t="shared" ref="F779:K779" si="168">F780+F803+F817+F823</f>
        <v>25298.500000000004</v>
      </c>
      <c r="G779" s="476">
        <f t="shared" si="168"/>
        <v>6477.2999999999993</v>
      </c>
      <c r="H779" s="476">
        <f t="shared" si="168"/>
        <v>41484.200000000004</v>
      </c>
      <c r="I779" s="476">
        <f t="shared" si="168"/>
        <v>22278.199999999997</v>
      </c>
      <c r="J779" s="476">
        <f t="shared" si="168"/>
        <v>21692.9</v>
      </c>
      <c r="K779" s="476">
        <f t="shared" si="168"/>
        <v>3573</v>
      </c>
      <c r="L779" s="466"/>
      <c r="N779" s="466"/>
      <c r="O779" s="466"/>
    </row>
    <row r="780" spans="1:15" s="442" customFormat="1" x14ac:dyDescent="0.25">
      <c r="A780" s="607" t="s">
        <v>2022</v>
      </c>
      <c r="B780" s="615" t="s">
        <v>205</v>
      </c>
      <c r="C780" s="235" t="s">
        <v>406</v>
      </c>
      <c r="D780" s="249" t="s">
        <v>1760</v>
      </c>
      <c r="E780" s="577"/>
      <c r="F780" s="292">
        <f t="shared" ref="F780:K780" si="169">F781+F786</f>
        <v>17489.400000000001</v>
      </c>
      <c r="G780" s="476">
        <f t="shared" si="169"/>
        <v>857</v>
      </c>
      <c r="H780" s="476">
        <f t="shared" si="169"/>
        <v>16889.400000000001</v>
      </c>
      <c r="I780" s="476">
        <f t="shared" si="169"/>
        <v>857</v>
      </c>
      <c r="J780" s="476">
        <f t="shared" si="169"/>
        <v>16889.400000000001</v>
      </c>
      <c r="K780" s="476">
        <f t="shared" si="169"/>
        <v>857</v>
      </c>
      <c r="L780" s="466"/>
      <c r="N780" s="466"/>
      <c r="O780" s="466"/>
    </row>
    <row r="781" spans="1:15" s="442" customFormat="1" x14ac:dyDescent="0.25">
      <c r="A781" s="521" t="s">
        <v>2023</v>
      </c>
      <c r="B781" s="615" t="s">
        <v>205</v>
      </c>
      <c r="C781" s="235" t="s">
        <v>406</v>
      </c>
      <c r="D781" s="249" t="s">
        <v>1778</v>
      </c>
      <c r="E781" s="577"/>
      <c r="F781" s="292">
        <f t="shared" ref="F781:K784" si="170">F782</f>
        <v>857</v>
      </c>
      <c r="G781" s="476">
        <f t="shared" si="170"/>
        <v>857</v>
      </c>
      <c r="H781" s="476">
        <f t="shared" si="170"/>
        <v>857</v>
      </c>
      <c r="I781" s="476">
        <f t="shared" si="170"/>
        <v>857</v>
      </c>
      <c r="J781" s="476">
        <f t="shared" si="170"/>
        <v>857</v>
      </c>
      <c r="K781" s="476">
        <f t="shared" si="170"/>
        <v>857</v>
      </c>
      <c r="L781" s="466"/>
      <c r="N781" s="466"/>
      <c r="O781" s="466"/>
    </row>
    <row r="782" spans="1:15" s="442" customFormat="1" ht="31.5" x14ac:dyDescent="0.25">
      <c r="A782" s="521" t="s">
        <v>2024</v>
      </c>
      <c r="B782" s="615" t="s">
        <v>205</v>
      </c>
      <c r="C782" s="235" t="s">
        <v>406</v>
      </c>
      <c r="D782" s="443" t="s">
        <v>1792</v>
      </c>
      <c r="E782" s="577"/>
      <c r="F782" s="292">
        <f t="shared" si="170"/>
        <v>857</v>
      </c>
      <c r="G782" s="476">
        <f t="shared" si="170"/>
        <v>857</v>
      </c>
      <c r="H782" s="476">
        <f t="shared" si="170"/>
        <v>857</v>
      </c>
      <c r="I782" s="476">
        <f t="shared" si="170"/>
        <v>857</v>
      </c>
      <c r="J782" s="476">
        <f t="shared" si="170"/>
        <v>857</v>
      </c>
      <c r="K782" s="476">
        <f t="shared" si="170"/>
        <v>857</v>
      </c>
      <c r="L782" s="466"/>
      <c r="N782" s="466"/>
      <c r="O782" s="466"/>
    </row>
    <row r="783" spans="1:15" s="442" customFormat="1" ht="47.25" x14ac:dyDescent="0.25">
      <c r="A783" s="524" t="s">
        <v>1785</v>
      </c>
      <c r="B783" s="615" t="s">
        <v>205</v>
      </c>
      <c r="C783" s="235" t="s">
        <v>406</v>
      </c>
      <c r="D783" s="443" t="s">
        <v>2167</v>
      </c>
      <c r="E783" s="238"/>
      <c r="F783" s="292">
        <f t="shared" ref="F783:K783" si="171">F784</f>
        <v>857</v>
      </c>
      <c r="G783" s="476">
        <f t="shared" si="171"/>
        <v>857</v>
      </c>
      <c r="H783" s="476">
        <f t="shared" si="171"/>
        <v>857</v>
      </c>
      <c r="I783" s="476">
        <f t="shared" si="171"/>
        <v>857</v>
      </c>
      <c r="J783" s="476">
        <f t="shared" si="171"/>
        <v>857</v>
      </c>
      <c r="K783" s="476">
        <f t="shared" si="171"/>
        <v>857</v>
      </c>
      <c r="L783" s="466"/>
      <c r="N783" s="466"/>
      <c r="O783" s="466"/>
    </row>
    <row r="784" spans="1:15" s="442" customFormat="1" ht="31.5" x14ac:dyDescent="0.25">
      <c r="A784" s="524" t="s">
        <v>1343</v>
      </c>
      <c r="B784" s="615" t="s">
        <v>205</v>
      </c>
      <c r="C784" s="235" t="s">
        <v>406</v>
      </c>
      <c r="D784" s="443" t="s">
        <v>2167</v>
      </c>
      <c r="E784" s="238">
        <v>600</v>
      </c>
      <c r="F784" s="292">
        <f t="shared" si="170"/>
        <v>857</v>
      </c>
      <c r="G784" s="476">
        <f t="shared" si="170"/>
        <v>857</v>
      </c>
      <c r="H784" s="476">
        <f t="shared" si="170"/>
        <v>857</v>
      </c>
      <c r="I784" s="476">
        <f t="shared" si="170"/>
        <v>857</v>
      </c>
      <c r="J784" s="476">
        <f t="shared" si="170"/>
        <v>857</v>
      </c>
      <c r="K784" s="476">
        <f t="shared" si="170"/>
        <v>857</v>
      </c>
      <c r="L784" s="466"/>
      <c r="N784" s="466"/>
      <c r="O784" s="466"/>
    </row>
    <row r="785" spans="1:15" s="442" customFormat="1" x14ac:dyDescent="0.25">
      <c r="A785" s="524" t="s">
        <v>1344</v>
      </c>
      <c r="B785" s="615" t="s">
        <v>205</v>
      </c>
      <c r="C785" s="235" t="s">
        <v>406</v>
      </c>
      <c r="D785" s="443" t="s">
        <v>2167</v>
      </c>
      <c r="E785" s="238">
        <v>610</v>
      </c>
      <c r="F785" s="292">
        <f>'ведом. 2021-2023'!AD813</f>
        <v>857</v>
      </c>
      <c r="G785" s="476">
        <f>F785</f>
        <v>857</v>
      </c>
      <c r="H785" s="476">
        <f>'ведом. 2021-2023'!AE813</f>
        <v>857</v>
      </c>
      <c r="I785" s="476">
        <f>H785</f>
        <v>857</v>
      </c>
      <c r="J785" s="476">
        <f>'ведом. 2021-2023'!AF813</f>
        <v>857</v>
      </c>
      <c r="K785" s="476">
        <f>J785</f>
        <v>857</v>
      </c>
      <c r="L785" s="466"/>
      <c r="N785" s="466"/>
      <c r="O785" s="466"/>
    </row>
    <row r="786" spans="1:15" s="442" customFormat="1" x14ac:dyDescent="0.25">
      <c r="A786" s="521" t="s">
        <v>2292</v>
      </c>
      <c r="B786" s="615" t="s">
        <v>205</v>
      </c>
      <c r="C786" s="235" t="s">
        <v>406</v>
      </c>
      <c r="D786" s="443" t="s">
        <v>2128</v>
      </c>
      <c r="E786" s="238"/>
      <c r="F786" s="292">
        <f>F787</f>
        <v>16632.400000000001</v>
      </c>
      <c r="G786" s="476"/>
      <c r="H786" s="476">
        <f>H787</f>
        <v>16032.4</v>
      </c>
      <c r="I786" s="476"/>
      <c r="J786" s="476">
        <f>J787</f>
        <v>16032.4</v>
      </c>
      <c r="K786" s="476"/>
      <c r="L786" s="466"/>
      <c r="N786" s="466"/>
      <c r="O786" s="466"/>
    </row>
    <row r="787" spans="1:15" s="442" customFormat="1" ht="31.5" x14ac:dyDescent="0.25">
      <c r="A787" s="521" t="s">
        <v>2043</v>
      </c>
      <c r="B787" s="615" t="s">
        <v>205</v>
      </c>
      <c r="C787" s="235" t="s">
        <v>406</v>
      </c>
      <c r="D787" s="443" t="s">
        <v>2127</v>
      </c>
      <c r="E787" s="238"/>
      <c r="F787" s="292">
        <f>F788+F800</f>
        <v>16632.400000000001</v>
      </c>
      <c r="G787" s="476"/>
      <c r="H787" s="476">
        <f>H788+H800</f>
        <v>16032.4</v>
      </c>
      <c r="I787" s="476"/>
      <c r="J787" s="476">
        <f>J788+J800</f>
        <v>16032.4</v>
      </c>
      <c r="K787" s="476"/>
      <c r="L787" s="466"/>
      <c r="N787" s="466"/>
      <c r="O787" s="466"/>
    </row>
    <row r="788" spans="1:15" s="442" customFormat="1" x14ac:dyDescent="0.25">
      <c r="A788" s="522" t="s">
        <v>1924</v>
      </c>
      <c r="B788" s="615" t="s">
        <v>205</v>
      </c>
      <c r="C788" s="235" t="s">
        <v>406</v>
      </c>
      <c r="D788" s="443" t="s">
        <v>2191</v>
      </c>
      <c r="E788" s="238"/>
      <c r="F788" s="292">
        <f>F789+F794+F797</f>
        <v>16444.5</v>
      </c>
      <c r="G788" s="476"/>
      <c r="H788" s="476">
        <f>H789+H794+H797</f>
        <v>15844.5</v>
      </c>
      <c r="I788" s="476"/>
      <c r="J788" s="476">
        <f>J789+J794+J797</f>
        <v>15844.5</v>
      </c>
      <c r="K788" s="476"/>
      <c r="L788" s="466"/>
      <c r="N788" s="466"/>
      <c r="O788" s="466"/>
    </row>
    <row r="789" spans="1:15" s="442" customFormat="1" ht="31.5" x14ac:dyDescent="0.25">
      <c r="A789" s="524" t="s">
        <v>1925</v>
      </c>
      <c r="B789" s="615" t="s">
        <v>205</v>
      </c>
      <c r="C789" s="235" t="s">
        <v>406</v>
      </c>
      <c r="D789" s="443" t="s">
        <v>2192</v>
      </c>
      <c r="E789" s="238"/>
      <c r="F789" s="292">
        <f>F790+F792</f>
        <v>1830.1</v>
      </c>
      <c r="G789" s="476"/>
      <c r="H789" s="476">
        <f>H790+H792</f>
        <v>1230.0999999999999</v>
      </c>
      <c r="I789" s="476"/>
      <c r="J789" s="476">
        <f>J790+J792</f>
        <v>1230.0999999999999</v>
      </c>
      <c r="K789" s="476"/>
      <c r="L789" s="466"/>
      <c r="N789" s="466"/>
      <c r="O789" s="466"/>
    </row>
    <row r="790" spans="1:15" s="442" customFormat="1" x14ac:dyDescent="0.25">
      <c r="A790" s="524" t="s">
        <v>1782</v>
      </c>
      <c r="B790" s="615" t="s">
        <v>205</v>
      </c>
      <c r="C790" s="235" t="s">
        <v>406</v>
      </c>
      <c r="D790" s="443" t="s">
        <v>2192</v>
      </c>
      <c r="E790" s="238">
        <v>200</v>
      </c>
      <c r="F790" s="292">
        <f>F791</f>
        <v>1818.1</v>
      </c>
      <c r="G790" s="476"/>
      <c r="H790" s="476">
        <f>H791</f>
        <v>1230.0999999999999</v>
      </c>
      <c r="I790" s="476"/>
      <c r="J790" s="476">
        <f>J791</f>
        <v>1230.0999999999999</v>
      </c>
      <c r="K790" s="476"/>
      <c r="L790" s="466"/>
      <c r="N790" s="466"/>
      <c r="O790" s="466"/>
    </row>
    <row r="791" spans="1:15" s="442" customFormat="1" ht="31.5" x14ac:dyDescent="0.25">
      <c r="A791" s="524" t="s">
        <v>1274</v>
      </c>
      <c r="B791" s="615" t="s">
        <v>205</v>
      </c>
      <c r="C791" s="235" t="s">
        <v>406</v>
      </c>
      <c r="D791" s="443" t="s">
        <v>2192</v>
      </c>
      <c r="E791" s="238">
        <v>240</v>
      </c>
      <c r="F791" s="292">
        <f>'ведом. 2021-2023'!AD819</f>
        <v>1818.1</v>
      </c>
      <c r="G791" s="476"/>
      <c r="H791" s="476">
        <f>'ведом. 2021-2023'!AE819</f>
        <v>1230.0999999999999</v>
      </c>
      <c r="I791" s="476"/>
      <c r="J791" s="476">
        <f>'ведом. 2021-2023'!AF819</f>
        <v>1230.0999999999999</v>
      </c>
      <c r="K791" s="476"/>
      <c r="L791" s="466"/>
      <c r="N791" s="466"/>
      <c r="O791" s="466"/>
    </row>
    <row r="792" spans="1:15" s="514" customFormat="1" x14ac:dyDescent="0.25">
      <c r="A792" s="520" t="s">
        <v>924</v>
      </c>
      <c r="B792" s="615" t="s">
        <v>205</v>
      </c>
      <c r="C792" s="235" t="s">
        <v>406</v>
      </c>
      <c r="D792" s="443" t="s">
        <v>2192</v>
      </c>
      <c r="E792" s="238">
        <v>800</v>
      </c>
      <c r="F792" s="292">
        <f>F793</f>
        <v>12</v>
      </c>
      <c r="G792" s="476"/>
      <c r="H792" s="476">
        <f>H793</f>
        <v>0</v>
      </c>
      <c r="I792" s="476"/>
      <c r="J792" s="476">
        <f>J793</f>
        <v>0</v>
      </c>
      <c r="K792" s="476"/>
      <c r="L792" s="466"/>
      <c r="N792" s="466"/>
      <c r="O792" s="466"/>
    </row>
    <row r="793" spans="1:15" s="514" customFormat="1" x14ac:dyDescent="0.25">
      <c r="A793" s="520" t="s">
        <v>1320</v>
      </c>
      <c r="B793" s="615" t="s">
        <v>205</v>
      </c>
      <c r="C793" s="235" t="s">
        <v>406</v>
      </c>
      <c r="D793" s="443" t="s">
        <v>2192</v>
      </c>
      <c r="E793" s="238">
        <v>850</v>
      </c>
      <c r="F793" s="292">
        <f>'ведом. 2021-2023'!AD821</f>
        <v>12</v>
      </c>
      <c r="G793" s="476"/>
      <c r="H793" s="476">
        <f>'ведом. 2021-2023'!AE821</f>
        <v>0</v>
      </c>
      <c r="I793" s="476"/>
      <c r="J793" s="476">
        <f>'ведом. 2021-2023'!AF821</f>
        <v>0</v>
      </c>
      <c r="K793" s="476"/>
      <c r="L793" s="466"/>
      <c r="N793" s="466"/>
      <c r="O793" s="466"/>
    </row>
    <row r="794" spans="1:15" s="442" customFormat="1" ht="31.5" x14ac:dyDescent="0.25">
      <c r="A794" s="515" t="s">
        <v>2247</v>
      </c>
      <c r="B794" s="615" t="s">
        <v>205</v>
      </c>
      <c r="C794" s="235" t="s">
        <v>406</v>
      </c>
      <c r="D794" s="443" t="s">
        <v>2193</v>
      </c>
      <c r="E794" s="238"/>
      <c r="F794" s="292">
        <f>F795</f>
        <v>5977.5</v>
      </c>
      <c r="G794" s="476"/>
      <c r="H794" s="476">
        <f>H795</f>
        <v>5977.5</v>
      </c>
      <c r="I794" s="476"/>
      <c r="J794" s="476">
        <f>J795</f>
        <v>5977.5</v>
      </c>
      <c r="K794" s="476"/>
      <c r="L794" s="466"/>
      <c r="N794" s="466"/>
      <c r="O794" s="466"/>
    </row>
    <row r="795" spans="1:15" s="442" customFormat="1" ht="47.25" x14ac:dyDescent="0.25">
      <c r="A795" s="524" t="s">
        <v>922</v>
      </c>
      <c r="B795" s="615" t="s">
        <v>205</v>
      </c>
      <c r="C795" s="235" t="s">
        <v>406</v>
      </c>
      <c r="D795" s="443" t="s">
        <v>2193</v>
      </c>
      <c r="E795" s="238">
        <v>100</v>
      </c>
      <c r="F795" s="292">
        <f>F796</f>
        <v>5977.5</v>
      </c>
      <c r="G795" s="476"/>
      <c r="H795" s="476">
        <f>H796</f>
        <v>5977.5</v>
      </c>
      <c r="I795" s="476"/>
      <c r="J795" s="476">
        <f>J796</f>
        <v>5977.5</v>
      </c>
      <c r="K795" s="476"/>
      <c r="L795" s="466"/>
      <c r="N795" s="466"/>
      <c r="O795" s="466"/>
    </row>
    <row r="796" spans="1:15" s="442" customFormat="1" x14ac:dyDescent="0.25">
      <c r="A796" s="524" t="s">
        <v>1748</v>
      </c>
      <c r="B796" s="615" t="s">
        <v>205</v>
      </c>
      <c r="C796" s="235" t="s">
        <v>406</v>
      </c>
      <c r="D796" s="443" t="s">
        <v>2193</v>
      </c>
      <c r="E796" s="238">
        <v>120</v>
      </c>
      <c r="F796" s="292">
        <f>'ведом. 2021-2023'!AD824</f>
        <v>5977.5</v>
      </c>
      <c r="G796" s="476"/>
      <c r="H796" s="476">
        <f>'ведом. 2021-2023'!AE824</f>
        <v>5977.5</v>
      </c>
      <c r="I796" s="476"/>
      <c r="J796" s="476">
        <f>'ведом. 2021-2023'!AF824</f>
        <v>5977.5</v>
      </c>
      <c r="K796" s="476"/>
      <c r="L796" s="466"/>
      <c r="N796" s="466"/>
      <c r="O796" s="466"/>
    </row>
    <row r="797" spans="1:15" s="442" customFormat="1" ht="31.5" x14ac:dyDescent="0.25">
      <c r="A797" s="524" t="s">
        <v>2044</v>
      </c>
      <c r="B797" s="615" t="s">
        <v>205</v>
      </c>
      <c r="C797" s="235" t="s">
        <v>406</v>
      </c>
      <c r="D797" s="443" t="s">
        <v>2194</v>
      </c>
      <c r="E797" s="238"/>
      <c r="F797" s="753">
        <f>F798</f>
        <v>8636.9</v>
      </c>
      <c r="G797" s="476"/>
      <c r="H797" s="497">
        <f>H798</f>
        <v>8636.9</v>
      </c>
      <c r="I797" s="476"/>
      <c r="J797" s="497">
        <f>J798</f>
        <v>8636.9</v>
      </c>
      <c r="K797" s="476"/>
      <c r="L797" s="466"/>
      <c r="N797" s="466"/>
      <c r="O797" s="466"/>
    </row>
    <row r="798" spans="1:15" s="442" customFormat="1" ht="47.25" x14ac:dyDescent="0.25">
      <c r="A798" s="524" t="s">
        <v>922</v>
      </c>
      <c r="B798" s="615" t="s">
        <v>205</v>
      </c>
      <c r="C798" s="235" t="s">
        <v>406</v>
      </c>
      <c r="D798" s="443" t="s">
        <v>2194</v>
      </c>
      <c r="E798" s="238">
        <v>100</v>
      </c>
      <c r="F798" s="292">
        <f>F799</f>
        <v>8636.9</v>
      </c>
      <c r="G798" s="476"/>
      <c r="H798" s="476">
        <f>H799</f>
        <v>8636.9</v>
      </c>
      <c r="I798" s="476"/>
      <c r="J798" s="476">
        <f>J799</f>
        <v>8636.9</v>
      </c>
      <c r="K798" s="476"/>
      <c r="L798" s="466"/>
      <c r="N798" s="466"/>
      <c r="O798" s="466"/>
    </row>
    <row r="799" spans="1:15" s="442" customFormat="1" x14ac:dyDescent="0.25">
      <c r="A799" s="524" t="s">
        <v>1748</v>
      </c>
      <c r="B799" s="615" t="s">
        <v>205</v>
      </c>
      <c r="C799" s="235" t="s">
        <v>406</v>
      </c>
      <c r="D799" s="443" t="s">
        <v>2194</v>
      </c>
      <c r="E799" s="238">
        <v>120</v>
      </c>
      <c r="F799" s="292">
        <f>'ведом. 2021-2023'!AD827</f>
        <v>8636.9</v>
      </c>
      <c r="G799" s="476"/>
      <c r="H799" s="476">
        <f>'ведом. 2021-2023'!AE827</f>
        <v>8636.9</v>
      </c>
      <c r="I799" s="476"/>
      <c r="J799" s="476">
        <f>'ведом. 2021-2023'!AF827</f>
        <v>8636.9</v>
      </c>
      <c r="K799" s="476"/>
      <c r="L799" s="466"/>
      <c r="N799" s="466"/>
      <c r="O799" s="466"/>
    </row>
    <row r="800" spans="1:15" s="442" customFormat="1" x14ac:dyDescent="0.25">
      <c r="A800" s="524" t="s">
        <v>2045</v>
      </c>
      <c r="B800" s="615" t="s">
        <v>205</v>
      </c>
      <c r="C800" s="235" t="s">
        <v>406</v>
      </c>
      <c r="D800" s="443" t="s">
        <v>2195</v>
      </c>
      <c r="E800" s="238"/>
      <c r="F800" s="292">
        <f>F801</f>
        <v>187.9</v>
      </c>
      <c r="G800" s="476"/>
      <c r="H800" s="476">
        <f>H801</f>
        <v>187.9</v>
      </c>
      <c r="I800" s="476"/>
      <c r="J800" s="476">
        <f>J801</f>
        <v>187.9</v>
      </c>
      <c r="K800" s="476"/>
      <c r="L800" s="466"/>
      <c r="N800" s="466"/>
      <c r="O800" s="466"/>
    </row>
    <row r="801" spans="1:15" s="442" customFormat="1" x14ac:dyDescent="0.25">
      <c r="A801" s="524" t="s">
        <v>1782</v>
      </c>
      <c r="B801" s="615" t="s">
        <v>205</v>
      </c>
      <c r="C801" s="235" t="s">
        <v>406</v>
      </c>
      <c r="D801" s="443" t="s">
        <v>2195</v>
      </c>
      <c r="E801" s="238">
        <v>200</v>
      </c>
      <c r="F801" s="292">
        <f>F802</f>
        <v>187.9</v>
      </c>
      <c r="G801" s="476"/>
      <c r="H801" s="476">
        <f>H802</f>
        <v>187.9</v>
      </c>
      <c r="I801" s="476"/>
      <c r="J801" s="476">
        <f>J802</f>
        <v>187.9</v>
      </c>
      <c r="K801" s="476"/>
      <c r="L801" s="466"/>
      <c r="N801" s="466"/>
      <c r="O801" s="466"/>
    </row>
    <row r="802" spans="1:15" s="442" customFormat="1" ht="31.5" x14ac:dyDescent="0.25">
      <c r="A802" s="524" t="s">
        <v>1274</v>
      </c>
      <c r="B802" s="615" t="s">
        <v>205</v>
      </c>
      <c r="C802" s="235" t="s">
        <v>406</v>
      </c>
      <c r="D802" s="443" t="s">
        <v>2195</v>
      </c>
      <c r="E802" s="238">
        <v>240</v>
      </c>
      <c r="F802" s="292">
        <f>'ведом. 2021-2023'!AD830</f>
        <v>187.9</v>
      </c>
      <c r="G802" s="476"/>
      <c r="H802" s="476">
        <f>'ведом. 2021-2023'!AE830</f>
        <v>187.9</v>
      </c>
      <c r="I802" s="476"/>
      <c r="J802" s="476">
        <f>'ведом. 2021-2023'!AF830</f>
        <v>187.9</v>
      </c>
      <c r="K802" s="476"/>
      <c r="L802" s="466"/>
      <c r="N802" s="466"/>
      <c r="O802" s="466"/>
    </row>
    <row r="803" spans="1:15" s="442" customFormat="1" x14ac:dyDescent="0.25">
      <c r="A803" s="521" t="s">
        <v>2075</v>
      </c>
      <c r="B803" s="615" t="s">
        <v>205</v>
      </c>
      <c r="C803" s="235" t="s">
        <v>406</v>
      </c>
      <c r="D803" s="443" t="s">
        <v>1769</v>
      </c>
      <c r="E803" s="238"/>
      <c r="F803" s="292">
        <f t="shared" ref="F803:K805" si="172">F804</f>
        <v>4821.8999999999996</v>
      </c>
      <c r="G803" s="476">
        <f t="shared" si="172"/>
        <v>2716</v>
      </c>
      <c r="H803" s="476">
        <f t="shared" si="172"/>
        <v>4821.8999999999996</v>
      </c>
      <c r="I803" s="476">
        <f t="shared" si="172"/>
        <v>2716</v>
      </c>
      <c r="J803" s="476">
        <f t="shared" si="172"/>
        <v>4799</v>
      </c>
      <c r="K803" s="476">
        <f t="shared" si="172"/>
        <v>2716</v>
      </c>
      <c r="L803" s="466"/>
      <c r="N803" s="466"/>
      <c r="O803" s="466"/>
    </row>
    <row r="804" spans="1:15" s="442" customFormat="1" x14ac:dyDescent="0.25">
      <c r="A804" s="521" t="s">
        <v>2090</v>
      </c>
      <c r="B804" s="615" t="s">
        <v>205</v>
      </c>
      <c r="C804" s="235" t="s">
        <v>406</v>
      </c>
      <c r="D804" s="443" t="s">
        <v>2091</v>
      </c>
      <c r="E804" s="238"/>
      <c r="F804" s="292">
        <f t="shared" si="172"/>
        <v>4821.8999999999996</v>
      </c>
      <c r="G804" s="476">
        <f t="shared" si="172"/>
        <v>2716</v>
      </c>
      <c r="H804" s="476">
        <f t="shared" si="172"/>
        <v>4821.8999999999996</v>
      </c>
      <c r="I804" s="476">
        <f t="shared" si="172"/>
        <v>2716</v>
      </c>
      <c r="J804" s="476">
        <f t="shared" si="172"/>
        <v>4799</v>
      </c>
      <c r="K804" s="476">
        <f t="shared" si="172"/>
        <v>2716</v>
      </c>
      <c r="L804" s="466"/>
      <c r="N804" s="466"/>
      <c r="O804" s="466"/>
    </row>
    <row r="805" spans="1:15" s="442" customFormat="1" ht="31.5" x14ac:dyDescent="0.25">
      <c r="A805" s="529" t="s">
        <v>2092</v>
      </c>
      <c r="B805" s="615" t="s">
        <v>205</v>
      </c>
      <c r="C805" s="235" t="s">
        <v>406</v>
      </c>
      <c r="D805" s="443" t="s">
        <v>2093</v>
      </c>
      <c r="E805" s="238"/>
      <c r="F805" s="292">
        <f t="shared" si="172"/>
        <v>4821.8999999999996</v>
      </c>
      <c r="G805" s="476">
        <f t="shared" si="172"/>
        <v>2716</v>
      </c>
      <c r="H805" s="476">
        <f t="shared" si="172"/>
        <v>4821.8999999999996</v>
      </c>
      <c r="I805" s="476">
        <f t="shared" si="172"/>
        <v>2716</v>
      </c>
      <c r="J805" s="476">
        <f t="shared" si="172"/>
        <v>4799</v>
      </c>
      <c r="K805" s="476">
        <f t="shared" si="172"/>
        <v>2716</v>
      </c>
      <c r="L805" s="466"/>
      <c r="N805" s="466"/>
      <c r="O805" s="466"/>
    </row>
    <row r="806" spans="1:15" s="442" customFormat="1" x14ac:dyDescent="0.25">
      <c r="A806" s="529" t="s">
        <v>2094</v>
      </c>
      <c r="B806" s="615" t="s">
        <v>205</v>
      </c>
      <c r="C806" s="235" t="s">
        <v>406</v>
      </c>
      <c r="D806" s="443" t="s">
        <v>2095</v>
      </c>
      <c r="E806" s="238"/>
      <c r="F806" s="292">
        <f t="shared" ref="F806:K806" si="173">F807+F814</f>
        <v>4821.8999999999996</v>
      </c>
      <c r="G806" s="476">
        <f t="shared" si="173"/>
        <v>2716</v>
      </c>
      <c r="H806" s="476">
        <f t="shared" si="173"/>
        <v>4821.8999999999996</v>
      </c>
      <c r="I806" s="476">
        <f t="shared" si="173"/>
        <v>2716</v>
      </c>
      <c r="J806" s="476">
        <f t="shared" si="173"/>
        <v>4799</v>
      </c>
      <c r="K806" s="476">
        <f t="shared" si="173"/>
        <v>2716</v>
      </c>
      <c r="L806" s="466"/>
      <c r="N806" s="466"/>
      <c r="O806" s="466"/>
    </row>
    <row r="807" spans="1:15" s="442" customFormat="1" ht="47.25" x14ac:dyDescent="0.25">
      <c r="A807" s="529" t="s">
        <v>2136</v>
      </c>
      <c r="B807" s="615" t="s">
        <v>205</v>
      </c>
      <c r="C807" s="235" t="s">
        <v>406</v>
      </c>
      <c r="D807" s="443" t="s">
        <v>2137</v>
      </c>
      <c r="E807" s="238"/>
      <c r="F807" s="292">
        <f>F810+F808+F812</f>
        <v>3411.8999999999996</v>
      </c>
      <c r="G807" s="292">
        <f t="shared" ref="G807:K807" si="174">G810+G808+G812</f>
        <v>2178.4</v>
      </c>
      <c r="H807" s="292">
        <f t="shared" si="174"/>
        <v>3411.8999999999996</v>
      </c>
      <c r="I807" s="292">
        <f t="shared" si="174"/>
        <v>2176</v>
      </c>
      <c r="J807" s="292">
        <f t="shared" si="174"/>
        <v>3389</v>
      </c>
      <c r="K807" s="292">
        <f t="shared" si="174"/>
        <v>2176</v>
      </c>
      <c r="L807" s="466"/>
      <c r="N807" s="466"/>
      <c r="O807" s="466"/>
    </row>
    <row r="808" spans="1:15" s="514" customFormat="1" x14ac:dyDescent="0.25">
      <c r="A808" s="524" t="s">
        <v>1782</v>
      </c>
      <c r="B808" s="615" t="s">
        <v>205</v>
      </c>
      <c r="C808" s="235" t="s">
        <v>406</v>
      </c>
      <c r="D808" s="443" t="s">
        <v>2137</v>
      </c>
      <c r="E808" s="238">
        <v>200</v>
      </c>
      <c r="F808" s="292">
        <f>F809</f>
        <v>1739.3</v>
      </c>
      <c r="G808" s="292">
        <f>G809</f>
        <v>1619.3</v>
      </c>
      <c r="H808" s="476">
        <f>H809</f>
        <v>120</v>
      </c>
      <c r="I808" s="476">
        <f>I809</f>
        <v>0</v>
      </c>
      <c r="J808" s="476">
        <f>J809</f>
        <v>120</v>
      </c>
      <c r="K808" s="476"/>
      <c r="L808" s="466"/>
      <c r="N808" s="466"/>
      <c r="O808" s="466"/>
    </row>
    <row r="809" spans="1:15" s="514" customFormat="1" ht="31.5" x14ac:dyDescent="0.25">
      <c r="A809" s="524" t="s">
        <v>1274</v>
      </c>
      <c r="B809" s="615" t="s">
        <v>205</v>
      </c>
      <c r="C809" s="235" t="s">
        <v>406</v>
      </c>
      <c r="D809" s="443" t="s">
        <v>2137</v>
      </c>
      <c r="E809" s="238">
        <v>240</v>
      </c>
      <c r="F809" s="292">
        <f>'ведом. 2021-2023'!AD424</f>
        <v>1739.3</v>
      </c>
      <c r="G809" s="476">
        <f>1674-54.7</f>
        <v>1619.3</v>
      </c>
      <c r="H809" s="476">
        <f>'ведом. 2021-2023'!AE424</f>
        <v>120</v>
      </c>
      <c r="I809" s="476"/>
      <c r="J809" s="476">
        <f>'ведом. 2021-2023'!AF424</f>
        <v>120</v>
      </c>
      <c r="K809" s="476"/>
      <c r="L809" s="466"/>
      <c r="N809" s="466"/>
      <c r="O809" s="466"/>
    </row>
    <row r="810" spans="1:15" s="442" customFormat="1" x14ac:dyDescent="0.25">
      <c r="A810" s="524" t="s">
        <v>1755</v>
      </c>
      <c r="B810" s="615" t="s">
        <v>205</v>
      </c>
      <c r="C810" s="235" t="s">
        <v>406</v>
      </c>
      <c r="D810" s="443" t="s">
        <v>2137</v>
      </c>
      <c r="E810" s="238">
        <v>300</v>
      </c>
      <c r="F810" s="292">
        <f t="shared" ref="F810:K810" si="175">F811</f>
        <v>286.39999999999964</v>
      </c>
      <c r="G810" s="476">
        <f t="shared" si="175"/>
        <v>54.7</v>
      </c>
      <c r="H810" s="476">
        <f t="shared" si="175"/>
        <v>3291.8999999999996</v>
      </c>
      <c r="I810" s="476">
        <f t="shared" si="175"/>
        <v>2176</v>
      </c>
      <c r="J810" s="476">
        <f t="shared" si="175"/>
        <v>3269</v>
      </c>
      <c r="K810" s="476">
        <f t="shared" si="175"/>
        <v>2176</v>
      </c>
      <c r="L810" s="466"/>
      <c r="N810" s="466"/>
      <c r="O810" s="466"/>
    </row>
    <row r="811" spans="1:15" s="442" customFormat="1" x14ac:dyDescent="0.25">
      <c r="A811" s="524" t="s">
        <v>868</v>
      </c>
      <c r="B811" s="615" t="s">
        <v>205</v>
      </c>
      <c r="C811" s="235" t="s">
        <v>406</v>
      </c>
      <c r="D811" s="443" t="s">
        <v>2137</v>
      </c>
      <c r="E811" s="238">
        <v>320</v>
      </c>
      <c r="F811" s="292">
        <f>'ведом. 2021-2023'!AD426</f>
        <v>286.39999999999964</v>
      </c>
      <c r="G811" s="476">
        <v>54.7</v>
      </c>
      <c r="H811" s="476">
        <f>'ведом. 2021-2023'!AE426</f>
        <v>3291.8999999999996</v>
      </c>
      <c r="I811" s="476">
        <v>2176</v>
      </c>
      <c r="J811" s="476">
        <f>'ведом. 2021-2023'!AF426</f>
        <v>3269</v>
      </c>
      <c r="K811" s="476">
        <v>2176</v>
      </c>
      <c r="L811" s="466"/>
      <c r="N811" s="466"/>
      <c r="O811" s="466"/>
    </row>
    <row r="812" spans="1:15" s="514" customFormat="1" ht="31.5" x14ac:dyDescent="0.25">
      <c r="A812" s="524" t="s">
        <v>1343</v>
      </c>
      <c r="B812" s="615" t="s">
        <v>205</v>
      </c>
      <c r="C812" s="235" t="s">
        <v>406</v>
      </c>
      <c r="D812" s="443" t="s">
        <v>2137</v>
      </c>
      <c r="E812" s="238">
        <v>600</v>
      </c>
      <c r="F812" s="292">
        <f>F813</f>
        <v>1386.2</v>
      </c>
      <c r="G812" s="476">
        <f>G813</f>
        <v>504.4</v>
      </c>
      <c r="H812" s="476">
        <f>H813</f>
        <v>0</v>
      </c>
      <c r="I812" s="476"/>
      <c r="J812" s="476">
        <f>J813</f>
        <v>0</v>
      </c>
      <c r="K812" s="476"/>
      <c r="L812" s="466"/>
      <c r="N812" s="466"/>
      <c r="O812" s="466"/>
    </row>
    <row r="813" spans="1:15" s="514" customFormat="1" x14ac:dyDescent="0.25">
      <c r="A813" s="524" t="s">
        <v>1344</v>
      </c>
      <c r="B813" s="615" t="s">
        <v>205</v>
      </c>
      <c r="C813" s="235" t="s">
        <v>406</v>
      </c>
      <c r="D813" s="443" t="s">
        <v>2137</v>
      </c>
      <c r="E813" s="238">
        <v>610</v>
      </c>
      <c r="F813" s="292">
        <f>'ведом. 2021-2023'!AD837+'ведом. 2021-2023'!AD428</f>
        <v>1386.2</v>
      </c>
      <c r="G813" s="476">
        <f>504.4</f>
        <v>504.4</v>
      </c>
      <c r="H813" s="476">
        <f>'ведом. 2021-2023'!AE837+'ведом. 2021-2023'!AE428</f>
        <v>0</v>
      </c>
      <c r="I813" s="476"/>
      <c r="J813" s="476">
        <f>'ведом. 2021-2023'!AF837+'ведом. 2021-2023'!AF428</f>
        <v>0</v>
      </c>
      <c r="K813" s="476"/>
      <c r="L813" s="466"/>
      <c r="N813" s="466"/>
      <c r="O813" s="466"/>
    </row>
    <row r="814" spans="1:15" s="442" customFormat="1" ht="31.5" x14ac:dyDescent="0.25">
      <c r="A814" s="524" t="s">
        <v>2138</v>
      </c>
      <c r="B814" s="615" t="s">
        <v>205</v>
      </c>
      <c r="C814" s="235" t="s">
        <v>406</v>
      </c>
      <c r="D814" s="443" t="s">
        <v>2139</v>
      </c>
      <c r="E814" s="238"/>
      <c r="F814" s="292">
        <f t="shared" ref="F814:K815" si="176">F815</f>
        <v>1410</v>
      </c>
      <c r="G814" s="476">
        <f t="shared" si="176"/>
        <v>537.6</v>
      </c>
      <c r="H814" s="476">
        <f t="shared" si="176"/>
        <v>1410</v>
      </c>
      <c r="I814" s="476">
        <f t="shared" si="176"/>
        <v>540</v>
      </c>
      <c r="J814" s="476">
        <f t="shared" si="176"/>
        <v>1410</v>
      </c>
      <c r="K814" s="476">
        <f t="shared" si="176"/>
        <v>540</v>
      </c>
      <c r="L814" s="466"/>
      <c r="N814" s="466"/>
      <c r="O814" s="466"/>
    </row>
    <row r="815" spans="1:15" s="442" customFormat="1" ht="31.5" x14ac:dyDescent="0.25">
      <c r="A815" s="524" t="s">
        <v>1343</v>
      </c>
      <c r="B815" s="615" t="s">
        <v>205</v>
      </c>
      <c r="C815" s="235" t="s">
        <v>406</v>
      </c>
      <c r="D815" s="443" t="s">
        <v>2139</v>
      </c>
      <c r="E815" s="577">
        <v>600</v>
      </c>
      <c r="F815" s="292">
        <f t="shared" si="176"/>
        <v>1410</v>
      </c>
      <c r="G815" s="476">
        <f t="shared" si="176"/>
        <v>537.6</v>
      </c>
      <c r="H815" s="476">
        <f t="shared" si="176"/>
        <v>1410</v>
      </c>
      <c r="I815" s="476">
        <f t="shared" si="176"/>
        <v>540</v>
      </c>
      <c r="J815" s="476">
        <f t="shared" si="176"/>
        <v>1410</v>
      </c>
      <c r="K815" s="476">
        <f t="shared" si="176"/>
        <v>540</v>
      </c>
      <c r="L815" s="466"/>
      <c r="N815" s="466"/>
      <c r="O815" s="466"/>
    </row>
    <row r="816" spans="1:15" s="442" customFormat="1" x14ac:dyDescent="0.25">
      <c r="A816" s="524" t="s">
        <v>1344</v>
      </c>
      <c r="B816" s="615" t="s">
        <v>205</v>
      </c>
      <c r="C816" s="235" t="s">
        <v>406</v>
      </c>
      <c r="D816" s="443" t="s">
        <v>2139</v>
      </c>
      <c r="E816" s="577">
        <v>610</v>
      </c>
      <c r="F816" s="292">
        <f>'ведом. 2021-2023'!AD840</f>
        <v>1410</v>
      </c>
      <c r="G816" s="476">
        <f>540-2.4</f>
        <v>537.6</v>
      </c>
      <c r="H816" s="476">
        <f>'ведом. 2021-2023'!AE840</f>
        <v>1410</v>
      </c>
      <c r="I816" s="476">
        <v>540</v>
      </c>
      <c r="J816" s="476">
        <f>'ведом. 2021-2023'!AF840</f>
        <v>1410</v>
      </c>
      <c r="K816" s="476">
        <v>540</v>
      </c>
      <c r="L816" s="466"/>
      <c r="N816" s="466"/>
      <c r="O816" s="466"/>
    </row>
    <row r="817" spans="1:15" s="442" customFormat="1" ht="31.5" x14ac:dyDescent="0.25">
      <c r="A817" s="521" t="s">
        <v>2104</v>
      </c>
      <c r="B817" s="615" t="s">
        <v>205</v>
      </c>
      <c r="C817" s="235" t="s">
        <v>406</v>
      </c>
      <c r="D817" s="443" t="s">
        <v>1806</v>
      </c>
      <c r="E817" s="238"/>
      <c r="F817" s="292">
        <f>F818</f>
        <v>4.5</v>
      </c>
      <c r="G817" s="476"/>
      <c r="H817" s="476">
        <f>H818</f>
        <v>4.5</v>
      </c>
      <c r="I817" s="476"/>
      <c r="J817" s="476">
        <f>J818</f>
        <v>4.5</v>
      </c>
      <c r="K817" s="476"/>
      <c r="L817" s="466"/>
      <c r="N817" s="466"/>
      <c r="O817" s="466"/>
    </row>
    <row r="818" spans="1:15" s="442" customFormat="1" ht="47.25" x14ac:dyDescent="0.25">
      <c r="A818" s="521" t="s">
        <v>2105</v>
      </c>
      <c r="B818" s="615" t="s">
        <v>205</v>
      </c>
      <c r="C818" s="235" t="s">
        <v>406</v>
      </c>
      <c r="D818" s="443" t="s">
        <v>2106</v>
      </c>
      <c r="E818" s="238"/>
      <c r="F818" s="292">
        <f>F819</f>
        <v>4.5</v>
      </c>
      <c r="G818" s="476"/>
      <c r="H818" s="476">
        <f>H819</f>
        <v>4.5</v>
      </c>
      <c r="I818" s="476"/>
      <c r="J818" s="476">
        <f>J819</f>
        <v>4.5</v>
      </c>
      <c r="K818" s="476"/>
      <c r="L818" s="466"/>
      <c r="N818" s="466"/>
      <c r="O818" s="466"/>
    </row>
    <row r="819" spans="1:15" s="442" customFormat="1" ht="31.5" x14ac:dyDescent="0.25">
      <c r="A819" s="529" t="s">
        <v>2107</v>
      </c>
      <c r="B819" s="615" t="s">
        <v>205</v>
      </c>
      <c r="C819" s="235" t="s">
        <v>406</v>
      </c>
      <c r="D819" s="443" t="s">
        <v>2108</v>
      </c>
      <c r="E819" s="238"/>
      <c r="F819" s="292">
        <f>F820</f>
        <v>4.5</v>
      </c>
      <c r="G819" s="476"/>
      <c r="H819" s="476">
        <f>H820</f>
        <v>4.5</v>
      </c>
      <c r="I819" s="476"/>
      <c r="J819" s="476">
        <f>J820</f>
        <v>4.5</v>
      </c>
      <c r="K819" s="476"/>
      <c r="L819" s="466"/>
      <c r="N819" s="466"/>
      <c r="O819" s="466"/>
    </row>
    <row r="820" spans="1:15" s="442" customFormat="1" ht="94.5" x14ac:dyDescent="0.25">
      <c r="A820" s="529" t="s">
        <v>2244</v>
      </c>
      <c r="B820" s="615" t="s">
        <v>205</v>
      </c>
      <c r="C820" s="235" t="s">
        <v>406</v>
      </c>
      <c r="D820" s="472" t="s">
        <v>2109</v>
      </c>
      <c r="E820" s="238"/>
      <c r="F820" s="292">
        <f>F821</f>
        <v>4.5</v>
      </c>
      <c r="G820" s="476"/>
      <c r="H820" s="476">
        <f>H821</f>
        <v>4.5</v>
      </c>
      <c r="I820" s="476"/>
      <c r="J820" s="476">
        <f>J821</f>
        <v>4.5</v>
      </c>
      <c r="K820" s="476"/>
      <c r="L820" s="466"/>
      <c r="N820" s="466"/>
      <c r="O820" s="466"/>
    </row>
    <row r="821" spans="1:15" s="442" customFormat="1" x14ac:dyDescent="0.25">
      <c r="A821" s="524" t="s">
        <v>1782</v>
      </c>
      <c r="B821" s="615" t="s">
        <v>205</v>
      </c>
      <c r="C821" s="235" t="s">
        <v>406</v>
      </c>
      <c r="D821" s="472" t="s">
        <v>2109</v>
      </c>
      <c r="E821" s="238">
        <v>200</v>
      </c>
      <c r="F821" s="292">
        <f>F822</f>
        <v>4.5</v>
      </c>
      <c r="G821" s="476"/>
      <c r="H821" s="476">
        <f>H822</f>
        <v>4.5</v>
      </c>
      <c r="I821" s="476"/>
      <c r="J821" s="476">
        <f>J822</f>
        <v>4.5</v>
      </c>
      <c r="K821" s="476"/>
      <c r="L821" s="466"/>
      <c r="N821" s="466"/>
      <c r="O821" s="466"/>
    </row>
    <row r="822" spans="1:15" s="442" customFormat="1" ht="31.5" x14ac:dyDescent="0.25">
      <c r="A822" s="524" t="s">
        <v>1274</v>
      </c>
      <c r="B822" s="615" t="s">
        <v>205</v>
      </c>
      <c r="C822" s="235" t="s">
        <v>406</v>
      </c>
      <c r="D822" s="472" t="s">
        <v>2109</v>
      </c>
      <c r="E822" s="238">
        <v>240</v>
      </c>
      <c r="F822" s="292">
        <f>'ведом. 2021-2023'!AD846</f>
        <v>4.5</v>
      </c>
      <c r="G822" s="476"/>
      <c r="H822" s="476">
        <f>'ведом. 2021-2023'!AE846</f>
        <v>4.5</v>
      </c>
      <c r="I822" s="476"/>
      <c r="J822" s="476">
        <f>'ведом. 2021-2023'!AF846</f>
        <v>4.5</v>
      </c>
      <c r="K822" s="476"/>
      <c r="L822" s="466"/>
      <c r="N822" s="466"/>
      <c r="O822" s="466"/>
    </row>
    <row r="823" spans="1:15" s="514" customFormat="1" x14ac:dyDescent="0.25">
      <c r="A823" s="521" t="s">
        <v>1958</v>
      </c>
      <c r="B823" s="615" t="s">
        <v>205</v>
      </c>
      <c r="C823" s="235" t="s">
        <v>406</v>
      </c>
      <c r="D823" s="443" t="s">
        <v>1959</v>
      </c>
      <c r="E823" s="238"/>
      <c r="F823" s="292">
        <f t="shared" ref="F823:J824" si="177">F824</f>
        <v>2982.7</v>
      </c>
      <c r="G823" s="476">
        <f t="shared" si="177"/>
        <v>2904.2999999999997</v>
      </c>
      <c r="H823" s="476">
        <f t="shared" si="177"/>
        <v>19768.400000000001</v>
      </c>
      <c r="I823" s="476">
        <f t="shared" si="177"/>
        <v>18705.199999999997</v>
      </c>
      <c r="J823" s="476">
        <f t="shared" si="177"/>
        <v>0</v>
      </c>
      <c r="K823" s="476"/>
      <c r="L823" s="466"/>
      <c r="N823" s="466"/>
      <c r="O823" s="466"/>
    </row>
    <row r="824" spans="1:15" s="514" customFormat="1" ht="31.5" x14ac:dyDescent="0.25">
      <c r="A824" s="521" t="s">
        <v>1965</v>
      </c>
      <c r="B824" s="615" t="s">
        <v>205</v>
      </c>
      <c r="C824" s="235" t="s">
        <v>406</v>
      </c>
      <c r="D824" s="443" t="s">
        <v>1966</v>
      </c>
      <c r="E824" s="587"/>
      <c r="F824" s="292">
        <f t="shared" si="177"/>
        <v>2982.7</v>
      </c>
      <c r="G824" s="476">
        <f t="shared" si="177"/>
        <v>2904.2999999999997</v>
      </c>
      <c r="H824" s="476">
        <f t="shared" si="177"/>
        <v>19768.400000000001</v>
      </c>
      <c r="I824" s="476">
        <f t="shared" si="177"/>
        <v>18705.199999999997</v>
      </c>
      <c r="J824" s="476">
        <f t="shared" si="177"/>
        <v>0</v>
      </c>
      <c r="K824" s="476"/>
      <c r="L824" s="466"/>
      <c r="N824" s="466"/>
      <c r="O824" s="466"/>
    </row>
    <row r="825" spans="1:15" s="514" customFormat="1" x14ac:dyDescent="0.25">
      <c r="A825" s="520" t="s">
        <v>2224</v>
      </c>
      <c r="B825" s="615" t="s">
        <v>205</v>
      </c>
      <c r="C825" s="235" t="s">
        <v>406</v>
      </c>
      <c r="D825" s="443" t="s">
        <v>2225</v>
      </c>
      <c r="E825" s="577"/>
      <c r="F825" s="292">
        <f>F826+F829+F832+F835</f>
        <v>2982.7</v>
      </c>
      <c r="G825" s="292">
        <f t="shared" ref="G825:J825" si="178">G826+G829+G832+G835</f>
        <v>2904.2999999999997</v>
      </c>
      <c r="H825" s="292">
        <f t="shared" si="178"/>
        <v>19768.400000000001</v>
      </c>
      <c r="I825" s="292">
        <f t="shared" si="178"/>
        <v>18705.199999999997</v>
      </c>
      <c r="J825" s="292">
        <f t="shared" si="178"/>
        <v>0</v>
      </c>
      <c r="K825" s="476"/>
      <c r="L825" s="466"/>
      <c r="N825" s="466"/>
      <c r="O825" s="466"/>
    </row>
    <row r="826" spans="1:15" s="721" customFormat="1" ht="63" x14ac:dyDescent="0.25">
      <c r="A826" s="524" t="s">
        <v>2350</v>
      </c>
      <c r="B826" s="615" t="s">
        <v>205</v>
      </c>
      <c r="C826" s="235" t="s">
        <v>406</v>
      </c>
      <c r="D826" s="443" t="s">
        <v>2351</v>
      </c>
      <c r="E826" s="577"/>
      <c r="F826" s="292">
        <f t="shared" ref="F826:J827" si="179">F827</f>
        <v>2907.7</v>
      </c>
      <c r="G826" s="476">
        <f t="shared" si="179"/>
        <v>2836.7999999999997</v>
      </c>
      <c r="H826" s="476">
        <f t="shared" si="179"/>
        <v>15783.4</v>
      </c>
      <c r="I826" s="476">
        <f t="shared" si="179"/>
        <v>15398.4</v>
      </c>
      <c r="J826" s="476">
        <f t="shared" si="179"/>
        <v>0</v>
      </c>
      <c r="K826" s="476"/>
      <c r="L826" s="720"/>
      <c r="N826" s="720"/>
      <c r="O826" s="720"/>
    </row>
    <row r="827" spans="1:15" s="721" customFormat="1" x14ac:dyDescent="0.25">
      <c r="A827" s="520" t="s">
        <v>1782</v>
      </c>
      <c r="B827" s="615" t="s">
        <v>205</v>
      </c>
      <c r="C827" s="235" t="s">
        <v>406</v>
      </c>
      <c r="D827" s="443" t="s">
        <v>2351</v>
      </c>
      <c r="E827" s="238">
        <v>200</v>
      </c>
      <c r="F827" s="292">
        <f t="shared" si="179"/>
        <v>2907.7</v>
      </c>
      <c r="G827" s="476">
        <f t="shared" si="179"/>
        <v>2836.7999999999997</v>
      </c>
      <c r="H827" s="476">
        <f t="shared" si="179"/>
        <v>15783.4</v>
      </c>
      <c r="I827" s="476">
        <f t="shared" si="179"/>
        <v>15398.4</v>
      </c>
      <c r="J827" s="476">
        <f t="shared" si="179"/>
        <v>0</v>
      </c>
      <c r="K827" s="476"/>
      <c r="L827" s="720"/>
      <c r="N827" s="720"/>
      <c r="O827" s="720"/>
    </row>
    <row r="828" spans="1:15" s="721" customFormat="1" ht="31.5" x14ac:dyDescent="0.25">
      <c r="A828" s="520" t="s">
        <v>1274</v>
      </c>
      <c r="B828" s="615" t="s">
        <v>205</v>
      </c>
      <c r="C828" s="235" t="s">
        <v>406</v>
      </c>
      <c r="D828" s="443" t="s">
        <v>2351</v>
      </c>
      <c r="E828" s="238">
        <v>240</v>
      </c>
      <c r="F828" s="292">
        <f>'ведом. 2021-2023'!AD852</f>
        <v>2907.7</v>
      </c>
      <c r="G828" s="476">
        <f>3265.2-428.4</f>
        <v>2836.7999999999997</v>
      </c>
      <c r="H828" s="476">
        <f>'ведом. 2021-2023'!AE852</f>
        <v>15783.4</v>
      </c>
      <c r="I828" s="476">
        <f>16326.3-928+0.1</f>
        <v>15398.4</v>
      </c>
      <c r="J828" s="476">
        <f>'ведом. 2021-2023'!AF852</f>
        <v>0</v>
      </c>
      <c r="K828" s="476"/>
      <c r="L828" s="720"/>
      <c r="N828" s="720"/>
      <c r="O828" s="720"/>
    </row>
    <row r="829" spans="1:15" s="721" customFormat="1" ht="94.5" x14ac:dyDescent="0.25">
      <c r="A829" s="520" t="s">
        <v>2352</v>
      </c>
      <c r="B829" s="615" t="s">
        <v>205</v>
      </c>
      <c r="C829" s="235" t="s">
        <v>406</v>
      </c>
      <c r="D829" s="443" t="s">
        <v>2353</v>
      </c>
      <c r="E829" s="577"/>
      <c r="F829" s="292">
        <f t="shared" ref="F829:J830" si="180">F830</f>
        <v>0</v>
      </c>
      <c r="G829" s="476"/>
      <c r="H829" s="476">
        <f t="shared" si="180"/>
        <v>492</v>
      </c>
      <c r="I829" s="476">
        <f t="shared" si="180"/>
        <v>442.8</v>
      </c>
      <c r="J829" s="476">
        <f t="shared" si="180"/>
        <v>0</v>
      </c>
      <c r="K829" s="476"/>
      <c r="L829" s="720"/>
      <c r="N829" s="720"/>
      <c r="O829" s="720"/>
    </row>
    <row r="830" spans="1:15" s="721" customFormat="1" ht="31.5" x14ac:dyDescent="0.25">
      <c r="A830" s="520" t="s">
        <v>1343</v>
      </c>
      <c r="B830" s="615" t="s">
        <v>205</v>
      </c>
      <c r="C830" s="235" t="s">
        <v>406</v>
      </c>
      <c r="D830" s="443" t="s">
        <v>2353</v>
      </c>
      <c r="E830" s="577">
        <v>600</v>
      </c>
      <c r="F830" s="292">
        <f t="shared" si="180"/>
        <v>0</v>
      </c>
      <c r="G830" s="476"/>
      <c r="H830" s="476">
        <f t="shared" si="180"/>
        <v>492</v>
      </c>
      <c r="I830" s="476">
        <f t="shared" si="180"/>
        <v>442.8</v>
      </c>
      <c r="J830" s="476">
        <f t="shared" si="180"/>
        <v>0</v>
      </c>
      <c r="K830" s="476"/>
      <c r="L830" s="720"/>
      <c r="N830" s="720"/>
      <c r="O830" s="720"/>
    </row>
    <row r="831" spans="1:15" s="721" customFormat="1" x14ac:dyDescent="0.25">
      <c r="A831" s="520" t="s">
        <v>1344</v>
      </c>
      <c r="B831" s="615" t="s">
        <v>205</v>
      </c>
      <c r="C831" s="235" t="s">
        <v>406</v>
      </c>
      <c r="D831" s="443" t="s">
        <v>2353</v>
      </c>
      <c r="E831" s="577">
        <v>610</v>
      </c>
      <c r="F831" s="292">
        <f>'ведом. 2021-2023'!AD855</f>
        <v>0</v>
      </c>
      <c r="G831" s="476"/>
      <c r="H831" s="476">
        <f>'ведом. 2021-2023'!AE855</f>
        <v>492</v>
      </c>
      <c r="I831" s="476">
        <v>442.8</v>
      </c>
      <c r="J831" s="476">
        <f>'ведом. 2021-2023'!AF855</f>
        <v>0</v>
      </c>
      <c r="K831" s="476"/>
      <c r="L831" s="720"/>
      <c r="N831" s="720"/>
      <c r="O831" s="720"/>
    </row>
    <row r="832" spans="1:15" s="514" customFormat="1" ht="31.5" x14ac:dyDescent="0.25">
      <c r="A832" s="520" t="s">
        <v>2226</v>
      </c>
      <c r="B832" s="615" t="s">
        <v>205</v>
      </c>
      <c r="C832" s="235" t="s">
        <v>406</v>
      </c>
      <c r="D832" s="443" t="s">
        <v>2227</v>
      </c>
      <c r="E832" s="577"/>
      <c r="F832" s="292">
        <f>F833</f>
        <v>0</v>
      </c>
      <c r="G832" s="476"/>
      <c r="H832" s="476">
        <f t="shared" ref="H832:J833" si="181">H833</f>
        <v>3493</v>
      </c>
      <c r="I832" s="476">
        <f t="shared" si="181"/>
        <v>2864</v>
      </c>
      <c r="J832" s="476">
        <f t="shared" si="181"/>
        <v>0</v>
      </c>
      <c r="K832" s="476"/>
      <c r="L832" s="466"/>
      <c r="N832" s="466"/>
      <c r="O832" s="466"/>
    </row>
    <row r="833" spans="1:15" s="514" customFormat="1" ht="31.5" x14ac:dyDescent="0.25">
      <c r="A833" s="520" t="s">
        <v>1343</v>
      </c>
      <c r="B833" s="615" t="s">
        <v>205</v>
      </c>
      <c r="C833" s="235" t="s">
        <v>406</v>
      </c>
      <c r="D833" s="443" t="s">
        <v>2227</v>
      </c>
      <c r="E833" s="577">
        <v>600</v>
      </c>
      <c r="F833" s="292">
        <f>F834</f>
        <v>0</v>
      </c>
      <c r="G833" s="476"/>
      <c r="H833" s="476">
        <f t="shared" si="181"/>
        <v>3493</v>
      </c>
      <c r="I833" s="476">
        <f t="shared" si="181"/>
        <v>2864</v>
      </c>
      <c r="J833" s="476">
        <f t="shared" si="181"/>
        <v>0</v>
      </c>
      <c r="K833" s="476"/>
      <c r="L833" s="466"/>
      <c r="N833" s="466"/>
      <c r="O833" s="466"/>
    </row>
    <row r="834" spans="1:15" s="514" customFormat="1" x14ac:dyDescent="0.25">
      <c r="A834" s="520" t="s">
        <v>1344</v>
      </c>
      <c r="B834" s="615" t="s">
        <v>205</v>
      </c>
      <c r="C834" s="235" t="s">
        <v>406</v>
      </c>
      <c r="D834" s="443" t="s">
        <v>2227</v>
      </c>
      <c r="E834" s="577">
        <v>610</v>
      </c>
      <c r="F834" s="292">
        <f>'ведом. 2021-2023'!AD858</f>
        <v>0</v>
      </c>
      <c r="G834" s="476"/>
      <c r="H834" s="476">
        <f>'ведом. 2021-2023'!AE858</f>
        <v>3493</v>
      </c>
      <c r="I834" s="476">
        <v>2864</v>
      </c>
      <c r="J834" s="476">
        <f>'ведом. 2021-2023'!AF858</f>
        <v>0</v>
      </c>
      <c r="K834" s="476"/>
      <c r="L834" s="466"/>
      <c r="N834" s="466"/>
      <c r="O834" s="466"/>
    </row>
    <row r="835" spans="1:15" s="514" customFormat="1" ht="78.75" x14ac:dyDescent="0.25">
      <c r="A835" s="520" t="s">
        <v>2447</v>
      </c>
      <c r="B835" s="235" t="s">
        <v>205</v>
      </c>
      <c r="C835" s="235" t="s">
        <v>406</v>
      </c>
      <c r="D835" s="443" t="s">
        <v>2446</v>
      </c>
      <c r="E835" s="577"/>
      <c r="F835" s="292">
        <f>F836</f>
        <v>75</v>
      </c>
      <c r="G835" s="292">
        <f t="shared" ref="G835:J835" si="182">G836</f>
        <v>67.5</v>
      </c>
      <c r="H835" s="292">
        <f t="shared" si="182"/>
        <v>0</v>
      </c>
      <c r="I835" s="292"/>
      <c r="J835" s="292">
        <f t="shared" si="182"/>
        <v>0</v>
      </c>
      <c r="K835" s="476"/>
      <c r="L835" s="466"/>
      <c r="N835" s="466"/>
      <c r="O835" s="466"/>
    </row>
    <row r="836" spans="1:15" s="514" customFormat="1" x14ac:dyDescent="0.25">
      <c r="A836" s="520" t="s">
        <v>1782</v>
      </c>
      <c r="B836" s="235" t="s">
        <v>205</v>
      </c>
      <c r="C836" s="235" t="s">
        <v>406</v>
      </c>
      <c r="D836" s="443" t="s">
        <v>2446</v>
      </c>
      <c r="E836" s="238">
        <v>200</v>
      </c>
      <c r="F836" s="292">
        <f>F837</f>
        <v>75</v>
      </c>
      <c r="G836" s="292">
        <f t="shared" ref="G836:J836" si="183">G837</f>
        <v>67.5</v>
      </c>
      <c r="H836" s="292">
        <f t="shared" si="183"/>
        <v>0</v>
      </c>
      <c r="I836" s="292"/>
      <c r="J836" s="292">
        <f t="shared" si="183"/>
        <v>0</v>
      </c>
      <c r="K836" s="476"/>
      <c r="L836" s="466"/>
      <c r="N836" s="466"/>
      <c r="O836" s="466"/>
    </row>
    <row r="837" spans="1:15" s="514" customFormat="1" ht="31.5" x14ac:dyDescent="0.25">
      <c r="A837" s="520" t="s">
        <v>1274</v>
      </c>
      <c r="B837" s="235" t="s">
        <v>205</v>
      </c>
      <c r="C837" s="235" t="s">
        <v>406</v>
      </c>
      <c r="D837" s="443" t="s">
        <v>2446</v>
      </c>
      <c r="E837" s="238">
        <v>240</v>
      </c>
      <c r="F837" s="292">
        <f>'ведом. 2021-2023'!AD861</f>
        <v>75</v>
      </c>
      <c r="G837" s="476">
        <v>67.5</v>
      </c>
      <c r="H837" s="476">
        <v>0</v>
      </c>
      <c r="I837" s="476"/>
      <c r="J837" s="476">
        <v>0</v>
      </c>
      <c r="K837" s="476"/>
      <c r="L837" s="466"/>
      <c r="N837" s="466"/>
      <c r="O837" s="466"/>
    </row>
    <row r="838" spans="1:15" s="442" customFormat="1" x14ac:dyDescent="0.25">
      <c r="A838" s="609" t="s">
        <v>403</v>
      </c>
      <c r="B838" s="617" t="s">
        <v>290</v>
      </c>
      <c r="C838" s="247"/>
      <c r="D838" s="249"/>
      <c r="E838" s="238"/>
      <c r="F838" s="745">
        <f>F839</f>
        <v>95581.599999999991</v>
      </c>
      <c r="G838" s="479">
        <f>G839</f>
        <v>597.79999999999995</v>
      </c>
      <c r="H838" s="479">
        <f>H839</f>
        <v>89536</v>
      </c>
      <c r="I838" s="479"/>
      <c r="J838" s="479">
        <f>J839</f>
        <v>89536</v>
      </c>
      <c r="K838" s="476"/>
      <c r="L838" s="466"/>
      <c r="N838" s="466"/>
      <c r="O838" s="466"/>
    </row>
    <row r="839" spans="1:15" s="442" customFormat="1" x14ac:dyDescent="0.25">
      <c r="A839" s="524" t="s">
        <v>1403</v>
      </c>
      <c r="B839" s="615" t="s">
        <v>290</v>
      </c>
      <c r="C839" s="235" t="s">
        <v>566</v>
      </c>
      <c r="D839" s="249"/>
      <c r="E839" s="238"/>
      <c r="F839" s="292">
        <f>F840+F873+F879</f>
        <v>95581.599999999991</v>
      </c>
      <c r="G839" s="476">
        <f>G840+G873+G879</f>
        <v>597.79999999999995</v>
      </c>
      <c r="H839" s="476">
        <f>H840+H873+H879</f>
        <v>89536</v>
      </c>
      <c r="I839" s="476"/>
      <c r="J839" s="476">
        <f>J840+J873+J879</f>
        <v>89536</v>
      </c>
      <c r="K839" s="476"/>
      <c r="L839" s="466"/>
      <c r="N839" s="466"/>
      <c r="O839" s="466"/>
    </row>
    <row r="840" spans="1:15" s="442" customFormat="1" x14ac:dyDescent="0.25">
      <c r="A840" s="521" t="s">
        <v>1999</v>
      </c>
      <c r="B840" s="615" t="s">
        <v>290</v>
      </c>
      <c r="C840" s="235" t="s">
        <v>566</v>
      </c>
      <c r="D840" s="443" t="s">
        <v>1775</v>
      </c>
      <c r="E840" s="577"/>
      <c r="F840" s="292">
        <f>F841+F846+F854</f>
        <v>93563.9</v>
      </c>
      <c r="G840" s="476"/>
      <c r="H840" s="476">
        <f>H841+H846+H854</f>
        <v>89536</v>
      </c>
      <c r="I840" s="476"/>
      <c r="J840" s="476">
        <f>J841+J846+J854</f>
        <v>89536</v>
      </c>
      <c r="K840" s="476"/>
      <c r="L840" s="466"/>
      <c r="N840" s="466"/>
      <c r="O840" s="466"/>
    </row>
    <row r="841" spans="1:15" s="442" customFormat="1" x14ac:dyDescent="0.25">
      <c r="A841" s="521" t="s">
        <v>2335</v>
      </c>
      <c r="B841" s="615" t="s">
        <v>290</v>
      </c>
      <c r="C841" s="235" t="s">
        <v>566</v>
      </c>
      <c r="D841" s="443" t="s">
        <v>2130</v>
      </c>
      <c r="E841" s="577"/>
      <c r="F841" s="292">
        <f>F842</f>
        <v>15732.5</v>
      </c>
      <c r="G841" s="476"/>
      <c r="H841" s="476">
        <f>H842</f>
        <v>15732.5</v>
      </c>
      <c r="I841" s="476"/>
      <c r="J841" s="476">
        <f>J842</f>
        <v>15732.5</v>
      </c>
      <c r="K841" s="476"/>
      <c r="L841" s="466"/>
      <c r="N841" s="466"/>
      <c r="O841" s="466"/>
    </row>
    <row r="842" spans="1:15" s="442" customFormat="1" x14ac:dyDescent="0.25">
      <c r="A842" s="521" t="s">
        <v>2131</v>
      </c>
      <c r="B842" s="615" t="s">
        <v>290</v>
      </c>
      <c r="C842" s="235" t="s">
        <v>566</v>
      </c>
      <c r="D842" s="443" t="s">
        <v>2132</v>
      </c>
      <c r="E842" s="577"/>
      <c r="F842" s="292">
        <f>F843</f>
        <v>15732.5</v>
      </c>
      <c r="G842" s="476"/>
      <c r="H842" s="476">
        <f>H843</f>
        <v>15732.5</v>
      </c>
      <c r="I842" s="476"/>
      <c r="J842" s="476">
        <f>J843</f>
        <v>15732.5</v>
      </c>
      <c r="K842" s="476"/>
      <c r="L842" s="466"/>
      <c r="N842" s="466"/>
      <c r="O842" s="466"/>
    </row>
    <row r="843" spans="1:15" s="442" customFormat="1" ht="31.5" x14ac:dyDescent="0.25">
      <c r="A843" s="560" t="s">
        <v>2000</v>
      </c>
      <c r="B843" s="615" t="s">
        <v>290</v>
      </c>
      <c r="C843" s="235" t="s">
        <v>566</v>
      </c>
      <c r="D843" s="443" t="s">
        <v>2001</v>
      </c>
      <c r="E843" s="577"/>
      <c r="F843" s="292">
        <f>F844</f>
        <v>15732.5</v>
      </c>
      <c r="G843" s="476"/>
      <c r="H843" s="476">
        <f>H844</f>
        <v>15732.5</v>
      </c>
      <c r="I843" s="476"/>
      <c r="J843" s="476">
        <f>J844</f>
        <v>15732.5</v>
      </c>
      <c r="K843" s="476"/>
      <c r="L843" s="466"/>
      <c r="N843" s="466"/>
      <c r="O843" s="466"/>
    </row>
    <row r="844" spans="1:15" s="442" customFormat="1" ht="31.5" x14ac:dyDescent="0.25">
      <c r="A844" s="524" t="s">
        <v>1343</v>
      </c>
      <c r="B844" s="615" t="s">
        <v>290</v>
      </c>
      <c r="C844" s="235" t="s">
        <v>566</v>
      </c>
      <c r="D844" s="443" t="s">
        <v>2001</v>
      </c>
      <c r="E844" s="238">
        <v>600</v>
      </c>
      <c r="F844" s="292">
        <f>F845</f>
        <v>15732.5</v>
      </c>
      <c r="G844" s="476"/>
      <c r="H844" s="476">
        <f>H845</f>
        <v>15732.5</v>
      </c>
      <c r="I844" s="476"/>
      <c r="J844" s="476">
        <f>J845</f>
        <v>15732.5</v>
      </c>
      <c r="K844" s="476"/>
      <c r="L844" s="466"/>
      <c r="N844" s="466"/>
      <c r="O844" s="466"/>
    </row>
    <row r="845" spans="1:15" s="442" customFormat="1" x14ac:dyDescent="0.25">
      <c r="A845" s="524" t="s">
        <v>1344</v>
      </c>
      <c r="B845" s="615" t="s">
        <v>290</v>
      </c>
      <c r="C845" s="235" t="s">
        <v>566</v>
      </c>
      <c r="D845" s="443" t="s">
        <v>2001</v>
      </c>
      <c r="E845" s="238">
        <v>610</v>
      </c>
      <c r="F845" s="292">
        <f>'ведом. 2021-2023'!AD436</f>
        <v>15732.5</v>
      </c>
      <c r="G845" s="476"/>
      <c r="H845" s="476">
        <f>'ведом. 2021-2023'!AE436</f>
        <v>15732.5</v>
      </c>
      <c r="I845" s="476"/>
      <c r="J845" s="476">
        <f>'ведом. 2021-2023'!AF436</f>
        <v>15732.5</v>
      </c>
      <c r="K845" s="476"/>
      <c r="L845" s="466"/>
      <c r="N845" s="466"/>
      <c r="O845" s="466"/>
    </row>
    <row r="846" spans="1:15" s="442" customFormat="1" x14ac:dyDescent="0.25">
      <c r="A846" s="518" t="s">
        <v>2337</v>
      </c>
      <c r="B846" s="615" t="s">
        <v>290</v>
      </c>
      <c r="C846" s="235" t="s">
        <v>566</v>
      </c>
      <c r="D846" s="443" t="s">
        <v>1821</v>
      </c>
      <c r="E846" s="588"/>
      <c r="F846" s="292">
        <f>F847</f>
        <v>23482.799999999999</v>
      </c>
      <c r="G846" s="476"/>
      <c r="H846" s="476">
        <f>H847</f>
        <v>23482.799999999999</v>
      </c>
      <c r="I846" s="476"/>
      <c r="J846" s="476">
        <f>J847</f>
        <v>23482.799999999999</v>
      </c>
      <c r="K846" s="476"/>
      <c r="L846" s="466"/>
      <c r="N846" s="466"/>
      <c r="O846" s="466"/>
    </row>
    <row r="847" spans="1:15" s="442" customFormat="1" ht="31.5" x14ac:dyDescent="0.25">
      <c r="A847" s="521" t="s">
        <v>2002</v>
      </c>
      <c r="B847" s="615" t="s">
        <v>290</v>
      </c>
      <c r="C847" s="235" t="s">
        <v>566</v>
      </c>
      <c r="D847" s="443" t="s">
        <v>1822</v>
      </c>
      <c r="E847" s="238"/>
      <c r="F847" s="292">
        <f>F848+F851</f>
        <v>23482.799999999999</v>
      </c>
      <c r="G847" s="476"/>
      <c r="H847" s="476">
        <f>H848+H851</f>
        <v>23482.799999999999</v>
      </c>
      <c r="I847" s="476"/>
      <c r="J847" s="476">
        <f>J848+J851</f>
        <v>23482.799999999999</v>
      </c>
      <c r="K847" s="476"/>
      <c r="L847" s="466"/>
      <c r="N847" s="466"/>
      <c r="O847" s="466"/>
    </row>
    <row r="848" spans="1:15" s="442" customFormat="1" ht="31.5" x14ac:dyDescent="0.25">
      <c r="A848" s="560" t="s">
        <v>2003</v>
      </c>
      <c r="B848" s="615" t="s">
        <v>290</v>
      </c>
      <c r="C848" s="235" t="s">
        <v>566</v>
      </c>
      <c r="D848" s="443" t="s">
        <v>2004</v>
      </c>
      <c r="E848" s="238"/>
      <c r="F848" s="292">
        <f>F849</f>
        <v>1000</v>
      </c>
      <c r="G848" s="476"/>
      <c r="H848" s="476">
        <f>H849</f>
        <v>1000</v>
      </c>
      <c r="I848" s="476"/>
      <c r="J848" s="476">
        <f>J849</f>
        <v>1000</v>
      </c>
      <c r="K848" s="476"/>
      <c r="L848" s="466"/>
      <c r="N848" s="466"/>
      <c r="O848" s="466"/>
    </row>
    <row r="849" spans="1:15" s="442" customFormat="1" ht="31.5" x14ac:dyDescent="0.25">
      <c r="A849" s="524" t="s">
        <v>1343</v>
      </c>
      <c r="B849" s="615" t="s">
        <v>290</v>
      </c>
      <c r="C849" s="235" t="s">
        <v>566</v>
      </c>
      <c r="D849" s="443" t="s">
        <v>2004</v>
      </c>
      <c r="E849" s="238">
        <v>600</v>
      </c>
      <c r="F849" s="292">
        <f>F850</f>
        <v>1000</v>
      </c>
      <c r="G849" s="476"/>
      <c r="H849" s="476">
        <f>H850</f>
        <v>1000</v>
      </c>
      <c r="I849" s="476"/>
      <c r="J849" s="476">
        <f>J850</f>
        <v>1000</v>
      </c>
      <c r="K849" s="476"/>
      <c r="L849" s="466"/>
      <c r="N849" s="466"/>
      <c r="O849" s="466"/>
    </row>
    <row r="850" spans="1:15" s="442" customFormat="1" x14ac:dyDescent="0.25">
      <c r="A850" s="524" t="s">
        <v>1344</v>
      </c>
      <c r="B850" s="615" t="s">
        <v>290</v>
      </c>
      <c r="C850" s="235" t="s">
        <v>566</v>
      </c>
      <c r="D850" s="443" t="s">
        <v>2004</v>
      </c>
      <c r="E850" s="238">
        <v>610</v>
      </c>
      <c r="F850" s="292">
        <f>'ведом. 2021-2023'!AD441</f>
        <v>1000</v>
      </c>
      <c r="G850" s="476"/>
      <c r="H850" s="476">
        <f>'ведом. 2021-2023'!AE441</f>
        <v>1000</v>
      </c>
      <c r="I850" s="476"/>
      <c r="J850" s="476">
        <f>'ведом. 2021-2023'!AF441</f>
        <v>1000</v>
      </c>
      <c r="K850" s="476"/>
      <c r="L850" s="466"/>
      <c r="N850" s="466"/>
      <c r="O850" s="466"/>
    </row>
    <row r="851" spans="1:15" s="442" customFormat="1" ht="31.5" x14ac:dyDescent="0.25">
      <c r="A851" s="524" t="s">
        <v>2005</v>
      </c>
      <c r="B851" s="615" t="s">
        <v>290</v>
      </c>
      <c r="C851" s="235" t="s">
        <v>566</v>
      </c>
      <c r="D851" s="443" t="s">
        <v>2006</v>
      </c>
      <c r="E851" s="238"/>
      <c r="F851" s="292">
        <f>F852</f>
        <v>22482.799999999999</v>
      </c>
      <c r="G851" s="476"/>
      <c r="H851" s="476">
        <f>H852</f>
        <v>22482.799999999999</v>
      </c>
      <c r="I851" s="476"/>
      <c r="J851" s="476">
        <f>J852</f>
        <v>22482.799999999999</v>
      </c>
      <c r="K851" s="476"/>
      <c r="L851" s="466"/>
      <c r="N851" s="466"/>
      <c r="O851" s="466"/>
    </row>
    <row r="852" spans="1:15" s="442" customFormat="1" ht="31.5" x14ac:dyDescent="0.25">
      <c r="A852" s="524" t="s">
        <v>1343</v>
      </c>
      <c r="B852" s="615" t="s">
        <v>290</v>
      </c>
      <c r="C852" s="235" t="s">
        <v>566</v>
      </c>
      <c r="D852" s="443" t="s">
        <v>2006</v>
      </c>
      <c r="E852" s="238">
        <v>600</v>
      </c>
      <c r="F852" s="292">
        <f>F853</f>
        <v>22482.799999999999</v>
      </c>
      <c r="G852" s="476"/>
      <c r="H852" s="476">
        <f>H853</f>
        <v>22482.799999999999</v>
      </c>
      <c r="I852" s="476"/>
      <c r="J852" s="476">
        <f>J853</f>
        <v>22482.799999999999</v>
      </c>
      <c r="K852" s="476"/>
      <c r="L852" s="466"/>
      <c r="N852" s="466"/>
      <c r="O852" s="466"/>
    </row>
    <row r="853" spans="1:15" s="442" customFormat="1" x14ac:dyDescent="0.25">
      <c r="A853" s="524" t="s">
        <v>1344</v>
      </c>
      <c r="B853" s="615" t="s">
        <v>290</v>
      </c>
      <c r="C853" s="235" t="s">
        <v>566</v>
      </c>
      <c r="D853" s="443" t="s">
        <v>2006</v>
      </c>
      <c r="E853" s="238">
        <v>610</v>
      </c>
      <c r="F853" s="292">
        <f>'ведом. 2021-2023'!AD444</f>
        <v>22482.799999999999</v>
      </c>
      <c r="G853" s="476"/>
      <c r="H853" s="476">
        <f>'ведом. 2021-2023'!AE444</f>
        <v>22482.799999999999</v>
      </c>
      <c r="I853" s="476"/>
      <c r="J853" s="476">
        <f>'ведом. 2021-2023'!AF444</f>
        <v>22482.799999999999</v>
      </c>
      <c r="K853" s="476"/>
      <c r="L853" s="466"/>
      <c r="N853" s="466"/>
      <c r="O853" s="466"/>
    </row>
    <row r="854" spans="1:15" s="442" customFormat="1" ht="31.5" x14ac:dyDescent="0.25">
      <c r="A854" s="521" t="s">
        <v>2341</v>
      </c>
      <c r="B854" s="615" t="s">
        <v>290</v>
      </c>
      <c r="C854" s="235" t="s">
        <v>566</v>
      </c>
      <c r="D854" s="443" t="s">
        <v>2007</v>
      </c>
      <c r="E854" s="238"/>
      <c r="F854" s="292">
        <f>F855+F865</f>
        <v>54348.6</v>
      </c>
      <c r="G854" s="476"/>
      <c r="H854" s="476">
        <f>H855+H865</f>
        <v>50320.7</v>
      </c>
      <c r="I854" s="476"/>
      <c r="J854" s="476">
        <f>J855+J865</f>
        <v>50320.7</v>
      </c>
      <c r="K854" s="476"/>
      <c r="L854" s="466"/>
      <c r="N854" s="466"/>
      <c r="O854" s="466"/>
    </row>
    <row r="855" spans="1:15" s="442" customFormat="1" ht="31.5" x14ac:dyDescent="0.25">
      <c r="A855" s="521" t="s">
        <v>2342</v>
      </c>
      <c r="B855" s="615" t="s">
        <v>290</v>
      </c>
      <c r="C855" s="235" t="s">
        <v>566</v>
      </c>
      <c r="D855" s="443" t="s">
        <v>2008</v>
      </c>
      <c r="E855" s="238"/>
      <c r="F855" s="292">
        <f>F856</f>
        <v>7663.0999999999995</v>
      </c>
      <c r="G855" s="476"/>
      <c r="H855" s="476">
        <f>H856</f>
        <v>3635.2</v>
      </c>
      <c r="I855" s="476"/>
      <c r="J855" s="476">
        <f>J856</f>
        <v>3635.2</v>
      </c>
      <c r="K855" s="476"/>
      <c r="L855" s="466"/>
      <c r="N855" s="466"/>
      <c r="O855" s="466"/>
    </row>
    <row r="856" spans="1:15" s="442" customFormat="1" x14ac:dyDescent="0.25">
      <c r="A856" s="560" t="s">
        <v>2009</v>
      </c>
      <c r="B856" s="615" t="s">
        <v>290</v>
      </c>
      <c r="C856" s="235" t="s">
        <v>566</v>
      </c>
      <c r="D856" s="443" t="s">
        <v>2010</v>
      </c>
      <c r="E856" s="238"/>
      <c r="F856" s="292">
        <f>F857+F862</f>
        <v>7663.0999999999995</v>
      </c>
      <c r="G856" s="476"/>
      <c r="H856" s="476">
        <f>H857+H862</f>
        <v>3635.2</v>
      </c>
      <c r="I856" s="476"/>
      <c r="J856" s="476">
        <f>J857+J862</f>
        <v>3635.2</v>
      </c>
      <c r="K856" s="476"/>
      <c r="L856" s="466"/>
      <c r="N856" s="466"/>
      <c r="O856" s="466"/>
    </row>
    <row r="857" spans="1:15" s="442" customFormat="1" ht="31.5" x14ac:dyDescent="0.25">
      <c r="A857" s="524" t="s">
        <v>2011</v>
      </c>
      <c r="B857" s="615" t="s">
        <v>290</v>
      </c>
      <c r="C857" s="235" t="s">
        <v>566</v>
      </c>
      <c r="D857" s="443" t="s">
        <v>2012</v>
      </c>
      <c r="E857" s="238"/>
      <c r="F857" s="292">
        <f>F860+F858</f>
        <v>6717.9</v>
      </c>
      <c r="G857" s="476"/>
      <c r="H857" s="476">
        <f>H860+H858</f>
        <v>3200</v>
      </c>
      <c r="I857" s="476"/>
      <c r="J857" s="476">
        <f>J860+J858</f>
        <v>3200</v>
      </c>
      <c r="K857" s="476"/>
      <c r="L857" s="466"/>
      <c r="N857" s="466"/>
      <c r="O857" s="466"/>
    </row>
    <row r="858" spans="1:15" s="514" customFormat="1" x14ac:dyDescent="0.25">
      <c r="A858" s="524" t="s">
        <v>1782</v>
      </c>
      <c r="B858" s="615" t="s">
        <v>290</v>
      </c>
      <c r="C858" s="235" t="s">
        <v>566</v>
      </c>
      <c r="D858" s="443" t="s">
        <v>2012</v>
      </c>
      <c r="E858" s="238">
        <v>200</v>
      </c>
      <c r="F858" s="292">
        <f>F859</f>
        <v>1240.9000000000001</v>
      </c>
      <c r="G858" s="476"/>
      <c r="H858" s="476">
        <f>H859</f>
        <v>500</v>
      </c>
      <c r="I858" s="476"/>
      <c r="J858" s="476">
        <f>J859</f>
        <v>500</v>
      </c>
      <c r="K858" s="476"/>
      <c r="L858" s="466"/>
      <c r="N858" s="466"/>
      <c r="O858" s="466"/>
    </row>
    <row r="859" spans="1:15" s="514" customFormat="1" ht="31.5" x14ac:dyDescent="0.25">
      <c r="A859" s="524" t="s">
        <v>1274</v>
      </c>
      <c r="B859" s="615" t="s">
        <v>290</v>
      </c>
      <c r="C859" s="235" t="s">
        <v>566</v>
      </c>
      <c r="D859" s="443" t="s">
        <v>2012</v>
      </c>
      <c r="E859" s="238">
        <v>240</v>
      </c>
      <c r="F859" s="292">
        <f>'ведом. 2021-2023'!AD450+'ведом. 2021-2023'!AD584</f>
        <v>1240.9000000000001</v>
      </c>
      <c r="G859" s="476"/>
      <c r="H859" s="476">
        <f>'ведом. 2021-2023'!AE450</f>
        <v>500</v>
      </c>
      <c r="I859" s="476"/>
      <c r="J859" s="476">
        <f>'ведом. 2021-2023'!AF450</f>
        <v>500</v>
      </c>
      <c r="K859" s="476"/>
      <c r="L859" s="466"/>
      <c r="N859" s="466"/>
      <c r="O859" s="466"/>
    </row>
    <row r="860" spans="1:15" s="442" customFormat="1" ht="31.5" x14ac:dyDescent="0.25">
      <c r="A860" s="524" t="s">
        <v>1343</v>
      </c>
      <c r="B860" s="615" t="s">
        <v>290</v>
      </c>
      <c r="C860" s="235" t="s">
        <v>566</v>
      </c>
      <c r="D860" s="443" t="s">
        <v>2012</v>
      </c>
      <c r="E860" s="238">
        <v>600</v>
      </c>
      <c r="F860" s="292">
        <f>F861</f>
        <v>5477</v>
      </c>
      <c r="G860" s="476"/>
      <c r="H860" s="476">
        <f>H861</f>
        <v>2700</v>
      </c>
      <c r="I860" s="476"/>
      <c r="J860" s="476">
        <f>J861</f>
        <v>2700</v>
      </c>
      <c r="K860" s="476"/>
      <c r="L860" s="466"/>
      <c r="N860" s="466"/>
      <c r="O860" s="466"/>
    </row>
    <row r="861" spans="1:15" s="442" customFormat="1" x14ac:dyDescent="0.25">
      <c r="A861" s="524" t="s">
        <v>1344</v>
      </c>
      <c r="B861" s="615" t="s">
        <v>290</v>
      </c>
      <c r="C861" s="235" t="s">
        <v>566</v>
      </c>
      <c r="D861" s="443" t="s">
        <v>2012</v>
      </c>
      <c r="E861" s="238">
        <v>610</v>
      </c>
      <c r="F861" s="292">
        <f>'ведом. 2021-2023'!AD452</f>
        <v>5477</v>
      </c>
      <c r="G861" s="476"/>
      <c r="H861" s="476">
        <f>'ведом. 2021-2023'!AE452</f>
        <v>2700</v>
      </c>
      <c r="I861" s="476"/>
      <c r="J861" s="476">
        <f>'ведом. 2021-2023'!AF452</f>
        <v>2700</v>
      </c>
      <c r="K861" s="476"/>
      <c r="L861" s="466"/>
      <c r="N861" s="466"/>
      <c r="O861" s="466"/>
    </row>
    <row r="862" spans="1:15" s="442" customFormat="1" ht="31.5" x14ac:dyDescent="0.25">
      <c r="A862" s="524" t="s">
        <v>2013</v>
      </c>
      <c r="B862" s="615" t="s">
        <v>290</v>
      </c>
      <c r="C862" s="235" t="s">
        <v>566</v>
      </c>
      <c r="D862" s="443" t="s">
        <v>2014</v>
      </c>
      <c r="E862" s="238"/>
      <c r="F862" s="292">
        <f>F863</f>
        <v>945.2</v>
      </c>
      <c r="G862" s="476"/>
      <c r="H862" s="476">
        <f>H863</f>
        <v>435.2</v>
      </c>
      <c r="I862" s="476"/>
      <c r="J862" s="476">
        <f>J863</f>
        <v>435.2</v>
      </c>
      <c r="K862" s="476"/>
      <c r="L862" s="466"/>
      <c r="N862" s="466"/>
      <c r="O862" s="466"/>
    </row>
    <row r="863" spans="1:15" s="442" customFormat="1" ht="31.5" x14ac:dyDescent="0.25">
      <c r="A863" s="524" t="s">
        <v>1343</v>
      </c>
      <c r="B863" s="615" t="s">
        <v>290</v>
      </c>
      <c r="C863" s="235" t="s">
        <v>566</v>
      </c>
      <c r="D863" s="443" t="s">
        <v>2014</v>
      </c>
      <c r="E863" s="238">
        <v>600</v>
      </c>
      <c r="F863" s="292">
        <f>F864</f>
        <v>945.2</v>
      </c>
      <c r="G863" s="476"/>
      <c r="H863" s="476">
        <f>H864</f>
        <v>435.2</v>
      </c>
      <c r="I863" s="476"/>
      <c r="J863" s="476">
        <f>J864</f>
        <v>435.2</v>
      </c>
      <c r="K863" s="476"/>
      <c r="L863" s="466"/>
      <c r="N863" s="466"/>
      <c r="O863" s="466"/>
    </row>
    <row r="864" spans="1:15" s="442" customFormat="1" x14ac:dyDescent="0.25">
      <c r="A864" s="524" t="s">
        <v>1344</v>
      </c>
      <c r="B864" s="615" t="s">
        <v>290</v>
      </c>
      <c r="C864" s="235" t="s">
        <v>566</v>
      </c>
      <c r="D864" s="443" t="s">
        <v>2014</v>
      </c>
      <c r="E864" s="238">
        <v>610</v>
      </c>
      <c r="F864" s="292">
        <f>'ведом. 2021-2023'!AD455</f>
        <v>945.2</v>
      </c>
      <c r="G864" s="476"/>
      <c r="H864" s="476">
        <f>'ведом. 2021-2023'!AE455</f>
        <v>435.2</v>
      </c>
      <c r="I864" s="476"/>
      <c r="J864" s="476">
        <f>'ведом. 2021-2023'!AF455</f>
        <v>435.2</v>
      </c>
      <c r="K864" s="476"/>
      <c r="L864" s="466"/>
      <c r="N864" s="466"/>
      <c r="O864" s="466"/>
    </row>
    <row r="865" spans="1:15" s="442" customFormat="1" x14ac:dyDescent="0.25">
      <c r="A865" s="521" t="s">
        <v>2252</v>
      </c>
      <c r="B865" s="615" t="s">
        <v>290</v>
      </c>
      <c r="C865" s="235" t="s">
        <v>566</v>
      </c>
      <c r="D865" s="443" t="s">
        <v>2251</v>
      </c>
      <c r="E865" s="238"/>
      <c r="F865" s="292">
        <f>F866</f>
        <v>46685.5</v>
      </c>
      <c r="G865" s="476"/>
      <c r="H865" s="476">
        <f>H866</f>
        <v>46685.5</v>
      </c>
      <c r="I865" s="476"/>
      <c r="J865" s="476">
        <f>J866</f>
        <v>46685.5</v>
      </c>
      <c r="K865" s="476"/>
      <c r="L865" s="466"/>
      <c r="N865" s="466"/>
      <c r="O865" s="466"/>
    </row>
    <row r="866" spans="1:15" s="442" customFormat="1" ht="31.5" x14ac:dyDescent="0.25">
      <c r="A866" s="522" t="s">
        <v>2253</v>
      </c>
      <c r="B866" s="615" t="s">
        <v>290</v>
      </c>
      <c r="C866" s="235" t="s">
        <v>566</v>
      </c>
      <c r="D866" s="443" t="s">
        <v>2254</v>
      </c>
      <c r="E866" s="238"/>
      <c r="F866" s="292">
        <f>F867+F870</f>
        <v>46685.5</v>
      </c>
      <c r="G866" s="476"/>
      <c r="H866" s="476">
        <f>H867+H870</f>
        <v>46685.5</v>
      </c>
      <c r="I866" s="476"/>
      <c r="J866" s="476">
        <f>J867+J870</f>
        <v>46685.5</v>
      </c>
      <c r="K866" s="476"/>
      <c r="L866" s="466"/>
      <c r="N866" s="466"/>
      <c r="O866" s="466"/>
    </row>
    <row r="867" spans="1:15" s="636" customFormat="1" ht="47.25" x14ac:dyDescent="0.25">
      <c r="A867" s="641" t="str">
        <f>'ведом. 2021-2023'!X458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67" s="642" t="str">
        <f>'ведом. 2021-2023'!Z458</f>
        <v>08</v>
      </c>
      <c r="C867" s="631" t="str">
        <f>'ведом. 2021-2023'!AA458</f>
        <v>01</v>
      </c>
      <c r="D867" s="719" t="str">
        <f>'ведом. 2021-2023'!AB458</f>
        <v>02 4 05 06111</v>
      </c>
      <c r="E867" s="637"/>
      <c r="F867" s="749">
        <f t="shared" ref="F867:J868" si="184">F868</f>
        <v>25630.3</v>
      </c>
      <c r="G867" s="627"/>
      <c r="H867" s="627">
        <f t="shared" si="184"/>
        <v>25630.3</v>
      </c>
      <c r="I867" s="627"/>
      <c r="J867" s="627">
        <f t="shared" si="184"/>
        <v>25630.3</v>
      </c>
      <c r="K867" s="627"/>
      <c r="L867" s="635"/>
      <c r="N867" s="635"/>
      <c r="O867" s="635"/>
    </row>
    <row r="868" spans="1:15" s="636" customFormat="1" ht="31.5" x14ac:dyDescent="0.25">
      <c r="A868" s="641" t="str">
        <f>'ведом. 2021-2023'!X459</f>
        <v>Предоставление субсидий бюджетным, автономным учреждениям и иным некоммерческим организациям</v>
      </c>
      <c r="B868" s="642" t="str">
        <f>'ведом. 2021-2023'!Z459</f>
        <v>08</v>
      </c>
      <c r="C868" s="631" t="str">
        <f>'ведом. 2021-2023'!AA459</f>
        <v>01</v>
      </c>
      <c r="D868" s="719" t="str">
        <f>'ведом. 2021-2023'!AB459</f>
        <v>02 4 05 06111</v>
      </c>
      <c r="E868" s="637">
        <f>'ведом. 2021-2023'!AC459</f>
        <v>600</v>
      </c>
      <c r="F868" s="749">
        <f t="shared" si="184"/>
        <v>25630.3</v>
      </c>
      <c r="G868" s="627"/>
      <c r="H868" s="627">
        <f t="shared" si="184"/>
        <v>25630.3</v>
      </c>
      <c r="I868" s="627"/>
      <c r="J868" s="627">
        <f t="shared" si="184"/>
        <v>25630.3</v>
      </c>
      <c r="K868" s="627"/>
      <c r="L868" s="635"/>
      <c r="N868" s="635"/>
      <c r="O868" s="635"/>
    </row>
    <row r="869" spans="1:15" s="636" customFormat="1" x14ac:dyDescent="0.25">
      <c r="A869" s="641" t="str">
        <f>'ведом. 2021-2023'!X460</f>
        <v>Субсидии бюджетным учреждениям</v>
      </c>
      <c r="B869" s="642" t="str">
        <f>'ведом. 2021-2023'!Z460</f>
        <v>08</v>
      </c>
      <c r="C869" s="631" t="str">
        <f>'ведом. 2021-2023'!AA460</f>
        <v>01</v>
      </c>
      <c r="D869" s="719" t="str">
        <f>'ведом. 2021-2023'!AB460</f>
        <v>02 4 05 06111</v>
      </c>
      <c r="E869" s="637">
        <f>'ведом. 2021-2023'!AC460</f>
        <v>610</v>
      </c>
      <c r="F869" s="749">
        <f>'ведом. 2021-2023'!AD460</f>
        <v>25630.3</v>
      </c>
      <c r="G869" s="627"/>
      <c r="H869" s="627">
        <f>'ведом. 2021-2023'!AE460</f>
        <v>25630.3</v>
      </c>
      <c r="I869" s="627"/>
      <c r="J869" s="627">
        <f>'ведом. 2021-2023'!AF460</f>
        <v>25630.3</v>
      </c>
      <c r="K869" s="627"/>
      <c r="L869" s="635"/>
      <c r="N869" s="635"/>
      <c r="O869" s="635"/>
    </row>
    <row r="870" spans="1:15" s="636" customFormat="1" ht="47.25" x14ac:dyDescent="0.25">
      <c r="A870" s="641" t="str">
        <f>'ведом. 2021-2023'!X461</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70" s="642" t="str">
        <f>'ведом. 2021-2023'!Z461</f>
        <v>08</v>
      </c>
      <c r="C870" s="631" t="str">
        <f>'ведом. 2021-2023'!AA461</f>
        <v>01</v>
      </c>
      <c r="D870" s="719" t="str">
        <f>'ведом. 2021-2023'!AB461</f>
        <v>02 4 05 06112</v>
      </c>
      <c r="E870" s="637"/>
      <c r="F870" s="749">
        <f>F871</f>
        <v>21055.200000000001</v>
      </c>
      <c r="G870" s="627"/>
      <c r="H870" s="627">
        <f>H871</f>
        <v>21055.200000000001</v>
      </c>
      <c r="I870" s="627"/>
      <c r="J870" s="627">
        <f>J871</f>
        <v>21055.200000000001</v>
      </c>
      <c r="K870" s="627"/>
      <c r="L870" s="635"/>
      <c r="N870" s="635"/>
      <c r="O870" s="635"/>
    </row>
    <row r="871" spans="1:15" s="636" customFormat="1" ht="31.5" x14ac:dyDescent="0.25">
      <c r="A871" s="641" t="str">
        <f>'ведом. 2021-2023'!X462</f>
        <v>Предоставление субсидий бюджетным, автономным учреждениям и иным некоммерческим организациям</v>
      </c>
      <c r="B871" s="642" t="str">
        <f>'ведом. 2021-2023'!Z462</f>
        <v>08</v>
      </c>
      <c r="C871" s="631" t="str">
        <f>'ведом. 2021-2023'!AA462</f>
        <v>01</v>
      </c>
      <c r="D871" s="719" t="str">
        <f>'ведом. 2021-2023'!AB462</f>
        <v>02 4 05 06112</v>
      </c>
      <c r="E871" s="637">
        <f>'ведом. 2021-2023'!AC462</f>
        <v>600</v>
      </c>
      <c r="F871" s="749">
        <f>F872</f>
        <v>21055.200000000001</v>
      </c>
      <c r="G871" s="627"/>
      <c r="H871" s="627">
        <f>H872</f>
        <v>21055.200000000001</v>
      </c>
      <c r="I871" s="627"/>
      <c r="J871" s="627">
        <f>J872</f>
        <v>21055.200000000001</v>
      </c>
      <c r="K871" s="627"/>
      <c r="L871" s="635"/>
      <c r="N871" s="635"/>
      <c r="O871" s="635"/>
    </row>
    <row r="872" spans="1:15" s="636" customFormat="1" x14ac:dyDescent="0.25">
      <c r="A872" s="641" t="str">
        <f>'ведом. 2021-2023'!X463</f>
        <v>Субсидии бюджетным учреждениям</v>
      </c>
      <c r="B872" s="642" t="str">
        <f>'ведом. 2021-2023'!Z463</f>
        <v>08</v>
      </c>
      <c r="C872" s="631" t="str">
        <f>'ведом. 2021-2023'!AA463</f>
        <v>01</v>
      </c>
      <c r="D872" s="719" t="str">
        <f>'ведом. 2021-2023'!AB463</f>
        <v>02 4 05 06112</v>
      </c>
      <c r="E872" s="637">
        <f>'ведом. 2021-2023'!AC463</f>
        <v>610</v>
      </c>
      <c r="F872" s="749">
        <f>'ведом. 2021-2023'!AD463</f>
        <v>21055.200000000001</v>
      </c>
      <c r="G872" s="627"/>
      <c r="H872" s="627">
        <f>'ведом. 2021-2023'!AE463</f>
        <v>21055.200000000001</v>
      </c>
      <c r="I872" s="627"/>
      <c r="J872" s="627">
        <f>'ведом. 2021-2023'!AF463</f>
        <v>21055.200000000001</v>
      </c>
      <c r="K872" s="627"/>
      <c r="L872" s="635"/>
      <c r="N872" s="635"/>
      <c r="O872" s="635"/>
    </row>
    <row r="873" spans="1:15" s="442" customFormat="1" x14ac:dyDescent="0.25">
      <c r="A873" s="549" t="s">
        <v>2075</v>
      </c>
      <c r="B873" s="615" t="s">
        <v>290</v>
      </c>
      <c r="C873" s="235" t="s">
        <v>566</v>
      </c>
      <c r="D873" s="443" t="s">
        <v>1769</v>
      </c>
      <c r="E873" s="238"/>
      <c r="F873" s="292">
        <f t="shared" ref="F873:H877" si="185">F874</f>
        <v>854</v>
      </c>
      <c r="G873" s="476">
        <f t="shared" si="185"/>
        <v>597.79999999999995</v>
      </c>
      <c r="H873" s="476">
        <f t="shared" si="185"/>
        <v>0</v>
      </c>
      <c r="I873" s="476"/>
      <c r="J873" s="476">
        <v>0</v>
      </c>
      <c r="K873" s="476"/>
      <c r="L873" s="466"/>
      <c r="N873" s="466"/>
      <c r="O873" s="466"/>
    </row>
    <row r="874" spans="1:15" s="442" customFormat="1" x14ac:dyDescent="0.25">
      <c r="A874" s="520" t="s">
        <v>2222</v>
      </c>
      <c r="B874" s="615" t="s">
        <v>290</v>
      </c>
      <c r="C874" s="235" t="s">
        <v>566</v>
      </c>
      <c r="D874" s="443" t="s">
        <v>1770</v>
      </c>
      <c r="E874" s="238"/>
      <c r="F874" s="292">
        <f t="shared" si="185"/>
        <v>854</v>
      </c>
      <c r="G874" s="476">
        <f t="shared" si="185"/>
        <v>597.79999999999995</v>
      </c>
      <c r="H874" s="476">
        <f t="shared" si="185"/>
        <v>0</v>
      </c>
      <c r="I874" s="476"/>
      <c r="J874" s="476">
        <v>0</v>
      </c>
      <c r="K874" s="476"/>
      <c r="L874" s="466"/>
      <c r="N874" s="466"/>
      <c r="O874" s="466"/>
    </row>
    <row r="875" spans="1:15" s="442" customFormat="1" ht="31.5" x14ac:dyDescent="0.25">
      <c r="A875" s="526" t="s">
        <v>2261</v>
      </c>
      <c r="B875" s="615" t="s">
        <v>290</v>
      </c>
      <c r="C875" s="235" t="s">
        <v>566</v>
      </c>
      <c r="D875" s="443" t="s">
        <v>2103</v>
      </c>
      <c r="E875" s="238"/>
      <c r="F875" s="292">
        <f t="shared" si="185"/>
        <v>854</v>
      </c>
      <c r="G875" s="476">
        <f t="shared" si="185"/>
        <v>597.79999999999995</v>
      </c>
      <c r="H875" s="476">
        <f t="shared" si="185"/>
        <v>0</v>
      </c>
      <c r="I875" s="476"/>
      <c r="J875" s="476">
        <v>0</v>
      </c>
      <c r="K875" s="476"/>
      <c r="L875" s="466"/>
      <c r="N875" s="466"/>
      <c r="O875" s="466"/>
    </row>
    <row r="876" spans="1:15" s="442" customFormat="1" ht="47.25" x14ac:dyDescent="0.25">
      <c r="A876" s="520" t="s">
        <v>2262</v>
      </c>
      <c r="B876" s="615" t="s">
        <v>290</v>
      </c>
      <c r="C876" s="235" t="s">
        <v>566</v>
      </c>
      <c r="D876" s="443" t="s">
        <v>2223</v>
      </c>
      <c r="E876" s="238"/>
      <c r="F876" s="292">
        <f t="shared" si="185"/>
        <v>854</v>
      </c>
      <c r="G876" s="476">
        <f t="shared" si="185"/>
        <v>597.79999999999995</v>
      </c>
      <c r="H876" s="476">
        <f t="shared" si="185"/>
        <v>0</v>
      </c>
      <c r="I876" s="476"/>
      <c r="J876" s="476">
        <v>0</v>
      </c>
      <c r="K876" s="476"/>
      <c r="L876" s="466"/>
      <c r="N876" s="466"/>
      <c r="O876" s="466"/>
    </row>
    <row r="877" spans="1:15" s="442" customFormat="1" ht="31.5" x14ac:dyDescent="0.25">
      <c r="A877" s="520" t="s">
        <v>1343</v>
      </c>
      <c r="B877" s="615" t="s">
        <v>290</v>
      </c>
      <c r="C877" s="235" t="s">
        <v>566</v>
      </c>
      <c r="D877" s="443" t="s">
        <v>2223</v>
      </c>
      <c r="E877" s="238">
        <v>600</v>
      </c>
      <c r="F877" s="292">
        <f t="shared" si="185"/>
        <v>854</v>
      </c>
      <c r="G877" s="476">
        <f t="shared" si="185"/>
        <v>597.79999999999995</v>
      </c>
      <c r="H877" s="476">
        <f t="shared" si="185"/>
        <v>0</v>
      </c>
      <c r="I877" s="476"/>
      <c r="J877" s="476">
        <v>0</v>
      </c>
      <c r="K877" s="476"/>
      <c r="L877" s="466"/>
      <c r="N877" s="466"/>
      <c r="O877" s="466"/>
    </row>
    <row r="878" spans="1:15" s="442" customFormat="1" x14ac:dyDescent="0.25">
      <c r="A878" s="561" t="s">
        <v>1344</v>
      </c>
      <c r="B878" s="615" t="s">
        <v>290</v>
      </c>
      <c r="C878" s="235" t="s">
        <v>566</v>
      </c>
      <c r="D878" s="443" t="s">
        <v>2223</v>
      </c>
      <c r="E878" s="238">
        <v>610</v>
      </c>
      <c r="F878" s="292">
        <f>'ведом. 2021-2023'!AD469</f>
        <v>854</v>
      </c>
      <c r="G878" s="476">
        <v>597.79999999999995</v>
      </c>
      <c r="H878" s="476">
        <f>'ведом. 2021-2023'!AE469</f>
        <v>0</v>
      </c>
      <c r="I878" s="476"/>
      <c r="J878" s="476">
        <f>'ведом. 2021-2023'!AF469</f>
        <v>0</v>
      </c>
      <c r="K878" s="476"/>
      <c r="L878" s="466"/>
      <c r="N878" s="466"/>
      <c r="O878" s="466"/>
    </row>
    <row r="879" spans="1:15" s="514" customFormat="1" ht="31.5" x14ac:dyDescent="0.25">
      <c r="A879" s="549" t="s">
        <v>1854</v>
      </c>
      <c r="B879" s="615" t="s">
        <v>290</v>
      </c>
      <c r="C879" s="235" t="s">
        <v>566</v>
      </c>
      <c r="D879" s="468" t="s">
        <v>1762</v>
      </c>
      <c r="E879" s="238"/>
      <c r="F879" s="292">
        <f>F886+F880</f>
        <v>1163.7</v>
      </c>
      <c r="G879" s="292"/>
      <c r="H879" s="292">
        <f t="shared" ref="H879:J879" si="186">H886+H880</f>
        <v>0</v>
      </c>
      <c r="I879" s="292"/>
      <c r="J879" s="292">
        <f t="shared" si="186"/>
        <v>0</v>
      </c>
      <c r="K879" s="476"/>
      <c r="L879" s="466"/>
      <c r="N879" s="466"/>
      <c r="O879" s="466"/>
    </row>
    <row r="880" spans="1:15" s="514" customFormat="1" x14ac:dyDescent="0.25">
      <c r="A880" s="549" t="s">
        <v>1855</v>
      </c>
      <c r="B880" s="235" t="s">
        <v>290</v>
      </c>
      <c r="C880" s="235" t="s">
        <v>566</v>
      </c>
      <c r="D880" s="249" t="s">
        <v>1766</v>
      </c>
      <c r="E880" s="580"/>
      <c r="F880" s="292">
        <f>F881</f>
        <v>129</v>
      </c>
      <c r="G880" s="292"/>
      <c r="H880" s="292">
        <f t="shared" ref="H880:J880" si="187">H881</f>
        <v>0</v>
      </c>
      <c r="I880" s="292"/>
      <c r="J880" s="292">
        <f t="shared" si="187"/>
        <v>0</v>
      </c>
      <c r="K880" s="476"/>
      <c r="L880" s="466"/>
      <c r="N880" s="466"/>
      <c r="O880" s="466"/>
    </row>
    <row r="881" spans="1:15" s="514" customFormat="1" ht="47.25" x14ac:dyDescent="0.25">
      <c r="A881" s="515" t="s">
        <v>2255</v>
      </c>
      <c r="B881" s="235" t="s">
        <v>290</v>
      </c>
      <c r="C881" s="235" t="s">
        <v>566</v>
      </c>
      <c r="D881" s="443" t="s">
        <v>1786</v>
      </c>
      <c r="E881" s="580"/>
      <c r="F881" s="292">
        <f>F882</f>
        <v>129</v>
      </c>
      <c r="G881" s="292"/>
      <c r="H881" s="292">
        <f t="shared" ref="H881:J881" si="188">H882</f>
        <v>0</v>
      </c>
      <c r="I881" s="292"/>
      <c r="J881" s="292">
        <f t="shared" si="188"/>
        <v>0</v>
      </c>
      <c r="K881" s="476"/>
      <c r="L881" s="466"/>
      <c r="N881" s="466"/>
      <c r="O881" s="466"/>
    </row>
    <row r="882" spans="1:15" s="514" customFormat="1" ht="47.25" x14ac:dyDescent="0.25">
      <c r="A882" s="549" t="s">
        <v>1856</v>
      </c>
      <c r="B882" s="235" t="s">
        <v>290</v>
      </c>
      <c r="C882" s="235" t="s">
        <v>566</v>
      </c>
      <c r="D882" s="443" t="s">
        <v>1857</v>
      </c>
      <c r="E882" s="580"/>
      <c r="F882" s="292">
        <f>F883</f>
        <v>129</v>
      </c>
      <c r="G882" s="292"/>
      <c r="H882" s="292">
        <f t="shared" ref="H882:J882" si="189">H883</f>
        <v>0</v>
      </c>
      <c r="I882" s="292"/>
      <c r="J882" s="292">
        <f t="shared" si="189"/>
        <v>0</v>
      </c>
      <c r="K882" s="476"/>
      <c r="L882" s="466"/>
      <c r="N882" s="466"/>
      <c r="O882" s="466"/>
    </row>
    <row r="883" spans="1:15" s="514" customFormat="1" ht="63" x14ac:dyDescent="0.25">
      <c r="A883" s="525" t="s">
        <v>2250</v>
      </c>
      <c r="B883" s="235" t="s">
        <v>290</v>
      </c>
      <c r="C883" s="235" t="s">
        <v>566</v>
      </c>
      <c r="D883" s="443" t="s">
        <v>1858</v>
      </c>
      <c r="E883" s="580"/>
      <c r="F883" s="292">
        <f>F884</f>
        <v>129</v>
      </c>
      <c r="G883" s="292"/>
      <c r="H883" s="292">
        <f t="shared" ref="H883:J883" si="190">H884</f>
        <v>0</v>
      </c>
      <c r="I883" s="292"/>
      <c r="J883" s="292">
        <f t="shared" si="190"/>
        <v>0</v>
      </c>
      <c r="K883" s="476"/>
      <c r="L883" s="466"/>
      <c r="N883" s="466"/>
      <c r="O883" s="466"/>
    </row>
    <row r="884" spans="1:15" s="514" customFormat="1" ht="31.5" x14ac:dyDescent="0.25">
      <c r="A884" s="520" t="s">
        <v>1343</v>
      </c>
      <c r="B884" s="235" t="s">
        <v>290</v>
      </c>
      <c r="C884" s="235" t="s">
        <v>566</v>
      </c>
      <c r="D884" s="443" t="s">
        <v>1858</v>
      </c>
      <c r="E884" s="238">
        <v>600</v>
      </c>
      <c r="F884" s="292">
        <f>F885</f>
        <v>129</v>
      </c>
      <c r="G884" s="292"/>
      <c r="H884" s="292">
        <f t="shared" ref="H884:J884" si="191">H885</f>
        <v>0</v>
      </c>
      <c r="I884" s="292"/>
      <c r="J884" s="292">
        <f t="shared" si="191"/>
        <v>0</v>
      </c>
      <c r="K884" s="476"/>
      <c r="L884" s="466"/>
      <c r="N884" s="466"/>
      <c r="O884" s="466"/>
    </row>
    <row r="885" spans="1:15" s="514" customFormat="1" x14ac:dyDescent="0.25">
      <c r="A885" s="520" t="s">
        <v>1344</v>
      </c>
      <c r="B885" s="235" t="s">
        <v>290</v>
      </c>
      <c r="C885" s="235" t="s">
        <v>566</v>
      </c>
      <c r="D885" s="443" t="s">
        <v>1858</v>
      </c>
      <c r="E885" s="238">
        <v>610</v>
      </c>
      <c r="F885" s="292">
        <f>'ведом. 2021-2023'!AD476</f>
        <v>129</v>
      </c>
      <c r="G885" s="476"/>
      <c r="H885" s="476">
        <f>'ведом. 2021-2023'!AE476</f>
        <v>0</v>
      </c>
      <c r="I885" s="476"/>
      <c r="J885" s="476">
        <f>'ведом. 2021-2023'!AF476</f>
        <v>0</v>
      </c>
      <c r="K885" s="476"/>
      <c r="L885" s="466"/>
      <c r="N885" s="466"/>
      <c r="O885" s="466"/>
    </row>
    <row r="886" spans="1:15" s="514" customFormat="1" ht="31.5" x14ac:dyDescent="0.25">
      <c r="A886" s="549" t="s">
        <v>2277</v>
      </c>
      <c r="B886" s="615" t="s">
        <v>290</v>
      </c>
      <c r="C886" s="235" t="s">
        <v>566</v>
      </c>
      <c r="D886" s="468" t="s">
        <v>1764</v>
      </c>
      <c r="E886" s="238"/>
      <c r="F886" s="292">
        <f>F887</f>
        <v>1034.7</v>
      </c>
      <c r="G886" s="292"/>
      <c r="H886" s="292">
        <f t="shared" ref="H886:J886" si="192">H887</f>
        <v>0</v>
      </c>
      <c r="I886" s="292"/>
      <c r="J886" s="292">
        <f t="shared" si="192"/>
        <v>0</v>
      </c>
      <c r="K886" s="476"/>
      <c r="L886" s="466"/>
      <c r="N886" s="466"/>
      <c r="O886" s="466"/>
    </row>
    <row r="887" spans="1:15" s="514" customFormat="1" x14ac:dyDescent="0.25">
      <c r="A887" s="530" t="s">
        <v>1881</v>
      </c>
      <c r="B887" s="615" t="s">
        <v>290</v>
      </c>
      <c r="C887" s="235" t="s">
        <v>566</v>
      </c>
      <c r="D887" s="468" t="s">
        <v>1790</v>
      </c>
      <c r="E887" s="238"/>
      <c r="F887" s="292">
        <f>F888</f>
        <v>1034.7</v>
      </c>
      <c r="G887" s="476"/>
      <c r="H887" s="476">
        <f>H888</f>
        <v>0</v>
      </c>
      <c r="I887" s="476"/>
      <c r="J887" s="476">
        <f>J888</f>
        <v>0</v>
      </c>
      <c r="K887" s="476"/>
      <c r="L887" s="466"/>
      <c r="N887" s="466"/>
      <c r="O887" s="466"/>
    </row>
    <row r="888" spans="1:15" s="514" customFormat="1" x14ac:dyDescent="0.25">
      <c r="A888" s="520" t="s">
        <v>1877</v>
      </c>
      <c r="B888" s="615" t="s">
        <v>290</v>
      </c>
      <c r="C888" s="235" t="s">
        <v>566</v>
      </c>
      <c r="D888" s="468" t="s">
        <v>1878</v>
      </c>
      <c r="E888" s="238"/>
      <c r="F888" s="292">
        <f>F889</f>
        <v>1034.7</v>
      </c>
      <c r="G888" s="476"/>
      <c r="H888" s="476">
        <f>H889</f>
        <v>0</v>
      </c>
      <c r="I888" s="476"/>
      <c r="J888" s="476">
        <f>J889</f>
        <v>0</v>
      </c>
      <c r="K888" s="476"/>
      <c r="L888" s="466"/>
      <c r="N888" s="466"/>
      <c r="O888" s="466"/>
    </row>
    <row r="889" spans="1:15" s="514" customFormat="1" ht="31.5" x14ac:dyDescent="0.25">
      <c r="A889" s="520" t="s">
        <v>1343</v>
      </c>
      <c r="B889" s="615" t="s">
        <v>290</v>
      </c>
      <c r="C889" s="235" t="s">
        <v>566</v>
      </c>
      <c r="D889" s="468" t="s">
        <v>1878</v>
      </c>
      <c r="E889" s="238">
        <v>600</v>
      </c>
      <c r="F889" s="292">
        <f>F890</f>
        <v>1034.7</v>
      </c>
      <c r="G889" s="476"/>
      <c r="H889" s="476">
        <f>H890</f>
        <v>0</v>
      </c>
      <c r="I889" s="476"/>
      <c r="J889" s="476">
        <f>J890</f>
        <v>0</v>
      </c>
      <c r="K889" s="476"/>
      <c r="L889" s="466"/>
      <c r="N889" s="466"/>
      <c r="O889" s="466"/>
    </row>
    <row r="890" spans="1:15" s="514" customFormat="1" x14ac:dyDescent="0.25">
      <c r="A890" s="520" t="s">
        <v>1344</v>
      </c>
      <c r="B890" s="615" t="s">
        <v>290</v>
      </c>
      <c r="C890" s="235" t="s">
        <v>566</v>
      </c>
      <c r="D890" s="468" t="s">
        <v>1878</v>
      </c>
      <c r="E890" s="238">
        <v>610</v>
      </c>
      <c r="F890" s="292">
        <f>'ведом. 2021-2023'!AD481</f>
        <v>1034.7</v>
      </c>
      <c r="G890" s="476"/>
      <c r="H890" s="476">
        <f>'ведом. 2021-2023'!AE481</f>
        <v>0</v>
      </c>
      <c r="I890" s="476"/>
      <c r="J890" s="476">
        <f>'ведом. 2021-2023'!AF481</f>
        <v>0</v>
      </c>
      <c r="K890" s="476"/>
      <c r="L890" s="466"/>
      <c r="N890" s="466"/>
      <c r="O890" s="466"/>
    </row>
    <row r="891" spans="1:15" s="442" customFormat="1" x14ac:dyDescent="0.25">
      <c r="A891" s="609" t="s">
        <v>759</v>
      </c>
      <c r="B891" s="575" t="s">
        <v>406</v>
      </c>
      <c r="C891" s="235"/>
      <c r="D891" s="249"/>
      <c r="E891" s="238"/>
      <c r="F891" s="745">
        <f t="shared" ref="F891:J892" si="193">F892</f>
        <v>4880</v>
      </c>
      <c r="G891" s="479"/>
      <c r="H891" s="479">
        <f t="shared" si="193"/>
        <v>3780</v>
      </c>
      <c r="I891" s="479"/>
      <c r="J891" s="479">
        <f t="shared" si="193"/>
        <v>3780</v>
      </c>
      <c r="K891" s="479"/>
      <c r="L891" s="466"/>
      <c r="N891" s="466"/>
      <c r="O891" s="466"/>
    </row>
    <row r="892" spans="1:15" s="442" customFormat="1" x14ac:dyDescent="0.25">
      <c r="A892" s="524" t="s">
        <v>1804</v>
      </c>
      <c r="B892" s="246" t="s">
        <v>406</v>
      </c>
      <c r="C892" s="235" t="s">
        <v>406</v>
      </c>
      <c r="D892" s="249"/>
      <c r="E892" s="238"/>
      <c r="F892" s="292">
        <f t="shared" si="193"/>
        <v>4880</v>
      </c>
      <c r="G892" s="476"/>
      <c r="H892" s="476">
        <f t="shared" si="193"/>
        <v>3780</v>
      </c>
      <c r="I892" s="476"/>
      <c r="J892" s="476">
        <f t="shared" si="193"/>
        <v>3780</v>
      </c>
      <c r="K892" s="476"/>
      <c r="L892" s="466"/>
      <c r="N892" s="466"/>
      <c r="O892" s="466"/>
    </row>
    <row r="893" spans="1:15" s="442" customFormat="1" x14ac:dyDescent="0.25">
      <c r="A893" s="521" t="s">
        <v>1841</v>
      </c>
      <c r="B893" s="615" t="s">
        <v>406</v>
      </c>
      <c r="C893" s="235" t="s">
        <v>406</v>
      </c>
      <c r="D893" s="249" t="s">
        <v>1758</v>
      </c>
      <c r="E893" s="238"/>
      <c r="F893" s="292">
        <f>F894</f>
        <v>4880</v>
      </c>
      <c r="G893" s="476"/>
      <c r="H893" s="476">
        <f>H894</f>
        <v>3780</v>
      </c>
      <c r="I893" s="476"/>
      <c r="J893" s="476">
        <f>J894</f>
        <v>3780</v>
      </c>
      <c r="K893" s="476"/>
      <c r="L893" s="466"/>
      <c r="N893" s="466"/>
      <c r="O893" s="466"/>
    </row>
    <row r="894" spans="1:15" s="442" customFormat="1" x14ac:dyDescent="0.25">
      <c r="A894" s="521" t="s">
        <v>1842</v>
      </c>
      <c r="B894" s="615" t="s">
        <v>406</v>
      </c>
      <c r="C894" s="235" t="s">
        <v>406</v>
      </c>
      <c r="D894" s="443" t="s">
        <v>1759</v>
      </c>
      <c r="E894" s="238"/>
      <c r="F894" s="292">
        <f>F895</f>
        <v>4880</v>
      </c>
      <c r="G894" s="476"/>
      <c r="H894" s="476">
        <f>H895</f>
        <v>3780</v>
      </c>
      <c r="I894" s="476"/>
      <c r="J894" s="476">
        <f>J895</f>
        <v>3780</v>
      </c>
      <c r="K894" s="476"/>
      <c r="L894" s="466"/>
      <c r="N894" s="466"/>
      <c r="O894" s="466"/>
    </row>
    <row r="895" spans="1:15" s="442" customFormat="1" x14ac:dyDescent="0.25">
      <c r="A895" s="521" t="s">
        <v>1843</v>
      </c>
      <c r="B895" s="615" t="s">
        <v>406</v>
      </c>
      <c r="C895" s="235" t="s">
        <v>406</v>
      </c>
      <c r="D895" s="443" t="s">
        <v>1844</v>
      </c>
      <c r="E895" s="238"/>
      <c r="F895" s="292">
        <f>F896</f>
        <v>4880</v>
      </c>
      <c r="G895" s="476"/>
      <c r="H895" s="476">
        <f>H896</f>
        <v>3780</v>
      </c>
      <c r="I895" s="476"/>
      <c r="J895" s="476">
        <f>J896</f>
        <v>3780</v>
      </c>
      <c r="K895" s="476"/>
      <c r="L895" s="466"/>
      <c r="N895" s="466"/>
      <c r="O895" s="466"/>
    </row>
    <row r="896" spans="1:15" s="442" customFormat="1" ht="47.25" x14ac:dyDescent="0.25">
      <c r="A896" s="529" t="s">
        <v>1845</v>
      </c>
      <c r="B896" s="615" t="s">
        <v>406</v>
      </c>
      <c r="C896" s="235" t="s">
        <v>406</v>
      </c>
      <c r="D896" s="443" t="s">
        <v>1846</v>
      </c>
      <c r="E896" s="238"/>
      <c r="F896" s="292">
        <f t="shared" ref="F896:J897" si="194">F897</f>
        <v>4880</v>
      </c>
      <c r="G896" s="476"/>
      <c r="H896" s="476">
        <f t="shared" si="194"/>
        <v>3780</v>
      </c>
      <c r="I896" s="476"/>
      <c r="J896" s="476">
        <f t="shared" si="194"/>
        <v>3780</v>
      </c>
      <c r="K896" s="476"/>
      <c r="L896" s="466"/>
      <c r="N896" s="466"/>
      <c r="O896" s="466"/>
    </row>
    <row r="897" spans="1:15" s="442" customFormat="1" x14ac:dyDescent="0.25">
      <c r="A897" s="524" t="s">
        <v>1755</v>
      </c>
      <c r="B897" s="615" t="s">
        <v>406</v>
      </c>
      <c r="C897" s="235" t="s">
        <v>406</v>
      </c>
      <c r="D897" s="443" t="s">
        <v>1846</v>
      </c>
      <c r="E897" s="238">
        <v>300</v>
      </c>
      <c r="F897" s="292">
        <f t="shared" si="194"/>
        <v>4880</v>
      </c>
      <c r="G897" s="476"/>
      <c r="H897" s="476">
        <f t="shared" si="194"/>
        <v>3780</v>
      </c>
      <c r="I897" s="476"/>
      <c r="J897" s="476">
        <f t="shared" si="194"/>
        <v>3780</v>
      </c>
      <c r="K897" s="476"/>
      <c r="L897" s="466"/>
      <c r="N897" s="466"/>
      <c r="O897" s="466"/>
    </row>
    <row r="898" spans="1:15" s="442" customFormat="1" x14ac:dyDescent="0.25">
      <c r="A898" s="520" t="s">
        <v>868</v>
      </c>
      <c r="B898" s="615" t="s">
        <v>406</v>
      </c>
      <c r="C898" s="235" t="s">
        <v>406</v>
      </c>
      <c r="D898" s="443" t="s">
        <v>1846</v>
      </c>
      <c r="E898" s="238">
        <v>320</v>
      </c>
      <c r="F898" s="292">
        <f>'ведом. 2021-2023'!AD489</f>
        <v>4880</v>
      </c>
      <c r="G898" s="476"/>
      <c r="H898" s="476">
        <f>'ведом. 2021-2023'!AE489</f>
        <v>3780</v>
      </c>
      <c r="I898" s="476"/>
      <c r="J898" s="476">
        <f>'ведом. 2021-2023'!AF489</f>
        <v>3780</v>
      </c>
      <c r="K898" s="476"/>
      <c r="L898" s="466"/>
      <c r="N898" s="466"/>
      <c r="O898" s="466"/>
    </row>
    <row r="899" spans="1:15" s="442" customFormat="1" x14ac:dyDescent="0.25">
      <c r="A899" s="609" t="s">
        <v>1746</v>
      </c>
      <c r="B899" s="617" t="s">
        <v>768</v>
      </c>
      <c r="C899" s="248"/>
      <c r="D899" s="271"/>
      <c r="E899" s="576"/>
      <c r="F899" s="745">
        <f t="shared" ref="F899:K899" si="195">F900+F907+F916+F939</f>
        <v>104801.90000000001</v>
      </c>
      <c r="G899" s="479">
        <f t="shared" si="195"/>
        <v>91240.5</v>
      </c>
      <c r="H899" s="479">
        <f t="shared" si="195"/>
        <v>74725.600000000006</v>
      </c>
      <c r="I899" s="479">
        <f t="shared" si="195"/>
        <v>62660</v>
      </c>
      <c r="J899" s="479">
        <f t="shared" si="195"/>
        <v>65553.600000000006</v>
      </c>
      <c r="K899" s="479">
        <f t="shared" si="195"/>
        <v>53478</v>
      </c>
      <c r="L899" s="466"/>
      <c r="N899" s="466"/>
      <c r="O899" s="466"/>
    </row>
    <row r="900" spans="1:15" s="442" customFormat="1" x14ac:dyDescent="0.25">
      <c r="A900" s="524" t="s">
        <v>1313</v>
      </c>
      <c r="B900" s="615">
        <v>10</v>
      </c>
      <c r="C900" s="235" t="s">
        <v>566</v>
      </c>
      <c r="D900" s="249"/>
      <c r="E900" s="589"/>
      <c r="F900" s="292">
        <f>F901</f>
        <v>7640.6000000000013</v>
      </c>
      <c r="G900" s="476"/>
      <c r="H900" s="476">
        <f>H901</f>
        <v>7648.6000000000013</v>
      </c>
      <c r="I900" s="476"/>
      <c r="J900" s="476">
        <f>J901</f>
        <v>7648.6000000000013</v>
      </c>
      <c r="K900" s="476"/>
      <c r="L900" s="466"/>
      <c r="N900" s="466"/>
      <c r="O900" s="466"/>
    </row>
    <row r="901" spans="1:15" s="442" customFormat="1" x14ac:dyDescent="0.25">
      <c r="A901" s="521" t="s">
        <v>2075</v>
      </c>
      <c r="B901" s="615">
        <v>10</v>
      </c>
      <c r="C901" s="235" t="s">
        <v>566</v>
      </c>
      <c r="D901" s="443" t="s">
        <v>1769</v>
      </c>
      <c r="E901" s="589"/>
      <c r="F901" s="292">
        <f>F903</f>
        <v>7640.6000000000013</v>
      </c>
      <c r="G901" s="476"/>
      <c r="H901" s="476">
        <f>H903</f>
        <v>7648.6000000000013</v>
      </c>
      <c r="I901" s="476"/>
      <c r="J901" s="476">
        <f>J903</f>
        <v>7648.6000000000013</v>
      </c>
      <c r="K901" s="476"/>
      <c r="L901" s="466"/>
      <c r="N901" s="466"/>
      <c r="O901" s="466"/>
    </row>
    <row r="902" spans="1:15" s="514" customFormat="1" x14ac:dyDescent="0.25">
      <c r="A902" s="525" t="s">
        <v>2076</v>
      </c>
      <c r="B902" s="615">
        <v>10</v>
      </c>
      <c r="C902" s="235" t="s">
        <v>566</v>
      </c>
      <c r="D902" s="443" t="s">
        <v>1780</v>
      </c>
      <c r="E902" s="589"/>
      <c r="F902" s="292">
        <f>F903</f>
        <v>7640.6000000000013</v>
      </c>
      <c r="G902" s="476"/>
      <c r="H902" s="476">
        <f>H903</f>
        <v>7648.6000000000013</v>
      </c>
      <c r="I902" s="476"/>
      <c r="J902" s="476">
        <f>J903</f>
        <v>7648.6000000000013</v>
      </c>
      <c r="K902" s="476"/>
      <c r="L902" s="466"/>
      <c r="N902" s="466"/>
      <c r="O902" s="466"/>
    </row>
    <row r="903" spans="1:15" s="442" customFormat="1" ht="31.5" x14ac:dyDescent="0.25">
      <c r="A903" s="521" t="s">
        <v>2082</v>
      </c>
      <c r="B903" s="615">
        <v>10</v>
      </c>
      <c r="C903" s="235" t="s">
        <v>566</v>
      </c>
      <c r="D903" s="443" t="s">
        <v>2083</v>
      </c>
      <c r="E903" s="589"/>
      <c r="F903" s="292">
        <f>F906</f>
        <v>7640.6000000000013</v>
      </c>
      <c r="G903" s="476"/>
      <c r="H903" s="476">
        <f>H906</f>
        <v>7648.6000000000013</v>
      </c>
      <c r="I903" s="476"/>
      <c r="J903" s="476">
        <f>J906</f>
        <v>7648.6000000000013</v>
      </c>
      <c r="K903" s="476"/>
      <c r="L903" s="466"/>
      <c r="N903" s="466"/>
      <c r="O903" s="466"/>
    </row>
    <row r="904" spans="1:15" s="442" customFormat="1" ht="31.5" x14ac:dyDescent="0.25">
      <c r="A904" s="522" t="s">
        <v>2084</v>
      </c>
      <c r="B904" s="615">
        <v>10</v>
      </c>
      <c r="C904" s="235" t="s">
        <v>566</v>
      </c>
      <c r="D904" s="443" t="s">
        <v>2085</v>
      </c>
      <c r="E904" s="589"/>
      <c r="F904" s="292">
        <f>F905</f>
        <v>7640.6000000000013</v>
      </c>
      <c r="G904" s="476"/>
      <c r="H904" s="476">
        <f>H905</f>
        <v>7648.6000000000013</v>
      </c>
      <c r="I904" s="476"/>
      <c r="J904" s="476">
        <f>J905</f>
        <v>7648.6000000000013</v>
      </c>
      <c r="K904" s="476"/>
      <c r="L904" s="466"/>
      <c r="N904" s="466"/>
      <c r="O904" s="466"/>
    </row>
    <row r="905" spans="1:15" s="442" customFormat="1" x14ac:dyDescent="0.25">
      <c r="A905" s="524" t="s">
        <v>1755</v>
      </c>
      <c r="B905" s="615">
        <v>10</v>
      </c>
      <c r="C905" s="235" t="s">
        <v>566</v>
      </c>
      <c r="D905" s="443" t="s">
        <v>2085</v>
      </c>
      <c r="E905" s="238">
        <v>300</v>
      </c>
      <c r="F905" s="292">
        <f>F906</f>
        <v>7640.6000000000013</v>
      </c>
      <c r="G905" s="476"/>
      <c r="H905" s="476">
        <f>H906</f>
        <v>7648.6000000000013</v>
      </c>
      <c r="I905" s="476"/>
      <c r="J905" s="476">
        <f>J906</f>
        <v>7648.6000000000013</v>
      </c>
      <c r="K905" s="476"/>
      <c r="L905" s="466"/>
      <c r="N905" s="466"/>
      <c r="O905" s="466"/>
    </row>
    <row r="906" spans="1:15" s="442" customFormat="1" x14ac:dyDescent="0.25">
      <c r="A906" s="524" t="s">
        <v>868</v>
      </c>
      <c r="B906" s="615">
        <v>10</v>
      </c>
      <c r="C906" s="235" t="s">
        <v>566</v>
      </c>
      <c r="D906" s="443" t="s">
        <v>2085</v>
      </c>
      <c r="E906" s="238">
        <v>320</v>
      </c>
      <c r="F906" s="292">
        <f>'ведом. 2021-2023'!AD1084+'ведом. 2021-2023'!AD497+'ведом. 2021-2023'!AD592+'ведом. 2021-2023'!AD630+'ведом. 2021-2023'!AD684+'ведом. 2021-2023'!AD869+'ведом. 2021-2023'!AD1150+'ведом. 2021-2023'!AD1178</f>
        <v>7640.6000000000013</v>
      </c>
      <c r="G906" s="476"/>
      <c r="H906" s="476">
        <f>'ведом. 2021-2023'!AE1084+'ведом. 2021-2023'!AE497+'ведом. 2021-2023'!AE592+'ведом. 2021-2023'!AE630+'ведом. 2021-2023'!AE684+'ведом. 2021-2023'!AE869+'ведом. 2021-2023'!AE1150+'ведом. 2021-2023'!AE1178</f>
        <v>7648.6000000000013</v>
      </c>
      <c r="I906" s="476"/>
      <c r="J906" s="476">
        <f>'ведом. 2021-2023'!AF1084+'ведом. 2021-2023'!AF497+'ведом. 2021-2023'!AF592+'ведом. 2021-2023'!AF630+'ведом. 2021-2023'!AF684+'ведом. 2021-2023'!AF869+'ведом. 2021-2023'!AF1150+'ведом. 2021-2023'!AF1178</f>
        <v>7648.6000000000013</v>
      </c>
      <c r="K906" s="476"/>
      <c r="L906" s="466"/>
      <c r="N906" s="466"/>
      <c r="O906" s="466"/>
    </row>
    <row r="907" spans="1:15" s="442" customFormat="1" x14ac:dyDescent="0.25">
      <c r="A907" s="524" t="s">
        <v>1323</v>
      </c>
      <c r="B907" s="615">
        <v>10</v>
      </c>
      <c r="C907" s="235" t="s">
        <v>193</v>
      </c>
      <c r="D907" s="443"/>
      <c r="E907" s="238"/>
      <c r="F907" s="292">
        <f t="shared" ref="F907:K907" si="196">F908</f>
        <v>19062</v>
      </c>
      <c r="G907" s="476">
        <f t="shared" si="196"/>
        <v>19062</v>
      </c>
      <c r="H907" s="476">
        <f t="shared" si="196"/>
        <v>19747</v>
      </c>
      <c r="I907" s="476">
        <f t="shared" si="196"/>
        <v>19747</v>
      </c>
      <c r="J907" s="476">
        <f t="shared" si="196"/>
        <v>20478</v>
      </c>
      <c r="K907" s="476">
        <f t="shared" si="196"/>
        <v>20478</v>
      </c>
      <c r="L907" s="466"/>
      <c r="N907" s="466"/>
      <c r="O907" s="466"/>
    </row>
    <row r="908" spans="1:15" s="442" customFormat="1" x14ac:dyDescent="0.25">
      <c r="A908" s="521" t="s">
        <v>2075</v>
      </c>
      <c r="B908" s="615">
        <v>10</v>
      </c>
      <c r="C908" s="235" t="s">
        <v>193</v>
      </c>
      <c r="D908" s="443" t="s">
        <v>1769</v>
      </c>
      <c r="E908" s="238"/>
      <c r="F908" s="292">
        <f t="shared" ref="F908:K912" si="197">F909</f>
        <v>19062</v>
      </c>
      <c r="G908" s="476">
        <f t="shared" si="197"/>
        <v>19062</v>
      </c>
      <c r="H908" s="476">
        <f t="shared" si="197"/>
        <v>19747</v>
      </c>
      <c r="I908" s="476">
        <f t="shared" si="197"/>
        <v>19747</v>
      </c>
      <c r="J908" s="476">
        <f t="shared" si="197"/>
        <v>20478</v>
      </c>
      <c r="K908" s="476">
        <f t="shared" si="197"/>
        <v>20478</v>
      </c>
      <c r="L908" s="466"/>
      <c r="N908" s="466"/>
      <c r="O908" s="466"/>
    </row>
    <row r="909" spans="1:15" s="442" customFormat="1" x14ac:dyDescent="0.25">
      <c r="A909" s="521" t="s">
        <v>2076</v>
      </c>
      <c r="B909" s="615">
        <v>10</v>
      </c>
      <c r="C909" s="235" t="s">
        <v>193</v>
      </c>
      <c r="D909" s="443" t="s">
        <v>1780</v>
      </c>
      <c r="E909" s="238"/>
      <c r="F909" s="292">
        <f>F910</f>
        <v>19062</v>
      </c>
      <c r="G909" s="476">
        <f t="shared" si="197"/>
        <v>19062</v>
      </c>
      <c r="H909" s="476">
        <f t="shared" si="197"/>
        <v>19747</v>
      </c>
      <c r="I909" s="476">
        <f t="shared" si="197"/>
        <v>19747</v>
      </c>
      <c r="J909" s="476">
        <f t="shared" si="197"/>
        <v>20478</v>
      </c>
      <c r="K909" s="476">
        <f t="shared" si="197"/>
        <v>20478</v>
      </c>
      <c r="L909" s="466"/>
      <c r="N909" s="466"/>
      <c r="O909" s="466"/>
    </row>
    <row r="910" spans="1:15" s="442" customFormat="1" ht="47.25" x14ac:dyDescent="0.25">
      <c r="A910" s="521" t="s">
        <v>2077</v>
      </c>
      <c r="B910" s="615">
        <v>10</v>
      </c>
      <c r="C910" s="235" t="s">
        <v>193</v>
      </c>
      <c r="D910" s="443" t="s">
        <v>2078</v>
      </c>
      <c r="E910" s="238"/>
      <c r="F910" s="292">
        <f t="shared" si="197"/>
        <v>19062</v>
      </c>
      <c r="G910" s="476">
        <f t="shared" si="197"/>
        <v>19062</v>
      </c>
      <c r="H910" s="476">
        <f t="shared" si="197"/>
        <v>19747</v>
      </c>
      <c r="I910" s="476">
        <f t="shared" si="197"/>
        <v>19747</v>
      </c>
      <c r="J910" s="476">
        <f t="shared" si="197"/>
        <v>20478</v>
      </c>
      <c r="K910" s="476">
        <f t="shared" si="197"/>
        <v>20478</v>
      </c>
      <c r="L910" s="466"/>
      <c r="N910" s="466"/>
      <c r="O910" s="466"/>
    </row>
    <row r="911" spans="1:15" s="442" customFormat="1" x14ac:dyDescent="0.25">
      <c r="A911" s="529" t="s">
        <v>1784</v>
      </c>
      <c r="B911" s="615">
        <v>10</v>
      </c>
      <c r="C911" s="235" t="s">
        <v>193</v>
      </c>
      <c r="D911" s="443" t="s">
        <v>2079</v>
      </c>
      <c r="E911" s="238"/>
      <c r="F911" s="292">
        <f t="shared" ref="F911:K911" si="198">F912+F914</f>
        <v>19062</v>
      </c>
      <c r="G911" s="476">
        <f t="shared" si="198"/>
        <v>19062</v>
      </c>
      <c r="H911" s="476">
        <f t="shared" si="198"/>
        <v>19747</v>
      </c>
      <c r="I911" s="476">
        <f t="shared" si="198"/>
        <v>19747</v>
      </c>
      <c r="J911" s="476">
        <f t="shared" si="198"/>
        <v>20478</v>
      </c>
      <c r="K911" s="476">
        <f t="shared" si="198"/>
        <v>20478</v>
      </c>
      <c r="L911" s="466"/>
      <c r="N911" s="466"/>
      <c r="O911" s="466"/>
    </row>
    <row r="912" spans="1:15" s="442" customFormat="1" x14ac:dyDescent="0.25">
      <c r="A912" s="524" t="s">
        <v>1782</v>
      </c>
      <c r="B912" s="615">
        <v>10</v>
      </c>
      <c r="C912" s="235" t="s">
        <v>193</v>
      </c>
      <c r="D912" s="443" t="s">
        <v>2079</v>
      </c>
      <c r="E912" s="238">
        <v>200</v>
      </c>
      <c r="F912" s="292">
        <f t="shared" si="197"/>
        <v>153.5</v>
      </c>
      <c r="G912" s="476">
        <f t="shared" si="197"/>
        <v>153.5</v>
      </c>
      <c r="H912" s="476">
        <f t="shared" si="197"/>
        <v>167</v>
      </c>
      <c r="I912" s="476">
        <f t="shared" si="197"/>
        <v>167</v>
      </c>
      <c r="J912" s="476">
        <f t="shared" si="197"/>
        <v>170</v>
      </c>
      <c r="K912" s="476">
        <f t="shared" si="197"/>
        <v>170</v>
      </c>
      <c r="L912" s="466"/>
      <c r="N912" s="466"/>
      <c r="O912" s="466"/>
    </row>
    <row r="913" spans="1:15" s="442" customFormat="1" ht="31.5" x14ac:dyDescent="0.25">
      <c r="A913" s="524" t="s">
        <v>1274</v>
      </c>
      <c r="B913" s="615">
        <v>10</v>
      </c>
      <c r="C913" s="235" t="s">
        <v>193</v>
      </c>
      <c r="D913" s="443" t="s">
        <v>2079</v>
      </c>
      <c r="E913" s="238">
        <v>240</v>
      </c>
      <c r="F913" s="292">
        <f>'ведом. 2021-2023'!AD1091</f>
        <v>153.5</v>
      </c>
      <c r="G913" s="476">
        <f>F913</f>
        <v>153.5</v>
      </c>
      <c r="H913" s="476">
        <f>'ведом. 2021-2023'!AE1091</f>
        <v>167</v>
      </c>
      <c r="I913" s="476">
        <f>H913</f>
        <v>167</v>
      </c>
      <c r="J913" s="476">
        <f>'ведом. 2021-2023'!AF1091</f>
        <v>170</v>
      </c>
      <c r="K913" s="476">
        <f>J913</f>
        <v>170</v>
      </c>
      <c r="L913" s="466"/>
      <c r="N913" s="466"/>
      <c r="O913" s="466"/>
    </row>
    <row r="914" spans="1:15" s="442" customFormat="1" x14ac:dyDescent="0.25">
      <c r="A914" s="524" t="s">
        <v>1755</v>
      </c>
      <c r="B914" s="615">
        <v>10</v>
      </c>
      <c r="C914" s="235" t="s">
        <v>193</v>
      </c>
      <c r="D914" s="443" t="s">
        <v>2079</v>
      </c>
      <c r="E914" s="238">
        <v>300</v>
      </c>
      <c r="F914" s="292">
        <f t="shared" ref="F914:K914" si="199">F915</f>
        <v>18908.5</v>
      </c>
      <c r="G914" s="476">
        <f t="shared" si="199"/>
        <v>18908.5</v>
      </c>
      <c r="H914" s="476">
        <f t="shared" si="199"/>
        <v>19580</v>
      </c>
      <c r="I914" s="476">
        <f t="shared" si="199"/>
        <v>19580</v>
      </c>
      <c r="J914" s="476">
        <f t="shared" si="199"/>
        <v>20308</v>
      </c>
      <c r="K914" s="476">
        <f t="shared" si="199"/>
        <v>20308</v>
      </c>
      <c r="L914" s="466"/>
      <c r="N914" s="466"/>
      <c r="O914" s="466"/>
    </row>
    <row r="915" spans="1:15" s="442" customFormat="1" x14ac:dyDescent="0.25">
      <c r="A915" s="524" t="s">
        <v>1805</v>
      </c>
      <c r="B915" s="615">
        <v>10</v>
      </c>
      <c r="C915" s="235" t="s">
        <v>193</v>
      </c>
      <c r="D915" s="443" t="s">
        <v>2079</v>
      </c>
      <c r="E915" s="238">
        <v>310</v>
      </c>
      <c r="F915" s="292">
        <f>'ведом. 2021-2023'!AD1093</f>
        <v>18908.5</v>
      </c>
      <c r="G915" s="476">
        <f>F915</f>
        <v>18908.5</v>
      </c>
      <c r="H915" s="476">
        <f>'ведом. 2021-2023'!AE1093</f>
        <v>19580</v>
      </c>
      <c r="I915" s="476">
        <f>H915</f>
        <v>19580</v>
      </c>
      <c r="J915" s="476">
        <f>'ведом. 2021-2023'!AF1093</f>
        <v>20308</v>
      </c>
      <c r="K915" s="476">
        <f>J915</f>
        <v>20308</v>
      </c>
      <c r="L915" s="466"/>
      <c r="N915" s="466"/>
      <c r="O915" s="466"/>
    </row>
    <row r="916" spans="1:15" s="442" customFormat="1" x14ac:dyDescent="0.25">
      <c r="A916" s="524" t="s">
        <v>605</v>
      </c>
      <c r="B916" s="615">
        <v>10</v>
      </c>
      <c r="C916" s="235" t="s">
        <v>1182</v>
      </c>
      <c r="D916" s="249"/>
      <c r="E916" s="238"/>
      <c r="F916" s="292">
        <f t="shared" ref="F916:K916" si="200">F917+F925</f>
        <v>77959.3</v>
      </c>
      <c r="G916" s="476">
        <f t="shared" si="200"/>
        <v>72178.5</v>
      </c>
      <c r="H916" s="476">
        <f t="shared" si="200"/>
        <v>47190</v>
      </c>
      <c r="I916" s="476">
        <f t="shared" si="200"/>
        <v>42913</v>
      </c>
      <c r="J916" s="476">
        <f t="shared" si="200"/>
        <v>37287</v>
      </c>
      <c r="K916" s="476">
        <f t="shared" si="200"/>
        <v>33000</v>
      </c>
      <c r="L916" s="466"/>
      <c r="N916" s="466"/>
      <c r="O916" s="466"/>
    </row>
    <row r="917" spans="1:15" s="442" customFormat="1" x14ac:dyDescent="0.25">
      <c r="A917" s="607" t="s">
        <v>2022</v>
      </c>
      <c r="B917" s="615">
        <v>10</v>
      </c>
      <c r="C917" s="235" t="s">
        <v>1182</v>
      </c>
      <c r="D917" s="249" t="s">
        <v>1760</v>
      </c>
      <c r="E917" s="238"/>
      <c r="F917" s="292">
        <f t="shared" ref="F917:K917" si="201">F918</f>
        <v>17818</v>
      </c>
      <c r="G917" s="476">
        <f t="shared" si="201"/>
        <v>17818</v>
      </c>
      <c r="H917" s="476">
        <f t="shared" si="201"/>
        <v>17818</v>
      </c>
      <c r="I917" s="476">
        <f t="shared" si="201"/>
        <v>17818</v>
      </c>
      <c r="J917" s="476">
        <f t="shared" si="201"/>
        <v>17818</v>
      </c>
      <c r="K917" s="476">
        <f t="shared" si="201"/>
        <v>17818</v>
      </c>
      <c r="L917" s="466"/>
      <c r="N917" s="466"/>
      <c r="O917" s="466"/>
    </row>
    <row r="918" spans="1:15" s="442" customFormat="1" x14ac:dyDescent="0.25">
      <c r="A918" s="521" t="s">
        <v>2023</v>
      </c>
      <c r="B918" s="615">
        <v>10</v>
      </c>
      <c r="C918" s="235" t="s">
        <v>1182</v>
      </c>
      <c r="D918" s="249" t="s">
        <v>1778</v>
      </c>
      <c r="E918" s="238"/>
      <c r="F918" s="292">
        <f t="shared" ref="F918:K919" si="202">F919</f>
        <v>17818</v>
      </c>
      <c r="G918" s="476">
        <f t="shared" si="202"/>
        <v>17818</v>
      </c>
      <c r="H918" s="476">
        <f t="shared" si="202"/>
        <v>17818</v>
      </c>
      <c r="I918" s="476">
        <f>I919</f>
        <v>17818</v>
      </c>
      <c r="J918" s="476">
        <f t="shared" si="202"/>
        <v>17818</v>
      </c>
      <c r="K918" s="476">
        <f t="shared" si="202"/>
        <v>17818</v>
      </c>
      <c r="L918" s="466"/>
      <c r="N918" s="466"/>
      <c r="O918" s="466"/>
    </row>
    <row r="919" spans="1:15" s="442" customFormat="1" ht="31.5" x14ac:dyDescent="0.25">
      <c r="A919" s="521" t="s">
        <v>2024</v>
      </c>
      <c r="B919" s="615">
        <v>10</v>
      </c>
      <c r="C919" s="235" t="s">
        <v>1182</v>
      </c>
      <c r="D919" s="443" t="s">
        <v>1792</v>
      </c>
      <c r="E919" s="238"/>
      <c r="F919" s="292">
        <f t="shared" si="202"/>
        <v>17818</v>
      </c>
      <c r="G919" s="476">
        <f t="shared" si="202"/>
        <v>17818</v>
      </c>
      <c r="H919" s="476">
        <f t="shared" si="202"/>
        <v>17818</v>
      </c>
      <c r="I919" s="476">
        <f t="shared" si="202"/>
        <v>17818</v>
      </c>
      <c r="J919" s="476">
        <f t="shared" si="202"/>
        <v>17818</v>
      </c>
      <c r="K919" s="476">
        <f t="shared" si="202"/>
        <v>17818</v>
      </c>
      <c r="L919" s="466"/>
      <c r="N919" s="466"/>
      <c r="O919" s="466"/>
    </row>
    <row r="920" spans="1:15" s="442" customFormat="1" ht="47.25" x14ac:dyDescent="0.25">
      <c r="A920" s="522" t="s">
        <v>2026</v>
      </c>
      <c r="B920" s="615">
        <v>10</v>
      </c>
      <c r="C920" s="235" t="s">
        <v>1182</v>
      </c>
      <c r="D920" s="443" t="s">
        <v>2167</v>
      </c>
      <c r="E920" s="238"/>
      <c r="F920" s="292">
        <f t="shared" ref="F920:K920" si="203">F923+F921</f>
        <v>17818</v>
      </c>
      <c r="G920" s="476">
        <f t="shared" si="203"/>
        <v>17818</v>
      </c>
      <c r="H920" s="476">
        <f t="shared" si="203"/>
        <v>17818</v>
      </c>
      <c r="I920" s="476">
        <f t="shared" si="203"/>
        <v>17818</v>
      </c>
      <c r="J920" s="476">
        <f t="shared" si="203"/>
        <v>17818</v>
      </c>
      <c r="K920" s="476">
        <f t="shared" si="203"/>
        <v>17818</v>
      </c>
      <c r="L920" s="466"/>
      <c r="N920" s="466"/>
      <c r="O920" s="466"/>
    </row>
    <row r="921" spans="1:15" s="442" customFormat="1" x14ac:dyDescent="0.25">
      <c r="A921" s="524" t="s">
        <v>1782</v>
      </c>
      <c r="B921" s="615">
        <v>10</v>
      </c>
      <c r="C921" s="235" t="s">
        <v>1182</v>
      </c>
      <c r="D921" s="443" t="s">
        <v>2167</v>
      </c>
      <c r="E921" s="238">
        <v>200</v>
      </c>
      <c r="F921" s="292">
        <f t="shared" ref="F921:K921" si="204">F922</f>
        <v>176</v>
      </c>
      <c r="G921" s="476">
        <f t="shared" si="204"/>
        <v>176</v>
      </c>
      <c r="H921" s="476">
        <f t="shared" si="204"/>
        <v>176</v>
      </c>
      <c r="I921" s="476">
        <f t="shared" si="204"/>
        <v>176</v>
      </c>
      <c r="J921" s="476">
        <f t="shared" si="204"/>
        <v>176</v>
      </c>
      <c r="K921" s="476">
        <f t="shared" si="204"/>
        <v>176</v>
      </c>
      <c r="L921" s="466"/>
      <c r="N921" s="466"/>
      <c r="O921" s="466"/>
    </row>
    <row r="922" spans="1:15" s="442" customFormat="1" ht="31.5" x14ac:dyDescent="0.25">
      <c r="A922" s="524" t="s">
        <v>1274</v>
      </c>
      <c r="B922" s="615">
        <v>10</v>
      </c>
      <c r="C922" s="235" t="s">
        <v>1182</v>
      </c>
      <c r="D922" s="443" t="s">
        <v>2167</v>
      </c>
      <c r="E922" s="238">
        <v>240</v>
      </c>
      <c r="F922" s="292">
        <f>'ведом. 2021-2023'!AD876</f>
        <v>176</v>
      </c>
      <c r="G922" s="476">
        <f>F922</f>
        <v>176</v>
      </c>
      <c r="H922" s="476">
        <f>'ведом. 2021-2023'!AE876</f>
        <v>176</v>
      </c>
      <c r="I922" s="476">
        <f>H922</f>
        <v>176</v>
      </c>
      <c r="J922" s="476">
        <f>'ведом. 2021-2023'!AF876</f>
        <v>176</v>
      </c>
      <c r="K922" s="476">
        <f>J922</f>
        <v>176</v>
      </c>
      <c r="L922" s="466"/>
      <c r="N922" s="466"/>
      <c r="O922" s="466"/>
    </row>
    <row r="923" spans="1:15" s="442" customFormat="1" x14ac:dyDescent="0.25">
      <c r="A923" s="524" t="s">
        <v>1755</v>
      </c>
      <c r="B923" s="615">
        <v>10</v>
      </c>
      <c r="C923" s="235" t="s">
        <v>1182</v>
      </c>
      <c r="D923" s="443" t="s">
        <v>2167</v>
      </c>
      <c r="E923" s="238">
        <v>300</v>
      </c>
      <c r="F923" s="292">
        <f t="shared" ref="F923:K923" si="205">F924</f>
        <v>17642</v>
      </c>
      <c r="G923" s="476">
        <f t="shared" si="205"/>
        <v>17642</v>
      </c>
      <c r="H923" s="476">
        <f t="shared" si="205"/>
        <v>17642</v>
      </c>
      <c r="I923" s="476">
        <f t="shared" si="205"/>
        <v>17642</v>
      </c>
      <c r="J923" s="476">
        <f t="shared" si="205"/>
        <v>17642</v>
      </c>
      <c r="K923" s="476">
        <f t="shared" si="205"/>
        <v>17642</v>
      </c>
      <c r="L923" s="466"/>
      <c r="N923" s="466"/>
      <c r="O923" s="466"/>
    </row>
    <row r="924" spans="1:15" s="442" customFormat="1" x14ac:dyDescent="0.25">
      <c r="A924" s="524" t="s">
        <v>1805</v>
      </c>
      <c r="B924" s="615">
        <v>10</v>
      </c>
      <c r="C924" s="235" t="s">
        <v>1182</v>
      </c>
      <c r="D924" s="443" t="s">
        <v>2167</v>
      </c>
      <c r="E924" s="238">
        <v>310</v>
      </c>
      <c r="F924" s="292">
        <f>'ведом. 2021-2023'!AD878</f>
        <v>17642</v>
      </c>
      <c r="G924" s="476">
        <f>F924</f>
        <v>17642</v>
      </c>
      <c r="H924" s="476">
        <f>'ведом. 2021-2023'!AE878</f>
        <v>17642</v>
      </c>
      <c r="I924" s="476">
        <f>H924</f>
        <v>17642</v>
      </c>
      <c r="J924" s="476">
        <f>'ведом. 2021-2023'!AF878</f>
        <v>17642</v>
      </c>
      <c r="K924" s="476">
        <f>J924</f>
        <v>17642</v>
      </c>
      <c r="L924" s="466"/>
      <c r="N924" s="466"/>
      <c r="O924" s="466"/>
    </row>
    <row r="925" spans="1:15" s="442" customFormat="1" x14ac:dyDescent="0.25">
      <c r="A925" s="521" t="s">
        <v>1891</v>
      </c>
      <c r="B925" s="615">
        <v>10</v>
      </c>
      <c r="C925" s="235" t="s">
        <v>1182</v>
      </c>
      <c r="D925" s="443" t="s">
        <v>1777</v>
      </c>
      <c r="E925" s="238"/>
      <c r="F925" s="292">
        <f t="shared" ref="F925:K925" si="206">F934+F926</f>
        <v>60141.3</v>
      </c>
      <c r="G925" s="292">
        <f t="shared" si="206"/>
        <v>54360.5</v>
      </c>
      <c r="H925" s="292">
        <f t="shared" si="206"/>
        <v>29372</v>
      </c>
      <c r="I925" s="292">
        <f t="shared" si="206"/>
        <v>25095</v>
      </c>
      <c r="J925" s="292">
        <f t="shared" si="206"/>
        <v>19469</v>
      </c>
      <c r="K925" s="476">
        <f t="shared" si="206"/>
        <v>15182</v>
      </c>
      <c r="L925" s="466"/>
      <c r="N925" s="466"/>
      <c r="O925" s="466"/>
    </row>
    <row r="926" spans="1:15" s="442" customFormat="1" x14ac:dyDescent="0.25">
      <c r="A926" s="521" t="s">
        <v>1890</v>
      </c>
      <c r="B926" s="615">
        <v>10</v>
      </c>
      <c r="C926" s="235" t="s">
        <v>1182</v>
      </c>
      <c r="D926" s="443" t="s">
        <v>1825</v>
      </c>
      <c r="E926" s="238"/>
      <c r="F926" s="292">
        <f t="shared" ref="F926:K926" si="207">F927</f>
        <v>11104.3</v>
      </c>
      <c r="G926" s="476">
        <f t="shared" si="207"/>
        <v>5323.5</v>
      </c>
      <c r="H926" s="476">
        <f t="shared" si="207"/>
        <v>9559</v>
      </c>
      <c r="I926" s="476">
        <f t="shared" si="207"/>
        <v>5282</v>
      </c>
      <c r="J926" s="476">
        <f t="shared" si="207"/>
        <v>9562</v>
      </c>
      <c r="K926" s="476">
        <f t="shared" si="207"/>
        <v>5275</v>
      </c>
      <c r="L926" s="466"/>
      <c r="N926" s="466"/>
      <c r="O926" s="466"/>
    </row>
    <row r="927" spans="1:15" s="442" customFormat="1" ht="47.25" x14ac:dyDescent="0.25">
      <c r="A927" s="521" t="s">
        <v>1887</v>
      </c>
      <c r="B927" s="615">
        <v>10</v>
      </c>
      <c r="C927" s="235" t="s">
        <v>1182</v>
      </c>
      <c r="D927" s="443" t="s">
        <v>1824</v>
      </c>
      <c r="E927" s="238"/>
      <c r="F927" s="292">
        <f t="shared" ref="F927:K927" si="208">F931+F928</f>
        <v>11104.3</v>
      </c>
      <c r="G927" s="476">
        <f t="shared" si="208"/>
        <v>5323.5</v>
      </c>
      <c r="H927" s="476">
        <f t="shared" si="208"/>
        <v>9559</v>
      </c>
      <c r="I927" s="476">
        <f t="shared" si="208"/>
        <v>5282</v>
      </c>
      <c r="J927" s="476">
        <f t="shared" si="208"/>
        <v>9562</v>
      </c>
      <c r="K927" s="476">
        <f t="shared" si="208"/>
        <v>5275</v>
      </c>
      <c r="L927" s="466"/>
      <c r="N927" s="466"/>
      <c r="O927" s="466"/>
    </row>
    <row r="928" spans="1:15" s="514" customFormat="1" x14ac:dyDescent="0.25">
      <c r="A928" s="841" t="s">
        <v>2359</v>
      </c>
      <c r="B928" s="615">
        <v>10</v>
      </c>
      <c r="C928" s="235" t="s">
        <v>1182</v>
      </c>
      <c r="D928" s="443" t="s">
        <v>2360</v>
      </c>
      <c r="E928" s="238"/>
      <c r="F928" s="292">
        <f>F929</f>
        <v>1352.3999999999999</v>
      </c>
      <c r="G928" s="476"/>
      <c r="H928" s="476">
        <f>H929</f>
        <v>0</v>
      </c>
      <c r="I928" s="476"/>
      <c r="J928" s="476">
        <f>J929</f>
        <v>0</v>
      </c>
      <c r="K928" s="476"/>
      <c r="L928" s="466"/>
      <c r="N928" s="466"/>
      <c r="O928" s="466"/>
    </row>
    <row r="929" spans="1:15" s="514" customFormat="1" x14ac:dyDescent="0.25">
      <c r="A929" s="520" t="s">
        <v>1755</v>
      </c>
      <c r="B929" s="615">
        <v>10</v>
      </c>
      <c r="C929" s="235" t="s">
        <v>1182</v>
      </c>
      <c r="D929" s="443" t="s">
        <v>2360</v>
      </c>
      <c r="E929" s="238">
        <v>300</v>
      </c>
      <c r="F929" s="292">
        <f>F930</f>
        <v>1352.3999999999999</v>
      </c>
      <c r="G929" s="476"/>
      <c r="H929" s="476">
        <f>H930</f>
        <v>0</v>
      </c>
      <c r="I929" s="476"/>
      <c r="J929" s="476">
        <f>J930</f>
        <v>0</v>
      </c>
      <c r="K929" s="476"/>
      <c r="L929" s="466"/>
      <c r="N929" s="466"/>
      <c r="O929" s="466"/>
    </row>
    <row r="930" spans="1:15" s="514" customFormat="1" x14ac:dyDescent="0.25">
      <c r="A930" s="520" t="s">
        <v>444</v>
      </c>
      <c r="B930" s="615">
        <v>10</v>
      </c>
      <c r="C930" s="235" t="s">
        <v>1182</v>
      </c>
      <c r="D930" s="443" t="s">
        <v>2360</v>
      </c>
      <c r="E930" s="238">
        <v>320</v>
      </c>
      <c r="F930" s="292">
        <f>'ведом. 2021-2023'!AD1100</f>
        <v>1352.3999999999999</v>
      </c>
      <c r="G930" s="476"/>
      <c r="H930" s="476">
        <f>'ведом. 2021-2023'!AE1100</f>
        <v>0</v>
      </c>
      <c r="I930" s="476"/>
      <c r="J930" s="476">
        <f>'ведом. 2021-2023'!AF1100</f>
        <v>0</v>
      </c>
      <c r="K930" s="476"/>
      <c r="L930" s="466"/>
      <c r="N930" s="466"/>
      <c r="O930" s="466"/>
    </row>
    <row r="931" spans="1:15" s="442" customFormat="1" x14ac:dyDescent="0.25">
      <c r="A931" s="521" t="s">
        <v>1888</v>
      </c>
      <c r="B931" s="615">
        <v>10</v>
      </c>
      <c r="C931" s="235" t="s">
        <v>1182</v>
      </c>
      <c r="D931" s="443" t="s">
        <v>1889</v>
      </c>
      <c r="E931" s="238"/>
      <c r="F931" s="292">
        <f t="shared" ref="F931:K932" si="209">F932</f>
        <v>9751.9</v>
      </c>
      <c r="G931" s="476">
        <f t="shared" si="209"/>
        <v>5323.5</v>
      </c>
      <c r="H931" s="476">
        <f t="shared" si="209"/>
        <v>9559</v>
      </c>
      <c r="I931" s="476">
        <f t="shared" si="209"/>
        <v>5282</v>
      </c>
      <c r="J931" s="476">
        <f t="shared" si="209"/>
        <v>9562</v>
      </c>
      <c r="K931" s="476">
        <f t="shared" si="209"/>
        <v>5275</v>
      </c>
      <c r="L931" s="466"/>
      <c r="N931" s="466"/>
      <c r="O931" s="466"/>
    </row>
    <row r="932" spans="1:15" s="442" customFormat="1" x14ac:dyDescent="0.25">
      <c r="A932" s="524" t="s">
        <v>1755</v>
      </c>
      <c r="B932" s="615">
        <v>10</v>
      </c>
      <c r="C932" s="235" t="s">
        <v>1182</v>
      </c>
      <c r="D932" s="443" t="s">
        <v>1889</v>
      </c>
      <c r="E932" s="238">
        <v>300</v>
      </c>
      <c r="F932" s="292">
        <f t="shared" si="209"/>
        <v>9751.9</v>
      </c>
      <c r="G932" s="476">
        <f t="shared" si="209"/>
        <v>5323.5</v>
      </c>
      <c r="H932" s="476">
        <f t="shared" si="209"/>
        <v>9559</v>
      </c>
      <c r="I932" s="476">
        <f t="shared" si="209"/>
        <v>5282</v>
      </c>
      <c r="J932" s="476">
        <f t="shared" si="209"/>
        <v>9562</v>
      </c>
      <c r="K932" s="476">
        <f t="shared" si="209"/>
        <v>5275</v>
      </c>
      <c r="L932" s="466"/>
      <c r="N932" s="466"/>
      <c r="O932" s="466"/>
    </row>
    <row r="933" spans="1:15" s="442" customFormat="1" x14ac:dyDescent="0.25">
      <c r="A933" s="524" t="s">
        <v>444</v>
      </c>
      <c r="B933" s="615">
        <v>10</v>
      </c>
      <c r="C933" s="235" t="s">
        <v>1182</v>
      </c>
      <c r="D933" s="443" t="s">
        <v>1889</v>
      </c>
      <c r="E933" s="238">
        <v>320</v>
      </c>
      <c r="F933" s="292">
        <f>'ведом. 2021-2023'!AD1103</f>
        <v>9751.9</v>
      </c>
      <c r="G933" s="476">
        <f>5288.2-893.7+893.7+35.3</f>
        <v>5323.5</v>
      </c>
      <c r="H933" s="476">
        <f>'ведом. 2021-2023'!AE1103</f>
        <v>9559</v>
      </c>
      <c r="I933" s="476">
        <v>5282</v>
      </c>
      <c r="J933" s="476">
        <f>'ведом. 2021-2023'!AF1103</f>
        <v>9562</v>
      </c>
      <c r="K933" s="476">
        <v>5275</v>
      </c>
      <c r="L933" s="466"/>
      <c r="N933" s="466"/>
      <c r="O933" s="466"/>
    </row>
    <row r="934" spans="1:15" s="442" customFormat="1" ht="31.5" x14ac:dyDescent="0.25">
      <c r="A934" s="521" t="s">
        <v>1892</v>
      </c>
      <c r="B934" s="615">
        <v>10</v>
      </c>
      <c r="C934" s="235" t="s">
        <v>1182</v>
      </c>
      <c r="D934" s="443" t="s">
        <v>1828</v>
      </c>
      <c r="E934" s="238"/>
      <c r="F934" s="292">
        <f t="shared" ref="F934:K934" si="210">F936</f>
        <v>49037</v>
      </c>
      <c r="G934" s="476">
        <f t="shared" si="210"/>
        <v>49037</v>
      </c>
      <c r="H934" s="476">
        <f t="shared" si="210"/>
        <v>19813</v>
      </c>
      <c r="I934" s="476">
        <f t="shared" si="210"/>
        <v>19813</v>
      </c>
      <c r="J934" s="476">
        <f t="shared" si="210"/>
        <v>9907</v>
      </c>
      <c r="K934" s="476">
        <f t="shared" si="210"/>
        <v>9907</v>
      </c>
      <c r="L934" s="466"/>
      <c r="N934" s="466"/>
      <c r="O934" s="466"/>
    </row>
    <row r="935" spans="1:15" s="442" customFormat="1" ht="47.25" x14ac:dyDescent="0.25">
      <c r="A935" s="549" t="s">
        <v>2322</v>
      </c>
      <c r="B935" s="615">
        <v>10</v>
      </c>
      <c r="C935" s="235" t="s">
        <v>1182</v>
      </c>
      <c r="D935" s="443" t="s">
        <v>1827</v>
      </c>
      <c r="E935" s="238"/>
      <c r="F935" s="292">
        <f t="shared" ref="F935:K935" si="211">F936</f>
        <v>49037</v>
      </c>
      <c r="G935" s="476">
        <f t="shared" si="211"/>
        <v>49037</v>
      </c>
      <c r="H935" s="476">
        <f t="shared" si="211"/>
        <v>19813</v>
      </c>
      <c r="I935" s="476">
        <f t="shared" si="211"/>
        <v>19813</v>
      </c>
      <c r="J935" s="476">
        <f t="shared" si="211"/>
        <v>9907</v>
      </c>
      <c r="K935" s="476">
        <f t="shared" si="211"/>
        <v>9907</v>
      </c>
      <c r="L935" s="466"/>
      <c r="N935" s="466"/>
      <c r="O935" s="466"/>
    </row>
    <row r="936" spans="1:15" s="442" customFormat="1" ht="47.25" x14ac:dyDescent="0.25">
      <c r="A936" s="549" t="s">
        <v>1893</v>
      </c>
      <c r="B936" s="615">
        <v>10</v>
      </c>
      <c r="C936" s="235" t="s">
        <v>1182</v>
      </c>
      <c r="D936" s="443" t="s">
        <v>1826</v>
      </c>
      <c r="E936" s="238"/>
      <c r="F936" s="292">
        <f t="shared" ref="F936:K937" si="212">F937</f>
        <v>49037</v>
      </c>
      <c r="G936" s="476">
        <f t="shared" si="212"/>
        <v>49037</v>
      </c>
      <c r="H936" s="476">
        <f t="shared" si="212"/>
        <v>19813</v>
      </c>
      <c r="I936" s="476">
        <f t="shared" si="212"/>
        <v>19813</v>
      </c>
      <c r="J936" s="476">
        <f t="shared" si="212"/>
        <v>9907</v>
      </c>
      <c r="K936" s="476">
        <f t="shared" si="212"/>
        <v>9907</v>
      </c>
      <c r="L936" s="466"/>
      <c r="N936" s="466"/>
      <c r="O936" s="466"/>
    </row>
    <row r="937" spans="1:15" s="442" customFormat="1" x14ac:dyDescent="0.25">
      <c r="A937" s="613" t="s">
        <v>418</v>
      </c>
      <c r="B937" s="615">
        <v>10</v>
      </c>
      <c r="C937" s="235" t="s">
        <v>1182</v>
      </c>
      <c r="D937" s="256" t="s">
        <v>1826</v>
      </c>
      <c r="E937" s="238">
        <v>400</v>
      </c>
      <c r="F937" s="292">
        <f t="shared" si="212"/>
        <v>49037</v>
      </c>
      <c r="G937" s="476">
        <f t="shared" si="212"/>
        <v>49037</v>
      </c>
      <c r="H937" s="476">
        <f t="shared" si="212"/>
        <v>19813</v>
      </c>
      <c r="I937" s="476">
        <f t="shared" si="212"/>
        <v>19813</v>
      </c>
      <c r="J937" s="476">
        <f t="shared" si="212"/>
        <v>9907</v>
      </c>
      <c r="K937" s="476">
        <f t="shared" si="212"/>
        <v>9907</v>
      </c>
      <c r="L937" s="466"/>
      <c r="N937" s="466"/>
      <c r="O937" s="466"/>
    </row>
    <row r="938" spans="1:15" s="442" customFormat="1" x14ac:dyDescent="0.25">
      <c r="A938" s="524" t="s">
        <v>232</v>
      </c>
      <c r="B938" s="615">
        <v>10</v>
      </c>
      <c r="C938" s="235" t="s">
        <v>1182</v>
      </c>
      <c r="D938" s="256" t="s">
        <v>1826</v>
      </c>
      <c r="E938" s="238">
        <v>410</v>
      </c>
      <c r="F938" s="292">
        <f>'ведом. 2021-2023'!AD691</f>
        <v>49037</v>
      </c>
      <c r="G938" s="476">
        <f>F938</f>
        <v>49037</v>
      </c>
      <c r="H938" s="476">
        <f>'ведом. 2021-2023'!AE691</f>
        <v>19813</v>
      </c>
      <c r="I938" s="476">
        <f>H938</f>
        <v>19813</v>
      </c>
      <c r="J938" s="476">
        <f>'ведом. 2021-2023'!AF691</f>
        <v>9907</v>
      </c>
      <c r="K938" s="476">
        <f>J938</f>
        <v>9907</v>
      </c>
      <c r="L938" s="466"/>
      <c r="N938" s="466"/>
      <c r="O938" s="466"/>
    </row>
    <row r="939" spans="1:15" s="442" customFormat="1" x14ac:dyDescent="0.25">
      <c r="A939" s="524" t="s">
        <v>729</v>
      </c>
      <c r="B939" s="615">
        <v>10</v>
      </c>
      <c r="C939" s="235" t="s">
        <v>1747</v>
      </c>
      <c r="D939" s="249"/>
      <c r="E939" s="577"/>
      <c r="F939" s="292">
        <f>F940</f>
        <v>140</v>
      </c>
      <c r="G939" s="476"/>
      <c r="H939" s="476">
        <f>H940</f>
        <v>140</v>
      </c>
      <c r="I939" s="476"/>
      <c r="J939" s="476">
        <f>J940</f>
        <v>140</v>
      </c>
      <c r="K939" s="476"/>
      <c r="L939" s="466"/>
      <c r="N939" s="466"/>
      <c r="O939" s="466"/>
    </row>
    <row r="940" spans="1:15" s="442" customFormat="1" x14ac:dyDescent="0.25">
      <c r="A940" s="521" t="s">
        <v>2075</v>
      </c>
      <c r="B940" s="615">
        <v>10</v>
      </c>
      <c r="C940" s="235" t="s">
        <v>1747</v>
      </c>
      <c r="D940" s="443" t="s">
        <v>1769</v>
      </c>
      <c r="E940" s="577"/>
      <c r="F940" s="292">
        <f>F941</f>
        <v>140</v>
      </c>
      <c r="G940" s="476"/>
      <c r="H940" s="476">
        <f>H941</f>
        <v>140</v>
      </c>
      <c r="I940" s="476"/>
      <c r="J940" s="476">
        <f>J941</f>
        <v>140</v>
      </c>
      <c r="K940" s="476"/>
      <c r="L940" s="466"/>
      <c r="N940" s="466"/>
      <c r="O940" s="466"/>
    </row>
    <row r="941" spans="1:15" s="442" customFormat="1" ht="31.5" x14ac:dyDescent="0.25">
      <c r="A941" s="521" t="s">
        <v>2102</v>
      </c>
      <c r="B941" s="615">
        <v>10</v>
      </c>
      <c r="C941" s="235" t="s">
        <v>1747</v>
      </c>
      <c r="D941" s="443" t="s">
        <v>2096</v>
      </c>
      <c r="E941" s="577"/>
      <c r="F941" s="292">
        <f>F942</f>
        <v>140</v>
      </c>
      <c r="G941" s="476"/>
      <c r="H941" s="476">
        <f>H942</f>
        <v>140</v>
      </c>
      <c r="I941" s="476"/>
      <c r="J941" s="476">
        <f>J942</f>
        <v>140</v>
      </c>
      <c r="K941" s="476"/>
      <c r="L941" s="466"/>
      <c r="N941" s="466"/>
      <c r="O941" s="466"/>
    </row>
    <row r="942" spans="1:15" s="442" customFormat="1" x14ac:dyDescent="0.25">
      <c r="A942" s="529" t="s">
        <v>2097</v>
      </c>
      <c r="B942" s="615">
        <v>10</v>
      </c>
      <c r="C942" s="235" t="s">
        <v>1747</v>
      </c>
      <c r="D942" s="443" t="s">
        <v>2098</v>
      </c>
      <c r="E942" s="577"/>
      <c r="F942" s="292">
        <f>F943+F946</f>
        <v>140</v>
      </c>
      <c r="G942" s="476"/>
      <c r="H942" s="476">
        <f>H943+H946</f>
        <v>140</v>
      </c>
      <c r="I942" s="476"/>
      <c r="J942" s="476">
        <f>J943+J946</f>
        <v>140</v>
      </c>
      <c r="K942" s="476"/>
      <c r="L942" s="466"/>
      <c r="N942" s="466"/>
      <c r="O942" s="466"/>
    </row>
    <row r="943" spans="1:15" s="442" customFormat="1" x14ac:dyDescent="0.25">
      <c r="A943" s="522" t="s">
        <v>2241</v>
      </c>
      <c r="B943" s="615">
        <v>10</v>
      </c>
      <c r="C943" s="235" t="s">
        <v>1747</v>
      </c>
      <c r="D943" s="443" t="s">
        <v>2101</v>
      </c>
      <c r="E943" s="594"/>
      <c r="F943" s="292">
        <f>F944</f>
        <v>70</v>
      </c>
      <c r="G943" s="476"/>
      <c r="H943" s="476">
        <f>H944</f>
        <v>70</v>
      </c>
      <c r="I943" s="476"/>
      <c r="J943" s="476">
        <f>J944</f>
        <v>70</v>
      </c>
      <c r="K943" s="476"/>
      <c r="L943" s="466"/>
      <c r="N943" s="466"/>
      <c r="O943" s="466"/>
    </row>
    <row r="944" spans="1:15" s="442" customFormat="1" ht="31.5" x14ac:dyDescent="0.25">
      <c r="A944" s="524" t="s">
        <v>1343</v>
      </c>
      <c r="B944" s="615">
        <v>10</v>
      </c>
      <c r="C944" s="235" t="s">
        <v>1747</v>
      </c>
      <c r="D944" s="443" t="s">
        <v>2101</v>
      </c>
      <c r="E944" s="594">
        <v>600</v>
      </c>
      <c r="F944" s="292">
        <f>F945</f>
        <v>70</v>
      </c>
      <c r="G944" s="476"/>
      <c r="H944" s="476">
        <f>H945</f>
        <v>70</v>
      </c>
      <c r="I944" s="476"/>
      <c r="J944" s="476">
        <f>J945</f>
        <v>70</v>
      </c>
      <c r="K944" s="476"/>
      <c r="L944" s="466"/>
      <c r="N944" s="466"/>
      <c r="O944" s="466"/>
    </row>
    <row r="945" spans="1:15" s="442" customFormat="1" ht="31.5" x14ac:dyDescent="0.25">
      <c r="A945" s="524" t="s">
        <v>869</v>
      </c>
      <c r="B945" s="615">
        <v>10</v>
      </c>
      <c r="C945" s="235" t="s">
        <v>1747</v>
      </c>
      <c r="D945" s="443" t="s">
        <v>2101</v>
      </c>
      <c r="E945" s="594">
        <v>630</v>
      </c>
      <c r="F945" s="292">
        <f>'ведом. 2021-2023'!AD504</f>
        <v>70</v>
      </c>
      <c r="G945" s="476"/>
      <c r="H945" s="476">
        <f>'ведом. 2021-2023'!AE504</f>
        <v>70</v>
      </c>
      <c r="I945" s="476"/>
      <c r="J945" s="476">
        <f>'ведом. 2021-2023'!AF504</f>
        <v>70</v>
      </c>
      <c r="K945" s="476"/>
      <c r="L945" s="466"/>
      <c r="N945" s="466"/>
      <c r="O945" s="466"/>
    </row>
    <row r="946" spans="1:15" s="442" customFormat="1" ht="31.5" x14ac:dyDescent="0.25">
      <c r="A946" s="522" t="s">
        <v>2338</v>
      </c>
      <c r="B946" s="615">
        <v>10</v>
      </c>
      <c r="C946" s="235" t="s">
        <v>1747</v>
      </c>
      <c r="D946" s="443" t="s">
        <v>2099</v>
      </c>
      <c r="E946" s="577"/>
      <c r="F946" s="292">
        <f>F947</f>
        <v>70</v>
      </c>
      <c r="G946" s="476"/>
      <c r="H946" s="476">
        <f>H947</f>
        <v>70</v>
      </c>
      <c r="I946" s="476"/>
      <c r="J946" s="476">
        <f>J947</f>
        <v>70</v>
      </c>
      <c r="K946" s="476"/>
      <c r="L946" s="466"/>
      <c r="N946" s="466"/>
      <c r="O946" s="466"/>
    </row>
    <row r="947" spans="1:15" s="442" customFormat="1" ht="31.5" x14ac:dyDescent="0.25">
      <c r="A947" s="524" t="s">
        <v>1343</v>
      </c>
      <c r="B947" s="615">
        <v>10</v>
      </c>
      <c r="C947" s="235" t="s">
        <v>1747</v>
      </c>
      <c r="D947" s="443" t="s">
        <v>2099</v>
      </c>
      <c r="E947" s="595">
        <v>600</v>
      </c>
      <c r="F947" s="292">
        <f>F948</f>
        <v>70</v>
      </c>
      <c r="G947" s="476"/>
      <c r="H947" s="476">
        <f>H948</f>
        <v>70</v>
      </c>
      <c r="I947" s="476"/>
      <c r="J947" s="476">
        <f>J948</f>
        <v>70</v>
      </c>
      <c r="K947" s="476"/>
      <c r="L947" s="466"/>
      <c r="N947" s="466"/>
      <c r="O947" s="466"/>
    </row>
    <row r="948" spans="1:15" s="442" customFormat="1" ht="31.5" x14ac:dyDescent="0.25">
      <c r="A948" s="524" t="s">
        <v>869</v>
      </c>
      <c r="B948" s="615">
        <v>10</v>
      </c>
      <c r="C948" s="235" t="s">
        <v>1747</v>
      </c>
      <c r="D948" s="443" t="s">
        <v>2099</v>
      </c>
      <c r="E948" s="582">
        <v>630</v>
      </c>
      <c r="F948" s="292">
        <f>'ведом. 2021-2023'!AD507</f>
        <v>70</v>
      </c>
      <c r="G948" s="476"/>
      <c r="H948" s="476">
        <f>'ведом. 2021-2023'!AE507</f>
        <v>70</v>
      </c>
      <c r="I948" s="476"/>
      <c r="J948" s="476">
        <f>'ведом. 2021-2023'!AF507</f>
        <v>70</v>
      </c>
      <c r="K948" s="476"/>
      <c r="L948" s="466"/>
      <c r="N948" s="466"/>
      <c r="O948" s="466"/>
    </row>
    <row r="949" spans="1:15" s="442" customFormat="1" x14ac:dyDescent="0.25">
      <c r="A949" s="609" t="s">
        <v>282</v>
      </c>
      <c r="B949" s="575">
        <v>11</v>
      </c>
      <c r="C949" s="247"/>
      <c r="D949" s="271"/>
      <c r="E949" s="576"/>
      <c r="F949" s="745">
        <f>F950+F957</f>
        <v>91881.8</v>
      </c>
      <c r="G949" s="479"/>
      <c r="H949" s="479">
        <f>H950+H957</f>
        <v>83781.8</v>
      </c>
      <c r="I949" s="479"/>
      <c r="J949" s="479">
        <f>J950+J957</f>
        <v>83781.8</v>
      </c>
      <c r="K949" s="479"/>
      <c r="L949" s="466"/>
      <c r="N949" s="466"/>
      <c r="O949" s="466"/>
    </row>
    <row r="950" spans="1:15" s="442" customFormat="1" x14ac:dyDescent="0.25">
      <c r="A950" s="524" t="s">
        <v>283</v>
      </c>
      <c r="B950" s="615">
        <v>11</v>
      </c>
      <c r="C950" s="235" t="s">
        <v>566</v>
      </c>
      <c r="D950" s="271"/>
      <c r="E950" s="576"/>
      <c r="F950" s="292">
        <f t="shared" ref="F950:J951" si="213">F951</f>
        <v>32271.200000000001</v>
      </c>
      <c r="G950" s="476"/>
      <c r="H950" s="476">
        <f t="shared" si="213"/>
        <v>29271.200000000001</v>
      </c>
      <c r="I950" s="476"/>
      <c r="J950" s="476">
        <f t="shared" si="213"/>
        <v>29271.200000000001</v>
      </c>
      <c r="K950" s="476"/>
      <c r="L950" s="466"/>
      <c r="N950" s="466"/>
      <c r="O950" s="466"/>
    </row>
    <row r="951" spans="1:15" s="442" customFormat="1" x14ac:dyDescent="0.25">
      <c r="A951" s="521" t="s">
        <v>1847</v>
      </c>
      <c r="B951" s="615">
        <v>11</v>
      </c>
      <c r="C951" s="235" t="s">
        <v>566</v>
      </c>
      <c r="D951" s="443" t="s">
        <v>1776</v>
      </c>
      <c r="E951" s="576"/>
      <c r="F951" s="292">
        <f t="shared" si="213"/>
        <v>32271.200000000001</v>
      </c>
      <c r="G951" s="476"/>
      <c r="H951" s="476">
        <f t="shared" si="213"/>
        <v>29271.200000000001</v>
      </c>
      <c r="I951" s="476"/>
      <c r="J951" s="476">
        <f t="shared" si="213"/>
        <v>29271.200000000001</v>
      </c>
      <c r="K951" s="476"/>
      <c r="L951" s="466"/>
      <c r="N951" s="466"/>
      <c r="O951" s="466"/>
    </row>
    <row r="952" spans="1:15" s="442" customFormat="1" x14ac:dyDescent="0.25">
      <c r="A952" s="521" t="s">
        <v>1848</v>
      </c>
      <c r="B952" s="615">
        <v>11</v>
      </c>
      <c r="C952" s="235" t="s">
        <v>566</v>
      </c>
      <c r="D952" s="443" t="s">
        <v>1781</v>
      </c>
      <c r="E952" s="576"/>
      <c r="F952" s="292">
        <f>F953</f>
        <v>32271.200000000001</v>
      </c>
      <c r="G952" s="476"/>
      <c r="H952" s="476">
        <f>H953</f>
        <v>29271.200000000001</v>
      </c>
      <c r="I952" s="476"/>
      <c r="J952" s="476">
        <f>J953</f>
        <v>29271.200000000001</v>
      </c>
      <c r="K952" s="476"/>
      <c r="L952" s="466"/>
      <c r="N952" s="466"/>
      <c r="O952" s="466"/>
    </row>
    <row r="953" spans="1:15" s="442" customFormat="1" ht="31.5" x14ac:dyDescent="0.25">
      <c r="A953" s="521" t="s">
        <v>1849</v>
      </c>
      <c r="B953" s="615">
        <v>11</v>
      </c>
      <c r="C953" s="235" t="s">
        <v>566</v>
      </c>
      <c r="D953" s="443" t="s">
        <v>1800</v>
      </c>
      <c r="E953" s="576"/>
      <c r="F953" s="292">
        <f>F954</f>
        <v>32271.200000000001</v>
      </c>
      <c r="G953" s="476"/>
      <c r="H953" s="476">
        <f>H954</f>
        <v>29271.200000000001</v>
      </c>
      <c r="I953" s="476"/>
      <c r="J953" s="476">
        <f>J954</f>
        <v>29271.200000000001</v>
      </c>
      <c r="K953" s="476"/>
      <c r="L953" s="466"/>
      <c r="N953" s="466"/>
      <c r="O953" s="466"/>
    </row>
    <row r="954" spans="1:15" s="442" customFormat="1" ht="31.5" x14ac:dyDescent="0.25">
      <c r="A954" s="529" t="s">
        <v>1850</v>
      </c>
      <c r="B954" s="615">
        <v>11</v>
      </c>
      <c r="C954" s="235" t="s">
        <v>566</v>
      </c>
      <c r="D954" s="443" t="s">
        <v>1851</v>
      </c>
      <c r="E954" s="576"/>
      <c r="F954" s="292">
        <f>F955</f>
        <v>32271.200000000001</v>
      </c>
      <c r="G954" s="476"/>
      <c r="H954" s="476">
        <f>H955</f>
        <v>29271.200000000001</v>
      </c>
      <c r="I954" s="476"/>
      <c r="J954" s="476">
        <f>J955</f>
        <v>29271.200000000001</v>
      </c>
      <c r="K954" s="476"/>
      <c r="L954" s="466"/>
      <c r="N954" s="466"/>
      <c r="O954" s="466"/>
    </row>
    <row r="955" spans="1:15" s="442" customFormat="1" ht="31.5" x14ac:dyDescent="0.25">
      <c r="A955" s="524" t="s">
        <v>1343</v>
      </c>
      <c r="B955" s="615">
        <v>11</v>
      </c>
      <c r="C955" s="235" t="s">
        <v>566</v>
      </c>
      <c r="D955" s="443" t="s">
        <v>1851</v>
      </c>
      <c r="E955" s="584">
        <v>600</v>
      </c>
      <c r="F955" s="292">
        <f>F956</f>
        <v>32271.200000000001</v>
      </c>
      <c r="G955" s="476"/>
      <c r="H955" s="476">
        <f>H956</f>
        <v>29271.200000000001</v>
      </c>
      <c r="I955" s="476"/>
      <c r="J955" s="476">
        <f>J956</f>
        <v>29271.200000000001</v>
      </c>
      <c r="K955" s="476"/>
      <c r="L955" s="466"/>
      <c r="N955" s="466"/>
      <c r="O955" s="466"/>
    </row>
    <row r="956" spans="1:15" s="442" customFormat="1" x14ac:dyDescent="0.25">
      <c r="A956" s="524" t="s">
        <v>1801</v>
      </c>
      <c r="B956" s="615">
        <v>11</v>
      </c>
      <c r="C956" s="235" t="s">
        <v>566</v>
      </c>
      <c r="D956" s="443" t="s">
        <v>1851</v>
      </c>
      <c r="E956" s="584">
        <v>620</v>
      </c>
      <c r="F956" s="292">
        <f>'ведом. 2021-2023'!AD515</f>
        <v>32271.200000000001</v>
      </c>
      <c r="G956" s="476"/>
      <c r="H956" s="476">
        <f>'ведом. 2021-2023'!AE515</f>
        <v>29271.200000000001</v>
      </c>
      <c r="I956" s="476"/>
      <c r="J956" s="476">
        <f>'ведом. 2021-2023'!AF515</f>
        <v>29271.200000000001</v>
      </c>
      <c r="K956" s="476"/>
      <c r="L956" s="466"/>
      <c r="N956" s="466"/>
      <c r="O956" s="466"/>
    </row>
    <row r="957" spans="1:15" s="442" customFormat="1" x14ac:dyDescent="0.25">
      <c r="A957" s="524" t="s">
        <v>758</v>
      </c>
      <c r="B957" s="615">
        <v>11</v>
      </c>
      <c r="C957" s="235" t="s">
        <v>567</v>
      </c>
      <c r="D957" s="443"/>
      <c r="E957" s="584"/>
      <c r="F957" s="292">
        <f>F958</f>
        <v>59610.600000000006</v>
      </c>
      <c r="G957" s="476"/>
      <c r="H957" s="476">
        <f>H958</f>
        <v>54510.600000000006</v>
      </c>
      <c r="I957" s="476"/>
      <c r="J957" s="476">
        <f>J958</f>
        <v>54510.600000000006</v>
      </c>
      <c r="K957" s="476"/>
      <c r="L957" s="466"/>
      <c r="N957" s="466"/>
      <c r="O957" s="466"/>
    </row>
    <row r="958" spans="1:15" s="514" customFormat="1" x14ac:dyDescent="0.25">
      <c r="A958" s="521" t="s">
        <v>1847</v>
      </c>
      <c r="B958" s="615">
        <v>11</v>
      </c>
      <c r="C958" s="235" t="s">
        <v>567</v>
      </c>
      <c r="D958" s="443" t="s">
        <v>1776</v>
      </c>
      <c r="E958" s="584"/>
      <c r="F958" s="292">
        <f>F959+F970</f>
        <v>59610.600000000006</v>
      </c>
      <c r="G958" s="476"/>
      <c r="H958" s="476">
        <f>H959+H970</f>
        <v>54510.600000000006</v>
      </c>
      <c r="I958" s="476"/>
      <c r="J958" s="476">
        <f>J959+J970</f>
        <v>54510.600000000006</v>
      </c>
      <c r="K958" s="476"/>
      <c r="L958" s="466"/>
      <c r="N958" s="466"/>
      <c r="O958" s="466"/>
    </row>
    <row r="959" spans="1:15" s="442" customFormat="1" x14ac:dyDescent="0.25">
      <c r="A959" s="521" t="s">
        <v>1848</v>
      </c>
      <c r="B959" s="615">
        <v>11</v>
      </c>
      <c r="C959" s="235" t="s">
        <v>567</v>
      </c>
      <c r="D959" s="443" t="s">
        <v>1781</v>
      </c>
      <c r="E959" s="584"/>
      <c r="F959" s="292">
        <f>F960</f>
        <v>8400</v>
      </c>
      <c r="G959" s="476"/>
      <c r="H959" s="476">
        <f>H960</f>
        <v>3300</v>
      </c>
      <c r="I959" s="476"/>
      <c r="J959" s="476">
        <f>J960</f>
        <v>3300</v>
      </c>
      <c r="K959" s="476"/>
      <c r="L959" s="466"/>
      <c r="N959" s="466"/>
      <c r="O959" s="466"/>
    </row>
    <row r="960" spans="1:15" s="514" customFormat="1" ht="31.5" x14ac:dyDescent="0.25">
      <c r="A960" s="518" t="s">
        <v>1849</v>
      </c>
      <c r="B960" s="615">
        <v>11</v>
      </c>
      <c r="C960" s="235" t="s">
        <v>567</v>
      </c>
      <c r="D960" s="443" t="s">
        <v>1800</v>
      </c>
      <c r="E960" s="584"/>
      <c r="F960" s="292">
        <f>F964+F961</f>
        <v>8400</v>
      </c>
      <c r="G960" s="476"/>
      <c r="H960" s="476">
        <f>H964+H961</f>
        <v>3300</v>
      </c>
      <c r="I960" s="476"/>
      <c r="J960" s="476">
        <f>J964+J961</f>
        <v>3300</v>
      </c>
      <c r="K960" s="476"/>
      <c r="L960" s="466"/>
      <c r="N960" s="466"/>
      <c r="O960" s="466"/>
    </row>
    <row r="961" spans="1:15" s="514" customFormat="1" ht="34.15" customHeight="1" x14ac:dyDescent="0.25">
      <c r="A961" s="553" t="s">
        <v>2439</v>
      </c>
      <c r="B961" s="615">
        <v>11</v>
      </c>
      <c r="C961" s="235" t="s">
        <v>567</v>
      </c>
      <c r="D961" s="443" t="s">
        <v>2354</v>
      </c>
      <c r="E961" s="584"/>
      <c r="F961" s="292">
        <f>F962</f>
        <v>5100</v>
      </c>
      <c r="G961" s="476"/>
      <c r="H961" s="476">
        <f>H962</f>
        <v>0</v>
      </c>
      <c r="I961" s="476"/>
      <c r="J961" s="476">
        <f>J962</f>
        <v>0</v>
      </c>
      <c r="K961" s="476"/>
      <c r="L961" s="466"/>
      <c r="N961" s="466"/>
      <c r="O961" s="466"/>
    </row>
    <row r="962" spans="1:15" s="514" customFormat="1" x14ac:dyDescent="0.25">
      <c r="A962" s="520" t="s">
        <v>1782</v>
      </c>
      <c r="B962" s="615">
        <v>11</v>
      </c>
      <c r="C962" s="235" t="s">
        <v>567</v>
      </c>
      <c r="D962" s="443" t="s">
        <v>2354</v>
      </c>
      <c r="E962" s="238">
        <v>200</v>
      </c>
      <c r="F962" s="292">
        <f>F963</f>
        <v>5100</v>
      </c>
      <c r="G962" s="476"/>
      <c r="H962" s="476">
        <f>H963</f>
        <v>0</v>
      </c>
      <c r="I962" s="476"/>
      <c r="J962" s="476">
        <f>J963</f>
        <v>0</v>
      </c>
      <c r="K962" s="476"/>
      <c r="L962" s="466"/>
      <c r="N962" s="466"/>
      <c r="O962" s="466"/>
    </row>
    <row r="963" spans="1:15" s="514" customFormat="1" ht="31.5" x14ac:dyDescent="0.25">
      <c r="A963" s="520" t="s">
        <v>1274</v>
      </c>
      <c r="B963" s="615">
        <v>11</v>
      </c>
      <c r="C963" s="235" t="s">
        <v>567</v>
      </c>
      <c r="D963" s="443" t="s">
        <v>2354</v>
      </c>
      <c r="E963" s="238">
        <v>240</v>
      </c>
      <c r="F963" s="292">
        <f>'ведом. 2021-2023'!AD1111</f>
        <v>5100</v>
      </c>
      <c r="G963" s="476"/>
      <c r="H963" s="476">
        <f>'ведом. 2021-2023'!AE1111</f>
        <v>0</v>
      </c>
      <c r="I963" s="476"/>
      <c r="J963" s="476">
        <f>'ведом. 2021-2023'!AF1111</f>
        <v>0</v>
      </c>
      <c r="K963" s="476"/>
      <c r="L963" s="466"/>
      <c r="N963" s="466"/>
      <c r="O963" s="466"/>
    </row>
    <row r="964" spans="1:15" s="442" customFormat="1" ht="31.5" x14ac:dyDescent="0.25">
      <c r="A964" s="529" t="s">
        <v>1852</v>
      </c>
      <c r="B964" s="615">
        <v>11</v>
      </c>
      <c r="C964" s="235" t="s">
        <v>567</v>
      </c>
      <c r="D964" s="443" t="s">
        <v>1853</v>
      </c>
      <c r="E964" s="576"/>
      <c r="F964" s="292">
        <f>F965+F967</f>
        <v>3300</v>
      </c>
      <c r="G964" s="476"/>
      <c r="H964" s="476">
        <f>H965+H967</f>
        <v>3300</v>
      </c>
      <c r="I964" s="476"/>
      <c r="J964" s="476">
        <f>J965+J967</f>
        <v>3300</v>
      </c>
      <c r="K964" s="476"/>
      <c r="L964" s="466"/>
      <c r="N964" s="466"/>
      <c r="O964" s="466"/>
    </row>
    <row r="965" spans="1:15" s="442" customFormat="1" x14ac:dyDescent="0.25">
      <c r="A965" s="524" t="s">
        <v>1782</v>
      </c>
      <c r="B965" s="615">
        <v>11</v>
      </c>
      <c r="C965" s="235" t="s">
        <v>567</v>
      </c>
      <c r="D965" s="443" t="s">
        <v>1853</v>
      </c>
      <c r="E965" s="584">
        <v>200</v>
      </c>
      <c r="F965" s="292">
        <f>F966</f>
        <v>2544.9</v>
      </c>
      <c r="G965" s="476"/>
      <c r="H965" s="476">
        <f>H966</f>
        <v>3300</v>
      </c>
      <c r="I965" s="476"/>
      <c r="J965" s="476">
        <f>J966</f>
        <v>3300</v>
      </c>
      <c r="K965" s="476"/>
      <c r="L965" s="466"/>
      <c r="N965" s="466"/>
      <c r="O965" s="466"/>
    </row>
    <row r="966" spans="1:15" s="442" customFormat="1" ht="31.5" x14ac:dyDescent="0.25">
      <c r="A966" s="524" t="s">
        <v>1274</v>
      </c>
      <c r="B966" s="615">
        <v>11</v>
      </c>
      <c r="C966" s="235" t="s">
        <v>567</v>
      </c>
      <c r="D966" s="443" t="s">
        <v>1853</v>
      </c>
      <c r="E966" s="584">
        <v>240</v>
      </c>
      <c r="F966" s="292">
        <f>'ведом. 2021-2023'!AD522</f>
        <v>2544.9</v>
      </c>
      <c r="G966" s="476"/>
      <c r="H966" s="476">
        <f>'ведом. 2021-2023'!AE522</f>
        <v>3300</v>
      </c>
      <c r="I966" s="476"/>
      <c r="J966" s="476">
        <f>'ведом. 2021-2023'!AF522</f>
        <v>3300</v>
      </c>
      <c r="K966" s="476"/>
      <c r="L966" s="466"/>
      <c r="N966" s="466"/>
      <c r="O966" s="466"/>
    </row>
    <row r="967" spans="1:15" s="514" customFormat="1" ht="31.5" x14ac:dyDescent="0.25">
      <c r="A967" s="634" t="s">
        <v>1343</v>
      </c>
      <c r="B967" s="615">
        <v>11</v>
      </c>
      <c r="C967" s="235" t="s">
        <v>567</v>
      </c>
      <c r="D967" s="443" t="s">
        <v>1853</v>
      </c>
      <c r="E967" s="584">
        <v>600</v>
      </c>
      <c r="F967" s="292">
        <f>F968+F969</f>
        <v>755.1</v>
      </c>
      <c r="G967" s="476"/>
      <c r="H967" s="476">
        <f>H968</f>
        <v>0</v>
      </c>
      <c r="I967" s="476"/>
      <c r="J967" s="476">
        <f>J968</f>
        <v>0</v>
      </c>
      <c r="K967" s="476"/>
      <c r="L967" s="466"/>
      <c r="N967" s="466"/>
      <c r="O967" s="466"/>
    </row>
    <row r="968" spans="1:15" s="514" customFormat="1" x14ac:dyDescent="0.25">
      <c r="A968" s="629" t="s">
        <v>1344</v>
      </c>
      <c r="B968" s="615">
        <v>11</v>
      </c>
      <c r="C968" s="235" t="s">
        <v>567</v>
      </c>
      <c r="D968" s="443" t="s">
        <v>1853</v>
      </c>
      <c r="E968" s="584">
        <v>610</v>
      </c>
      <c r="F968" s="292">
        <f>'ведом. 2021-2023'!AD524</f>
        <v>705.1</v>
      </c>
      <c r="G968" s="476"/>
      <c r="H968" s="476">
        <f>'ведом. 2021-2023'!AE524</f>
        <v>0</v>
      </c>
      <c r="I968" s="476"/>
      <c r="J968" s="476">
        <f>'ведом. 2021-2023'!AF524</f>
        <v>0</v>
      </c>
      <c r="K968" s="476"/>
      <c r="L968" s="466"/>
      <c r="N968" s="466"/>
      <c r="O968" s="466"/>
    </row>
    <row r="969" spans="1:15" s="514" customFormat="1" x14ac:dyDescent="0.25">
      <c r="A969" s="524" t="s">
        <v>1801</v>
      </c>
      <c r="B969" s="615">
        <v>11</v>
      </c>
      <c r="C969" s="235" t="s">
        <v>567</v>
      </c>
      <c r="D969" s="443" t="s">
        <v>1853</v>
      </c>
      <c r="E969" s="584">
        <v>620</v>
      </c>
      <c r="F969" s="292">
        <f>'ведом. 2021-2023'!AD525</f>
        <v>50</v>
      </c>
      <c r="G969" s="476"/>
      <c r="H969" s="476">
        <f>'ведом. 2021-2023'!AE525</f>
        <v>0</v>
      </c>
      <c r="I969" s="476"/>
      <c r="J969" s="476">
        <f>'ведом. 2021-2023'!AF525</f>
        <v>0</v>
      </c>
      <c r="K969" s="476"/>
      <c r="L969" s="466"/>
      <c r="N969" s="466"/>
      <c r="O969" s="466"/>
    </row>
    <row r="970" spans="1:15" s="514" customFormat="1" x14ac:dyDescent="0.25">
      <c r="A970" s="605" t="s">
        <v>2264</v>
      </c>
      <c r="B970" s="615">
        <v>11</v>
      </c>
      <c r="C970" s="235" t="s">
        <v>567</v>
      </c>
      <c r="D970" s="443" t="s">
        <v>2267</v>
      </c>
      <c r="E970" s="238"/>
      <c r="F970" s="292">
        <f>F971</f>
        <v>51210.600000000006</v>
      </c>
      <c r="G970" s="476"/>
      <c r="H970" s="476">
        <f>H971</f>
        <v>51210.600000000006</v>
      </c>
      <c r="I970" s="476"/>
      <c r="J970" s="476">
        <f>J971</f>
        <v>51210.600000000006</v>
      </c>
      <c r="K970" s="476"/>
      <c r="L970" s="466"/>
      <c r="N970" s="466"/>
      <c r="O970" s="466"/>
    </row>
    <row r="971" spans="1:15" s="514" customFormat="1" x14ac:dyDescent="0.25">
      <c r="A971" s="520" t="s">
        <v>2336</v>
      </c>
      <c r="B971" s="615">
        <v>11</v>
      </c>
      <c r="C971" s="235" t="s">
        <v>567</v>
      </c>
      <c r="D971" s="443" t="s">
        <v>2268</v>
      </c>
      <c r="E971" s="238"/>
      <c r="F971" s="292">
        <f>F972</f>
        <v>51210.600000000006</v>
      </c>
      <c r="G971" s="476"/>
      <c r="H971" s="476">
        <f>H972</f>
        <v>51210.600000000006</v>
      </c>
      <c r="I971" s="476"/>
      <c r="J971" s="476">
        <f>J972</f>
        <v>51210.600000000006</v>
      </c>
      <c r="K971" s="476"/>
      <c r="L971" s="466"/>
      <c r="N971" s="466"/>
      <c r="O971" s="466"/>
    </row>
    <row r="972" spans="1:15" s="514" customFormat="1" ht="31.5" x14ac:dyDescent="0.25">
      <c r="A972" s="520" t="s">
        <v>2265</v>
      </c>
      <c r="B972" s="615">
        <v>11</v>
      </c>
      <c r="C972" s="235" t="s">
        <v>567</v>
      </c>
      <c r="D972" s="443" t="s">
        <v>2266</v>
      </c>
      <c r="E972" s="238"/>
      <c r="F972" s="292">
        <f>F973+F976</f>
        <v>51210.600000000006</v>
      </c>
      <c r="G972" s="476"/>
      <c r="H972" s="476">
        <f>H973+H976</f>
        <v>51210.600000000006</v>
      </c>
      <c r="I972" s="476"/>
      <c r="J972" s="476">
        <f>J973+J976</f>
        <v>51210.600000000006</v>
      </c>
      <c r="K972" s="476"/>
      <c r="L972" s="466"/>
      <c r="N972" s="466"/>
      <c r="O972" s="466"/>
    </row>
    <row r="973" spans="1:15" s="514" customFormat="1" ht="47.25" x14ac:dyDescent="0.25">
      <c r="A973" s="520" t="str">
        <f>'ведом. 2021-2023'!X529</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73" s="615">
        <v>11</v>
      </c>
      <c r="C973" s="235" t="s">
        <v>567</v>
      </c>
      <c r="D973" s="443" t="s">
        <v>2298</v>
      </c>
      <c r="E973" s="238"/>
      <c r="F973" s="292">
        <f>F974</f>
        <v>32762.400000000001</v>
      </c>
      <c r="G973" s="476"/>
      <c r="H973" s="476">
        <f>H974</f>
        <v>32762.400000000001</v>
      </c>
      <c r="I973" s="476"/>
      <c r="J973" s="476">
        <f>J974</f>
        <v>32762.400000000001</v>
      </c>
      <c r="K973" s="476"/>
      <c r="L973" s="466"/>
      <c r="N973" s="466"/>
      <c r="O973" s="466"/>
    </row>
    <row r="974" spans="1:15" s="514" customFormat="1" ht="31.5" x14ac:dyDescent="0.25">
      <c r="A974" s="520" t="str">
        <f>'ведом. 2021-2023'!X530</f>
        <v>Предоставление субсидий бюджетным, автономным учреждениям и иным некоммерческим организациям</v>
      </c>
      <c r="B974" s="615">
        <v>11</v>
      </c>
      <c r="C974" s="235" t="s">
        <v>567</v>
      </c>
      <c r="D974" s="443" t="s">
        <v>2298</v>
      </c>
      <c r="E974" s="238">
        <v>600</v>
      </c>
      <c r="F974" s="292">
        <f>F975</f>
        <v>32762.400000000001</v>
      </c>
      <c r="G974" s="476"/>
      <c r="H974" s="476">
        <f>H975</f>
        <v>32762.400000000001</v>
      </c>
      <c r="I974" s="476"/>
      <c r="J974" s="476">
        <f>J975</f>
        <v>32762.400000000001</v>
      </c>
      <c r="K974" s="476"/>
      <c r="L974" s="466"/>
      <c r="N974" s="466"/>
      <c r="O974" s="466"/>
    </row>
    <row r="975" spans="1:15" s="514" customFormat="1" x14ac:dyDescent="0.25">
      <c r="A975" s="520" t="str">
        <f>'ведом. 2021-2023'!X531</f>
        <v>Субсидии бюджетным учреждениям</v>
      </c>
      <c r="B975" s="615">
        <v>11</v>
      </c>
      <c r="C975" s="235" t="s">
        <v>567</v>
      </c>
      <c r="D975" s="443" t="s">
        <v>2298</v>
      </c>
      <c r="E975" s="238">
        <v>610</v>
      </c>
      <c r="F975" s="292">
        <f>'ведом. 2021-2023'!AD531</f>
        <v>32762.400000000001</v>
      </c>
      <c r="G975" s="476"/>
      <c r="H975" s="476">
        <f>'ведом. 2021-2023'!AE531</f>
        <v>32762.400000000001</v>
      </c>
      <c r="I975" s="476"/>
      <c r="J975" s="476">
        <f>'ведом. 2021-2023'!AF531</f>
        <v>32762.400000000001</v>
      </c>
      <c r="K975" s="476"/>
      <c r="L975" s="466"/>
      <c r="N975" s="466"/>
      <c r="O975" s="466"/>
    </row>
    <row r="976" spans="1:15" s="514" customFormat="1" ht="46.9" customHeight="1" x14ac:dyDescent="0.25">
      <c r="A976" s="520" t="s">
        <v>2417</v>
      </c>
      <c r="B976" s="615">
        <v>11</v>
      </c>
      <c r="C976" s="235" t="s">
        <v>567</v>
      </c>
      <c r="D976" s="443" t="s">
        <v>2299</v>
      </c>
      <c r="E976" s="238"/>
      <c r="F976" s="292">
        <f>F977</f>
        <v>18448.2</v>
      </c>
      <c r="G976" s="476"/>
      <c r="H976" s="476">
        <f>H977</f>
        <v>18448.2</v>
      </c>
      <c r="I976" s="476"/>
      <c r="J976" s="476">
        <f>J977</f>
        <v>18448.2</v>
      </c>
      <c r="K976" s="476"/>
      <c r="L976" s="466"/>
      <c r="N976" s="466"/>
      <c r="O976" s="466"/>
    </row>
    <row r="977" spans="1:15" s="514" customFormat="1" x14ac:dyDescent="0.25">
      <c r="A977" s="520" t="e">
        <f>'ведом. 2021-2023'!#REF!</f>
        <v>#REF!</v>
      </c>
      <c r="B977" s="615">
        <v>11</v>
      </c>
      <c r="C977" s="235" t="s">
        <v>567</v>
      </c>
      <c r="D977" s="443" t="s">
        <v>2299</v>
      </c>
      <c r="E977" s="238">
        <v>600</v>
      </c>
      <c r="F977" s="292">
        <f>F978</f>
        <v>18448.2</v>
      </c>
      <c r="G977" s="476"/>
      <c r="H977" s="476">
        <f>H978</f>
        <v>18448.2</v>
      </c>
      <c r="I977" s="476"/>
      <c r="J977" s="476">
        <f>J978</f>
        <v>18448.2</v>
      </c>
      <c r="K977" s="476"/>
      <c r="L977" s="466"/>
      <c r="N977" s="466"/>
      <c r="O977" s="466"/>
    </row>
    <row r="978" spans="1:15" s="514" customFormat="1" x14ac:dyDescent="0.25">
      <c r="A978" s="520" t="e">
        <f>'ведом. 2021-2023'!#REF!</f>
        <v>#REF!</v>
      </c>
      <c r="B978" s="615">
        <v>11</v>
      </c>
      <c r="C978" s="235" t="s">
        <v>567</v>
      </c>
      <c r="D978" s="443" t="s">
        <v>2299</v>
      </c>
      <c r="E978" s="238">
        <v>610</v>
      </c>
      <c r="F978" s="292">
        <f>'ведом. 2021-2023'!AD534</f>
        <v>18448.2</v>
      </c>
      <c r="G978" s="476"/>
      <c r="H978" s="476">
        <f>'ведом. 2021-2023'!AE534</f>
        <v>18448.2</v>
      </c>
      <c r="I978" s="476"/>
      <c r="J978" s="476">
        <f>'ведом. 2021-2023'!AF534</f>
        <v>18448.2</v>
      </c>
      <c r="K978" s="476"/>
      <c r="L978" s="466"/>
      <c r="N978" s="466"/>
      <c r="O978" s="466"/>
    </row>
    <row r="979" spans="1:15" s="442" customFormat="1" x14ac:dyDescent="0.25">
      <c r="A979" s="609" t="s">
        <v>1641</v>
      </c>
      <c r="B979" s="575">
        <v>13</v>
      </c>
      <c r="C979" s="247"/>
      <c r="D979" s="271"/>
      <c r="E979" s="576"/>
      <c r="F979" s="745">
        <f>F981</f>
        <v>15332.500000000002</v>
      </c>
      <c r="G979" s="479"/>
      <c r="H979" s="479">
        <f>H981</f>
        <v>25000</v>
      </c>
      <c r="I979" s="479"/>
      <c r="J979" s="479">
        <f>J981</f>
        <v>25000</v>
      </c>
      <c r="K979" s="479"/>
      <c r="L979" s="466"/>
      <c r="N979" s="466"/>
      <c r="O979" s="466"/>
    </row>
    <row r="980" spans="1:15" s="514" customFormat="1" x14ac:dyDescent="0.25">
      <c r="A980" s="520" t="s">
        <v>2302</v>
      </c>
      <c r="B980" s="246">
        <v>13</v>
      </c>
      <c r="C980" s="235" t="s">
        <v>566</v>
      </c>
      <c r="D980" s="443"/>
      <c r="E980" s="576"/>
      <c r="F980" s="292">
        <f>F981</f>
        <v>15332.500000000002</v>
      </c>
      <c r="G980" s="476"/>
      <c r="H980" s="476">
        <f>H981</f>
        <v>25000</v>
      </c>
      <c r="I980" s="476"/>
      <c r="J980" s="476">
        <f>J981</f>
        <v>25000</v>
      </c>
      <c r="K980" s="479"/>
      <c r="L980" s="466"/>
      <c r="N980" s="466"/>
      <c r="O980" s="466"/>
    </row>
    <row r="981" spans="1:15" s="442" customFormat="1" x14ac:dyDescent="0.25">
      <c r="A981" s="521" t="s">
        <v>1899</v>
      </c>
      <c r="B981" s="246">
        <v>13</v>
      </c>
      <c r="C981" s="235" t="s">
        <v>566</v>
      </c>
      <c r="D981" s="443" t="s">
        <v>1772</v>
      </c>
      <c r="E981" s="238"/>
      <c r="F981" s="292">
        <f>F985</f>
        <v>15332.500000000002</v>
      </c>
      <c r="G981" s="476"/>
      <c r="H981" s="476">
        <f>H985</f>
        <v>25000</v>
      </c>
      <c r="I981" s="476"/>
      <c r="J981" s="476">
        <f>J985</f>
        <v>25000</v>
      </c>
      <c r="K981" s="476"/>
      <c r="L981" s="466"/>
      <c r="N981" s="466"/>
      <c r="O981" s="466"/>
    </row>
    <row r="982" spans="1:15" s="442" customFormat="1" x14ac:dyDescent="0.25">
      <c r="A982" s="521" t="s">
        <v>1903</v>
      </c>
      <c r="B982" s="246">
        <v>13</v>
      </c>
      <c r="C982" s="235" t="s">
        <v>566</v>
      </c>
      <c r="D982" s="443" t="s">
        <v>1808</v>
      </c>
      <c r="E982" s="238"/>
      <c r="F982" s="292">
        <f>F985</f>
        <v>15332.500000000002</v>
      </c>
      <c r="G982" s="476"/>
      <c r="H982" s="476">
        <f>H985</f>
        <v>25000</v>
      </c>
      <c r="I982" s="476"/>
      <c r="J982" s="476">
        <f>J985</f>
        <v>25000</v>
      </c>
      <c r="K982" s="476"/>
      <c r="L982" s="466"/>
      <c r="N982" s="466"/>
      <c r="O982" s="466"/>
    </row>
    <row r="983" spans="1:15" s="442" customFormat="1" x14ac:dyDescent="0.25">
      <c r="A983" s="522" t="s">
        <v>1904</v>
      </c>
      <c r="B983" s="246">
        <v>13</v>
      </c>
      <c r="C983" s="235" t="s">
        <v>566</v>
      </c>
      <c r="D983" s="443" t="s">
        <v>1905</v>
      </c>
      <c r="E983" s="238"/>
      <c r="F983" s="292">
        <f>F984</f>
        <v>15332.500000000002</v>
      </c>
      <c r="G983" s="476"/>
      <c r="H983" s="476">
        <f>H984</f>
        <v>25000</v>
      </c>
      <c r="I983" s="476"/>
      <c r="J983" s="476">
        <f>J984</f>
        <v>25000</v>
      </c>
      <c r="K983" s="476"/>
      <c r="L983" s="466"/>
      <c r="N983" s="466"/>
      <c r="O983" s="466"/>
    </row>
    <row r="984" spans="1:15" s="442" customFormat="1" x14ac:dyDescent="0.25">
      <c r="A984" s="521" t="s">
        <v>1906</v>
      </c>
      <c r="B984" s="246">
        <v>13</v>
      </c>
      <c r="C984" s="235" t="s">
        <v>566</v>
      </c>
      <c r="D984" s="443" t="s">
        <v>1907</v>
      </c>
      <c r="E984" s="238"/>
      <c r="F984" s="292">
        <f>F985</f>
        <v>15332.500000000002</v>
      </c>
      <c r="G984" s="476"/>
      <c r="H984" s="476">
        <f>H985</f>
        <v>25000</v>
      </c>
      <c r="I984" s="476"/>
      <c r="J984" s="476">
        <f>J985</f>
        <v>25000</v>
      </c>
      <c r="K984" s="476"/>
      <c r="L984" s="466"/>
      <c r="N984" s="466"/>
      <c r="O984" s="466"/>
    </row>
    <row r="985" spans="1:15" s="442" customFormat="1" x14ac:dyDescent="0.25">
      <c r="A985" s="524" t="s">
        <v>1568</v>
      </c>
      <c r="B985" s="246">
        <v>13</v>
      </c>
      <c r="C985" s="235" t="s">
        <v>566</v>
      </c>
      <c r="D985" s="443" t="s">
        <v>1907</v>
      </c>
      <c r="E985" s="238">
        <v>700</v>
      </c>
      <c r="F985" s="292">
        <f>F986</f>
        <v>15332.500000000002</v>
      </c>
      <c r="G985" s="476"/>
      <c r="H985" s="476">
        <f>H986</f>
        <v>25000</v>
      </c>
      <c r="I985" s="476"/>
      <c r="J985" s="476">
        <f>J986</f>
        <v>25000</v>
      </c>
      <c r="K985" s="476"/>
      <c r="L985" s="466"/>
      <c r="N985" s="466"/>
      <c r="O985" s="466"/>
    </row>
    <row r="986" spans="1:15" s="442" customFormat="1" ht="17.25" thickBot="1" x14ac:dyDescent="0.3">
      <c r="A986" s="612" t="s">
        <v>2303</v>
      </c>
      <c r="B986" s="621">
        <v>13</v>
      </c>
      <c r="C986" s="492" t="s">
        <v>566</v>
      </c>
      <c r="D986" s="493" t="s">
        <v>1907</v>
      </c>
      <c r="E986" s="602">
        <v>730</v>
      </c>
      <c r="F986" s="754">
        <f>'ведом. 2021-2023'!AD541</f>
        <v>15332.500000000002</v>
      </c>
      <c r="G986" s="484"/>
      <c r="H986" s="484">
        <f>'ведом. 2021-2023'!AE541</f>
        <v>25000</v>
      </c>
      <c r="I986" s="484"/>
      <c r="J986" s="484">
        <f>'ведом. 2021-2023'!AF541</f>
        <v>25000</v>
      </c>
      <c r="K986" s="484"/>
      <c r="L986" s="466"/>
      <c r="N986" s="466"/>
      <c r="O986" s="466"/>
    </row>
    <row r="987" spans="1:15" s="442" customFormat="1" ht="17.25" thickBot="1" x14ac:dyDescent="0.3">
      <c r="A987" s="614" t="s">
        <v>1314</v>
      </c>
      <c r="B987" s="603"/>
      <c r="C987" s="494"/>
      <c r="D987" s="491"/>
      <c r="E987" s="498"/>
      <c r="F987" s="485">
        <f t="shared" ref="F987:K987" si="214">F979+F949+F899+F891+F838+F654+F449+F357+F287+F272+F15+F641</f>
        <v>3740054.7</v>
      </c>
      <c r="G987" s="485">
        <f t="shared" si="214"/>
        <v>2640472.9000000004</v>
      </c>
      <c r="H987" s="485">
        <f t="shared" si="214"/>
        <v>2395684.2999999998</v>
      </c>
      <c r="I987" s="485">
        <f t="shared" si="214"/>
        <v>1461829.1</v>
      </c>
      <c r="J987" s="485">
        <f t="shared" si="214"/>
        <v>1711212.5999999996</v>
      </c>
      <c r="K987" s="486">
        <f t="shared" si="214"/>
        <v>792272.5</v>
      </c>
      <c r="L987" s="466"/>
      <c r="N987" s="466"/>
      <c r="O987" s="466"/>
    </row>
    <row r="988" spans="1:15" x14ac:dyDescent="0.25">
      <c r="K988" s="455"/>
      <c r="O988" s="455"/>
    </row>
    <row r="989" spans="1:15" x14ac:dyDescent="0.25">
      <c r="O989" s="455"/>
    </row>
    <row r="990" spans="1:15" x14ac:dyDescent="0.25">
      <c r="A990" s="503"/>
      <c r="B990" s="434"/>
      <c r="C990" s="434"/>
      <c r="D990" s="435"/>
      <c r="E990" s="434"/>
      <c r="F990" s="282">
        <f>F924+F915+F184</f>
        <v>39202.9</v>
      </c>
      <c r="G990" s="282">
        <f>G924+G915+G184</f>
        <v>36550.5</v>
      </c>
      <c r="H990" s="282">
        <f>H924+H915+H184</f>
        <v>39334</v>
      </c>
      <c r="I990" s="282">
        <f>I924+I915+I184</f>
        <v>37222</v>
      </c>
      <c r="J990" s="282">
        <f>J924+J915+J184</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83"/>
  <sheetViews>
    <sheetView tabSelected="1" view="pageBreakPreview" topLeftCell="A671" zoomScaleNormal="75" zoomScaleSheetLayoutView="100" workbookViewId="0">
      <selection activeCell="A679" sqref="A679"/>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7" t="s">
        <v>2316</v>
      </c>
      <c r="C1" s="858"/>
      <c r="D1" s="858"/>
      <c r="E1" s="858"/>
      <c r="F1" s="858"/>
    </row>
    <row r="2" spans="1:9" s="514" customFormat="1" x14ac:dyDescent="0.25">
      <c r="A2" s="436"/>
      <c r="B2" s="731"/>
      <c r="C2" s="732"/>
      <c r="D2" s="732"/>
      <c r="E2" s="849" t="s">
        <v>2387</v>
      </c>
      <c r="F2" s="850"/>
    </row>
    <row r="3" spans="1:9" s="514" customFormat="1" x14ac:dyDescent="0.25">
      <c r="A3" s="436"/>
      <c r="B3" s="849" t="s">
        <v>2320</v>
      </c>
      <c r="C3" s="863"/>
      <c r="D3" s="863"/>
      <c r="E3" s="863"/>
      <c r="F3" s="858"/>
    </row>
    <row r="4" spans="1:9" s="514" customFormat="1" x14ac:dyDescent="0.25">
      <c r="A4" s="436"/>
      <c r="B4" s="860" t="s">
        <v>2321</v>
      </c>
      <c r="C4" s="862"/>
      <c r="D4" s="862"/>
      <c r="E4" s="862"/>
      <c r="F4" s="858"/>
    </row>
    <row r="5" spans="1:9" s="514" customFormat="1" x14ac:dyDescent="0.25">
      <c r="A5" s="436"/>
      <c r="B5" s="730"/>
      <c r="C5" s="735"/>
      <c r="D5" s="735"/>
      <c r="E5" s="735"/>
      <c r="F5" s="732"/>
    </row>
    <row r="6" spans="1:9" s="514" customFormat="1" x14ac:dyDescent="0.2">
      <c r="A6" s="436"/>
      <c r="B6" s="857" t="s">
        <v>2392</v>
      </c>
      <c r="C6" s="858"/>
      <c r="D6" s="858"/>
      <c r="E6" s="858"/>
      <c r="F6" s="858"/>
    </row>
    <row r="7" spans="1:9" s="514" customFormat="1" x14ac:dyDescent="0.25">
      <c r="A7" s="436"/>
      <c r="B7" s="849" t="s">
        <v>2320</v>
      </c>
      <c r="C7" s="863"/>
      <c r="D7" s="863"/>
      <c r="E7" s="863"/>
      <c r="F7" s="858"/>
    </row>
    <row r="8" spans="1:9" s="514" customFormat="1" x14ac:dyDescent="0.25">
      <c r="A8" s="436"/>
      <c r="B8" s="860" t="s">
        <v>2391</v>
      </c>
      <c r="C8" s="862"/>
      <c r="D8" s="862"/>
      <c r="E8" s="862"/>
      <c r="F8" s="858"/>
    </row>
    <row r="9" spans="1:9" s="514" customFormat="1" x14ac:dyDescent="0.25">
      <c r="A9" s="436"/>
      <c r="B9" s="499"/>
      <c r="C9" s="287"/>
      <c r="D9" s="288"/>
      <c r="E9" s="288"/>
    </row>
    <row r="10" spans="1:9" x14ac:dyDescent="0.2">
      <c r="B10" s="857"/>
      <c r="C10" s="858"/>
      <c r="D10" s="858"/>
      <c r="E10" s="858"/>
      <c r="F10" s="858"/>
    </row>
    <row r="11" spans="1:9" s="514" customFormat="1" x14ac:dyDescent="0.25">
      <c r="A11" s="436"/>
      <c r="B11" s="849"/>
      <c r="C11" s="863"/>
      <c r="D11" s="863"/>
      <c r="E11" s="863"/>
      <c r="F11" s="858"/>
    </row>
    <row r="12" spans="1:9" s="514" customFormat="1" x14ac:dyDescent="0.25">
      <c r="A12" s="436"/>
      <c r="B12" s="860"/>
      <c r="C12" s="862"/>
      <c r="D12" s="862"/>
      <c r="E12" s="862"/>
      <c r="F12" s="858"/>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64" t="s">
        <v>2331</v>
      </c>
      <c r="B15" s="864"/>
      <c r="C15" s="864"/>
      <c r="D15" s="865"/>
      <c r="E15" s="865"/>
      <c r="F15" s="866"/>
    </row>
    <row r="16" spans="1:9" x14ac:dyDescent="0.25">
      <c r="A16" s="274"/>
      <c r="B16" s="499"/>
      <c r="C16" s="287"/>
      <c r="D16" s="288"/>
      <c r="E16" s="288"/>
      <c r="F16" s="659"/>
      <c r="G16" s="658"/>
      <c r="H16" s="658"/>
      <c r="I16" s="658"/>
    </row>
    <row r="17" spans="1:9" ht="16.5" thickBot="1" x14ac:dyDescent="0.3">
      <c r="A17" s="274"/>
      <c r="B17" s="499"/>
      <c r="C17" s="287"/>
      <c r="D17" s="288"/>
      <c r="E17" s="288"/>
      <c r="F17" s="288" t="s">
        <v>1833</v>
      </c>
      <c r="G17" s="696"/>
      <c r="H17" s="696"/>
      <c r="I17" s="696"/>
    </row>
    <row r="18" spans="1:9" ht="32.25" thickBot="1" x14ac:dyDescent="0.25">
      <c r="A18" s="516" t="s">
        <v>1601</v>
      </c>
      <c r="B18" s="273" t="s">
        <v>38</v>
      </c>
      <c r="C18" s="273" t="s">
        <v>1393</v>
      </c>
      <c r="D18" s="556" t="s">
        <v>2228</v>
      </c>
      <c r="E18" s="556" t="s">
        <v>2229</v>
      </c>
      <c r="F18" s="663" t="s">
        <v>2305</v>
      </c>
      <c r="G18" s="643"/>
      <c r="H18" s="643"/>
      <c r="I18" s="643"/>
    </row>
    <row r="19" spans="1:9" ht="16.5" thickBot="1" x14ac:dyDescent="0.3">
      <c r="A19" s="517">
        <v>1</v>
      </c>
      <c r="B19" s="500">
        <v>2</v>
      </c>
      <c r="C19" s="469">
        <v>3</v>
      </c>
      <c r="D19" s="495">
        <v>4</v>
      </c>
      <c r="E19" s="495">
        <v>5</v>
      </c>
      <c r="F19" s="495">
        <v>6</v>
      </c>
      <c r="G19" s="457"/>
      <c r="H19" s="459"/>
      <c r="I19" s="433"/>
    </row>
    <row r="20" spans="1:9" s="437" customFormat="1" x14ac:dyDescent="0.25">
      <c r="A20" s="788" t="s">
        <v>1841</v>
      </c>
      <c r="B20" s="811" t="s">
        <v>1758</v>
      </c>
      <c r="C20" s="760"/>
      <c r="D20" s="488">
        <f t="shared" ref="D20:F24" si="0">D21</f>
        <v>4880</v>
      </c>
      <c r="E20" s="488">
        <f t="shared" si="0"/>
        <v>3780</v>
      </c>
      <c r="F20" s="488">
        <f t="shared" si="0"/>
        <v>3780</v>
      </c>
      <c r="G20" s="462"/>
      <c r="H20" s="459"/>
      <c r="I20" s="433"/>
    </row>
    <row r="21" spans="1:9" x14ac:dyDescent="0.25">
      <c r="A21" s="518" t="s">
        <v>1842</v>
      </c>
      <c r="B21" s="468" t="s">
        <v>1759</v>
      </c>
      <c r="C21" s="761"/>
      <c r="D21" s="285">
        <f t="shared" si="0"/>
        <v>4880</v>
      </c>
      <c r="E21" s="285">
        <f t="shared" si="0"/>
        <v>3780</v>
      </c>
      <c r="F21" s="285">
        <f t="shared" si="0"/>
        <v>3780</v>
      </c>
      <c r="G21" s="462"/>
      <c r="H21" s="438"/>
      <c r="I21" s="438"/>
    </row>
    <row r="22" spans="1:9" x14ac:dyDescent="0.25">
      <c r="A22" s="518" t="s">
        <v>1843</v>
      </c>
      <c r="B22" s="468" t="s">
        <v>1844</v>
      </c>
      <c r="C22" s="761"/>
      <c r="D22" s="285">
        <f t="shared" si="0"/>
        <v>4880</v>
      </c>
      <c r="E22" s="285">
        <f t="shared" si="0"/>
        <v>3780</v>
      </c>
      <c r="F22" s="285">
        <f t="shared" si="0"/>
        <v>3780</v>
      </c>
      <c r="G22" s="462"/>
    </row>
    <row r="23" spans="1:9" ht="47.25" x14ac:dyDescent="0.25">
      <c r="A23" s="519" t="s">
        <v>1845</v>
      </c>
      <c r="B23" s="468" t="s">
        <v>1846</v>
      </c>
      <c r="C23" s="761"/>
      <c r="D23" s="285">
        <f t="shared" si="0"/>
        <v>4880</v>
      </c>
      <c r="E23" s="285">
        <f t="shared" si="0"/>
        <v>3780</v>
      </c>
      <c r="F23" s="285">
        <f t="shared" si="0"/>
        <v>3780</v>
      </c>
      <c r="G23" s="462"/>
    </row>
    <row r="24" spans="1:9" x14ac:dyDescent="0.25">
      <c r="A24" s="515" t="s">
        <v>1755</v>
      </c>
      <c r="B24" s="468" t="s">
        <v>1846</v>
      </c>
      <c r="C24" s="761">
        <v>300</v>
      </c>
      <c r="D24" s="285">
        <f t="shared" si="0"/>
        <v>4880</v>
      </c>
      <c r="E24" s="285">
        <f t="shared" si="0"/>
        <v>3780</v>
      </c>
      <c r="F24" s="285">
        <f t="shared" si="0"/>
        <v>3780</v>
      </c>
      <c r="G24" s="462"/>
    </row>
    <row r="25" spans="1:9" x14ac:dyDescent="0.25">
      <c r="A25" s="515" t="s">
        <v>868</v>
      </c>
      <c r="B25" s="468" t="s">
        <v>1846</v>
      </c>
      <c r="C25" s="761">
        <v>320</v>
      </c>
      <c r="D25" s="285">
        <f>'Функц. 2021-2023'!F898</f>
        <v>4880</v>
      </c>
      <c r="E25" s="285">
        <f>'Функц. 2021-2023'!H898</f>
        <v>3780</v>
      </c>
      <c r="F25" s="285">
        <f>'Функц. 2021-2023'!J898</f>
        <v>3780</v>
      </c>
      <c r="G25" s="462"/>
    </row>
    <row r="26" spans="1:9" s="437" customFormat="1" x14ac:dyDescent="0.25">
      <c r="A26" s="789" t="s">
        <v>1999</v>
      </c>
      <c r="B26" s="501" t="s">
        <v>1775</v>
      </c>
      <c r="C26" s="762"/>
      <c r="D26" s="289">
        <f>D27+D32+D40+D69+D59+D64</f>
        <v>153389.4</v>
      </c>
      <c r="E26" s="289">
        <f>E27+E32+E40+E69+E59+E64</f>
        <v>135103.5</v>
      </c>
      <c r="F26" s="289">
        <f>F27+F32+F40+F69+F59+F64</f>
        <v>135104.5</v>
      </c>
      <c r="G26" s="462"/>
    </row>
    <row r="27" spans="1:9" x14ac:dyDescent="0.25">
      <c r="A27" s="521" t="s">
        <v>2335</v>
      </c>
      <c r="B27" s="468" t="s">
        <v>2130</v>
      </c>
      <c r="C27" s="763"/>
      <c r="D27" s="285">
        <f t="shared" ref="D27:F30" si="1">D28</f>
        <v>15732.5</v>
      </c>
      <c r="E27" s="285">
        <f t="shared" si="1"/>
        <v>15732.5</v>
      </c>
      <c r="F27" s="285">
        <f t="shared" si="1"/>
        <v>15732.5</v>
      </c>
      <c r="G27" s="462"/>
    </row>
    <row r="28" spans="1:9" x14ac:dyDescent="0.25">
      <c r="A28" s="518" t="s">
        <v>2131</v>
      </c>
      <c r="B28" s="468" t="s">
        <v>2132</v>
      </c>
      <c r="C28" s="763"/>
      <c r="D28" s="285">
        <f t="shared" si="1"/>
        <v>15732.5</v>
      </c>
      <c r="E28" s="285">
        <f t="shared" si="1"/>
        <v>15732.5</v>
      </c>
      <c r="F28" s="285">
        <f t="shared" si="1"/>
        <v>15732.5</v>
      </c>
      <c r="G28" s="462"/>
    </row>
    <row r="29" spans="1:9" ht="31.5" x14ac:dyDescent="0.25">
      <c r="A29" s="790" t="s">
        <v>2000</v>
      </c>
      <c r="B29" s="468" t="s">
        <v>2001</v>
      </c>
      <c r="C29" s="763"/>
      <c r="D29" s="285">
        <f t="shared" si="1"/>
        <v>15732.5</v>
      </c>
      <c r="E29" s="285">
        <f t="shared" si="1"/>
        <v>15732.5</v>
      </c>
      <c r="F29" s="285">
        <f t="shared" si="1"/>
        <v>15732.5</v>
      </c>
      <c r="G29" s="462"/>
    </row>
    <row r="30" spans="1:9" ht="31.5" x14ac:dyDescent="0.25">
      <c r="A30" s="515" t="s">
        <v>1343</v>
      </c>
      <c r="B30" s="468" t="s">
        <v>2001</v>
      </c>
      <c r="C30" s="761">
        <v>600</v>
      </c>
      <c r="D30" s="285">
        <f t="shared" si="1"/>
        <v>15732.5</v>
      </c>
      <c r="E30" s="285">
        <f t="shared" si="1"/>
        <v>15732.5</v>
      </c>
      <c r="F30" s="285">
        <f t="shared" si="1"/>
        <v>15732.5</v>
      </c>
      <c r="G30" s="462"/>
    </row>
    <row r="31" spans="1:9" x14ac:dyDescent="0.25">
      <c r="A31" s="515" t="s">
        <v>1344</v>
      </c>
      <c r="B31" s="468" t="s">
        <v>2001</v>
      </c>
      <c r="C31" s="761">
        <v>610</v>
      </c>
      <c r="D31" s="285">
        <f>'Функц. 2021-2023'!F845</f>
        <v>15732.5</v>
      </c>
      <c r="E31" s="285">
        <f>'Функц. 2021-2023'!H845</f>
        <v>15732.5</v>
      </c>
      <c r="F31" s="285">
        <f>'Функц. 2021-2023'!J845</f>
        <v>15732.5</v>
      </c>
      <c r="G31" s="462"/>
    </row>
    <row r="32" spans="1:9" x14ac:dyDescent="0.25">
      <c r="A32" s="518" t="s">
        <v>2337</v>
      </c>
      <c r="B32" s="468" t="s">
        <v>1821</v>
      </c>
      <c r="C32" s="764"/>
      <c r="D32" s="285">
        <f>D33</f>
        <v>23482.799999999999</v>
      </c>
      <c r="E32" s="285">
        <f>E33</f>
        <v>23482.799999999999</v>
      </c>
      <c r="F32" s="285">
        <f>F33</f>
        <v>23482.799999999999</v>
      </c>
      <c r="G32" s="462"/>
    </row>
    <row r="33" spans="1:7" ht="31.5" x14ac:dyDescent="0.25">
      <c r="A33" s="518" t="s">
        <v>2002</v>
      </c>
      <c r="B33" s="468" t="s">
        <v>1822</v>
      </c>
      <c r="C33" s="761"/>
      <c r="D33" s="285">
        <f>D34+D37</f>
        <v>23482.799999999999</v>
      </c>
      <c r="E33" s="285">
        <f>E34+E37</f>
        <v>23482.799999999999</v>
      </c>
      <c r="F33" s="285">
        <f>F34+F37</f>
        <v>23482.799999999999</v>
      </c>
      <c r="G33" s="462"/>
    </row>
    <row r="34" spans="1:7" ht="31.5" x14ac:dyDescent="0.25">
      <c r="A34" s="790" t="s">
        <v>2003</v>
      </c>
      <c r="B34" s="468" t="s">
        <v>2004</v>
      </c>
      <c r="C34" s="761"/>
      <c r="D34" s="285">
        <f t="shared" ref="D34:F35" si="2">D35</f>
        <v>1000</v>
      </c>
      <c r="E34" s="285">
        <f t="shared" si="2"/>
        <v>1000</v>
      </c>
      <c r="F34" s="285">
        <f t="shared" si="2"/>
        <v>1000</v>
      </c>
      <c r="G34" s="462"/>
    </row>
    <row r="35" spans="1:7" ht="31.5" x14ac:dyDescent="0.25">
      <c r="A35" s="515" t="s">
        <v>1343</v>
      </c>
      <c r="B35" s="468" t="s">
        <v>2004</v>
      </c>
      <c r="C35" s="761">
        <v>600</v>
      </c>
      <c r="D35" s="285">
        <f t="shared" si="2"/>
        <v>1000</v>
      </c>
      <c r="E35" s="285">
        <f t="shared" si="2"/>
        <v>1000</v>
      </c>
      <c r="F35" s="285">
        <f t="shared" si="2"/>
        <v>1000</v>
      </c>
      <c r="G35" s="462"/>
    </row>
    <row r="36" spans="1:7" x14ac:dyDescent="0.25">
      <c r="A36" s="515" t="s">
        <v>1344</v>
      </c>
      <c r="B36" s="468" t="s">
        <v>2004</v>
      </c>
      <c r="C36" s="761">
        <v>610</v>
      </c>
      <c r="D36" s="285">
        <f>'Функц. 2021-2023'!F850</f>
        <v>1000</v>
      </c>
      <c r="E36" s="285">
        <f>'Функц. 2021-2023'!H850</f>
        <v>1000</v>
      </c>
      <c r="F36" s="285">
        <f>'Функц. 2021-2023'!J850</f>
        <v>1000</v>
      </c>
      <c r="G36" s="462"/>
    </row>
    <row r="37" spans="1:7" ht="31.5" x14ac:dyDescent="0.25">
      <c r="A37" s="515" t="s">
        <v>2005</v>
      </c>
      <c r="B37" s="468" t="s">
        <v>2006</v>
      </c>
      <c r="C37" s="761"/>
      <c r="D37" s="285">
        <f t="shared" ref="D37:F38" si="3">D38</f>
        <v>22482.799999999999</v>
      </c>
      <c r="E37" s="285">
        <f t="shared" si="3"/>
        <v>22482.799999999999</v>
      </c>
      <c r="F37" s="285">
        <f t="shared" si="3"/>
        <v>22482.799999999999</v>
      </c>
      <c r="G37" s="462"/>
    </row>
    <row r="38" spans="1:7" ht="31.5" x14ac:dyDescent="0.25">
      <c r="A38" s="515" t="s">
        <v>1343</v>
      </c>
      <c r="B38" s="468" t="s">
        <v>2006</v>
      </c>
      <c r="C38" s="761">
        <v>600</v>
      </c>
      <c r="D38" s="285">
        <f t="shared" si="3"/>
        <v>22482.799999999999</v>
      </c>
      <c r="E38" s="285">
        <f t="shared" si="3"/>
        <v>22482.799999999999</v>
      </c>
      <c r="F38" s="285">
        <f t="shared" si="3"/>
        <v>22482.799999999999</v>
      </c>
      <c r="G38" s="462"/>
    </row>
    <row r="39" spans="1:7" x14ac:dyDescent="0.25">
      <c r="A39" s="515" t="s">
        <v>1344</v>
      </c>
      <c r="B39" s="468" t="s">
        <v>2006</v>
      </c>
      <c r="C39" s="761">
        <v>610</v>
      </c>
      <c r="D39" s="285">
        <f>'Функц. 2021-2023'!F853</f>
        <v>22482.799999999999</v>
      </c>
      <c r="E39" s="285">
        <f>'Функц. 2021-2023'!H853</f>
        <v>22482.799999999999</v>
      </c>
      <c r="F39" s="285">
        <f>'Функц. 2021-2023'!J853</f>
        <v>22482.799999999999</v>
      </c>
      <c r="G39" s="462"/>
    </row>
    <row r="40" spans="1:7" ht="31.5" x14ac:dyDescent="0.25">
      <c r="A40" s="521" t="s">
        <v>2341</v>
      </c>
      <c r="B40" s="468" t="s">
        <v>2007</v>
      </c>
      <c r="C40" s="761"/>
      <c r="D40" s="285">
        <f>D41+D51</f>
        <v>54348.6</v>
      </c>
      <c r="E40" s="285">
        <f>E41+E51</f>
        <v>50320.7</v>
      </c>
      <c r="F40" s="285">
        <f>F41+F51</f>
        <v>50320.7</v>
      </c>
      <c r="G40" s="462"/>
    </row>
    <row r="41" spans="1:7" ht="31.5" x14ac:dyDescent="0.25">
      <c r="A41" s="521" t="s">
        <v>2342</v>
      </c>
      <c r="B41" s="468" t="s">
        <v>2008</v>
      </c>
      <c r="C41" s="761"/>
      <c r="D41" s="285">
        <f>D42</f>
        <v>7663.0999999999995</v>
      </c>
      <c r="E41" s="285">
        <f>E42</f>
        <v>3635.2</v>
      </c>
      <c r="F41" s="285">
        <f>F42</f>
        <v>3635.2</v>
      </c>
      <c r="G41" s="462"/>
    </row>
    <row r="42" spans="1:7" x14ac:dyDescent="0.25">
      <c r="A42" s="790" t="s">
        <v>2009</v>
      </c>
      <c r="B42" s="468" t="s">
        <v>2010</v>
      </c>
      <c r="C42" s="761"/>
      <c r="D42" s="285">
        <f>D43+D48</f>
        <v>7663.0999999999995</v>
      </c>
      <c r="E42" s="285">
        <f>E43+E48</f>
        <v>3635.2</v>
      </c>
      <c r="F42" s="285">
        <f>F43+F48</f>
        <v>3635.2</v>
      </c>
      <c r="G42" s="462"/>
    </row>
    <row r="43" spans="1:7" ht="31.5" x14ac:dyDescent="0.25">
      <c r="A43" s="515" t="s">
        <v>2011</v>
      </c>
      <c r="B43" s="468" t="s">
        <v>2012</v>
      </c>
      <c r="C43" s="761"/>
      <c r="D43" s="285">
        <f>D46+D44</f>
        <v>6717.9</v>
      </c>
      <c r="E43" s="285">
        <f>E46+E44</f>
        <v>3200</v>
      </c>
      <c r="F43" s="285">
        <f>F46+F44</f>
        <v>3200</v>
      </c>
      <c r="G43" s="462"/>
    </row>
    <row r="44" spans="1:7" s="514" customFormat="1" x14ac:dyDescent="0.25">
      <c r="A44" s="515" t="s">
        <v>1782</v>
      </c>
      <c r="B44" s="468" t="s">
        <v>2012</v>
      </c>
      <c r="C44" s="761">
        <v>200</v>
      </c>
      <c r="D44" s="285">
        <f>D45</f>
        <v>1240.9000000000001</v>
      </c>
      <c r="E44" s="285">
        <f>E45</f>
        <v>500</v>
      </c>
      <c r="F44" s="285">
        <f>F45</f>
        <v>500</v>
      </c>
      <c r="G44" s="462"/>
    </row>
    <row r="45" spans="1:7" s="514" customFormat="1" x14ac:dyDescent="0.25">
      <c r="A45" s="515" t="s">
        <v>1274</v>
      </c>
      <c r="B45" s="468" t="s">
        <v>2012</v>
      </c>
      <c r="C45" s="761">
        <v>240</v>
      </c>
      <c r="D45" s="285">
        <f>'Функц. 2021-2023'!F859</f>
        <v>1240.9000000000001</v>
      </c>
      <c r="E45" s="285">
        <f>'Функц. 2021-2023'!H859</f>
        <v>500</v>
      </c>
      <c r="F45" s="285">
        <f>'Функц. 2021-2023'!J859</f>
        <v>500</v>
      </c>
      <c r="G45" s="462"/>
    </row>
    <row r="46" spans="1:7" ht="31.5" x14ac:dyDescent="0.25">
      <c r="A46" s="515" t="s">
        <v>1343</v>
      </c>
      <c r="B46" s="468" t="s">
        <v>2012</v>
      </c>
      <c r="C46" s="761">
        <v>600</v>
      </c>
      <c r="D46" s="285">
        <f>D47</f>
        <v>5477</v>
      </c>
      <c r="E46" s="285">
        <f>E47</f>
        <v>2700</v>
      </c>
      <c r="F46" s="285">
        <f>F47</f>
        <v>2700</v>
      </c>
      <c r="G46" s="462"/>
    </row>
    <row r="47" spans="1:7" x14ac:dyDescent="0.25">
      <c r="A47" s="515" t="s">
        <v>1344</v>
      </c>
      <c r="B47" s="468" t="s">
        <v>2012</v>
      </c>
      <c r="C47" s="761">
        <v>610</v>
      </c>
      <c r="D47" s="285">
        <f>'Функц. 2021-2023'!F861</f>
        <v>5477</v>
      </c>
      <c r="E47" s="285">
        <f>'Функц. 2021-2023'!H861</f>
        <v>2700</v>
      </c>
      <c r="F47" s="285">
        <f>'Функц. 2021-2023'!J861</f>
        <v>2700</v>
      </c>
      <c r="G47" s="462"/>
    </row>
    <row r="48" spans="1:7" ht="31.5" x14ac:dyDescent="0.25">
      <c r="A48" s="520" t="s">
        <v>2013</v>
      </c>
      <c r="B48" s="468" t="s">
        <v>2014</v>
      </c>
      <c r="C48" s="761"/>
      <c r="D48" s="285">
        <f t="shared" ref="D48:F49" si="4">D49</f>
        <v>945.2</v>
      </c>
      <c r="E48" s="285">
        <f t="shared" si="4"/>
        <v>435.2</v>
      </c>
      <c r="F48" s="285">
        <f t="shared" si="4"/>
        <v>435.2</v>
      </c>
      <c r="G48" s="462"/>
    </row>
    <row r="49" spans="1:7" ht="31.5" x14ac:dyDescent="0.25">
      <c r="A49" s="515" t="s">
        <v>1343</v>
      </c>
      <c r="B49" s="468" t="s">
        <v>2014</v>
      </c>
      <c r="C49" s="761">
        <v>600</v>
      </c>
      <c r="D49" s="285">
        <f t="shared" si="4"/>
        <v>945.2</v>
      </c>
      <c r="E49" s="285">
        <f t="shared" si="4"/>
        <v>435.2</v>
      </c>
      <c r="F49" s="285">
        <f t="shared" si="4"/>
        <v>435.2</v>
      </c>
      <c r="G49" s="462"/>
    </row>
    <row r="50" spans="1:7" x14ac:dyDescent="0.25">
      <c r="A50" s="515" t="s">
        <v>1344</v>
      </c>
      <c r="B50" s="468" t="s">
        <v>2014</v>
      </c>
      <c r="C50" s="761">
        <v>610</v>
      </c>
      <c r="D50" s="285">
        <f>'Функц. 2021-2023'!F864</f>
        <v>945.2</v>
      </c>
      <c r="E50" s="285">
        <f>'Функц. 2021-2023'!H864</f>
        <v>435.2</v>
      </c>
      <c r="F50" s="285">
        <f>'Функц. 2021-2023'!J864</f>
        <v>435.2</v>
      </c>
      <c r="G50" s="462"/>
    </row>
    <row r="51" spans="1:7" x14ac:dyDescent="0.25">
      <c r="A51" s="521" t="s">
        <v>2252</v>
      </c>
      <c r="B51" s="468" t="s">
        <v>2251</v>
      </c>
      <c r="C51" s="761"/>
      <c r="D51" s="285">
        <f>D52</f>
        <v>46685.5</v>
      </c>
      <c r="E51" s="285">
        <f>E52</f>
        <v>46685.5</v>
      </c>
      <c r="F51" s="285">
        <f>F52</f>
        <v>46685.5</v>
      </c>
      <c r="G51" s="462"/>
    </row>
    <row r="52" spans="1:7" ht="31.5" x14ac:dyDescent="0.25">
      <c r="A52" s="522" t="s">
        <v>2253</v>
      </c>
      <c r="B52" s="468" t="s">
        <v>2254</v>
      </c>
      <c r="C52" s="761"/>
      <c r="D52" s="285">
        <f>D53+D56</f>
        <v>46685.5</v>
      </c>
      <c r="E52" s="285">
        <f>E53+E56</f>
        <v>46685.5</v>
      </c>
      <c r="F52" s="285">
        <f>F53+F56</f>
        <v>46685.5</v>
      </c>
      <c r="G52" s="462"/>
    </row>
    <row r="53" spans="1:7" s="514" customFormat="1" ht="47.25" x14ac:dyDescent="0.25">
      <c r="A53" s="520" t="str">
        <f>'Функц. 2021-2023'!A867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2" t="str">
        <f>'ведом. 2021-2023'!AB458</f>
        <v>02 4 05 06111</v>
      </c>
      <c r="C53" s="761"/>
      <c r="D53" s="285">
        <f t="shared" ref="D53:F54" si="5">D54</f>
        <v>25630.3</v>
      </c>
      <c r="E53" s="285">
        <f t="shared" si="5"/>
        <v>25630.3</v>
      </c>
      <c r="F53" s="285">
        <f t="shared" si="5"/>
        <v>25630.3</v>
      </c>
      <c r="G53" s="462"/>
    </row>
    <row r="54" spans="1:7" s="514" customFormat="1" ht="31.5" x14ac:dyDescent="0.25">
      <c r="A54" s="520" t="str">
        <f>'Функц. 2021-2023'!A868</f>
        <v>Предоставление субсидий бюджетным, автономным учреждениям и иным некоммерческим организациям</v>
      </c>
      <c r="B54" s="812" t="str">
        <f>'ведом. 2021-2023'!AB459</f>
        <v>02 4 05 06111</v>
      </c>
      <c r="C54" s="761">
        <v>600</v>
      </c>
      <c r="D54" s="285">
        <f t="shared" si="5"/>
        <v>25630.3</v>
      </c>
      <c r="E54" s="285">
        <f t="shared" si="5"/>
        <v>25630.3</v>
      </c>
      <c r="F54" s="285">
        <f t="shared" si="5"/>
        <v>25630.3</v>
      </c>
      <c r="G54" s="462"/>
    </row>
    <row r="55" spans="1:7" s="514" customFormat="1" x14ac:dyDescent="0.25">
      <c r="A55" s="520" t="str">
        <f>'Функц. 2021-2023'!A869</f>
        <v>Субсидии бюджетным учреждениям</v>
      </c>
      <c r="B55" s="812" t="str">
        <f>'ведом. 2021-2023'!AB460</f>
        <v>02 4 05 06111</v>
      </c>
      <c r="C55" s="761">
        <v>610</v>
      </c>
      <c r="D55" s="285">
        <f>'ведом. 2021-2023'!AD460</f>
        <v>25630.3</v>
      </c>
      <c r="E55" s="285">
        <f>'ведом. 2021-2023'!AE460</f>
        <v>25630.3</v>
      </c>
      <c r="F55" s="285">
        <f>'ведом. 2021-2023'!AF460</f>
        <v>25630.3</v>
      </c>
      <c r="G55" s="462"/>
    </row>
    <row r="56" spans="1:7" s="514" customFormat="1" ht="47.25" x14ac:dyDescent="0.25">
      <c r="A56" s="520" t="str">
        <f>'Функц. 2021-2023'!A870</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2" t="str">
        <f>'ведом. 2021-2023'!AB461</f>
        <v>02 4 05 06112</v>
      </c>
      <c r="C56" s="761"/>
      <c r="D56" s="285">
        <f t="shared" ref="D56:F57" si="6">D57</f>
        <v>21055.200000000001</v>
      </c>
      <c r="E56" s="285">
        <f t="shared" si="6"/>
        <v>21055.200000000001</v>
      </c>
      <c r="F56" s="285">
        <f t="shared" si="6"/>
        <v>21055.200000000001</v>
      </c>
      <c r="G56" s="462"/>
    </row>
    <row r="57" spans="1:7" s="514" customFormat="1" ht="31.5" x14ac:dyDescent="0.25">
      <c r="A57" s="520" t="str">
        <f>'Функц. 2021-2023'!A871</f>
        <v>Предоставление субсидий бюджетным, автономным учреждениям и иным некоммерческим организациям</v>
      </c>
      <c r="B57" s="812" t="str">
        <f>'ведом. 2021-2023'!AB462</f>
        <v>02 4 05 06112</v>
      </c>
      <c r="C57" s="761">
        <v>600</v>
      </c>
      <c r="D57" s="285">
        <f t="shared" si="6"/>
        <v>21055.200000000001</v>
      </c>
      <c r="E57" s="285">
        <f t="shared" si="6"/>
        <v>21055.200000000001</v>
      </c>
      <c r="F57" s="285">
        <f t="shared" si="6"/>
        <v>21055.200000000001</v>
      </c>
      <c r="G57" s="462"/>
    </row>
    <row r="58" spans="1:7" s="514" customFormat="1" x14ac:dyDescent="0.25">
      <c r="A58" s="520" t="str">
        <f>'Функц. 2021-2023'!A872</f>
        <v>Субсидии бюджетным учреждениям</v>
      </c>
      <c r="B58" s="812" t="str">
        <f>'ведом. 2021-2023'!AB463</f>
        <v>02 4 05 06112</v>
      </c>
      <c r="C58" s="761">
        <v>610</v>
      </c>
      <c r="D58" s="285">
        <f>'ведом. 2021-2023'!AD463</f>
        <v>21055.200000000001</v>
      </c>
      <c r="E58" s="285">
        <f>'ведом. 2021-2023'!AE463</f>
        <v>21055.200000000001</v>
      </c>
      <c r="F58" s="285">
        <f>'ведом. 2021-2023'!AF463</f>
        <v>21055.200000000001</v>
      </c>
      <c r="G58" s="462"/>
    </row>
    <row r="59" spans="1:7" s="514" customFormat="1" ht="33.6" customHeight="1" x14ac:dyDescent="0.25">
      <c r="A59" s="605" t="s">
        <v>2419</v>
      </c>
      <c r="B59" s="468" t="s">
        <v>2269</v>
      </c>
      <c r="C59" s="761"/>
      <c r="D59" s="285">
        <f>D60</f>
        <v>14250</v>
      </c>
      <c r="E59" s="285">
        <f>E60</f>
        <v>0</v>
      </c>
      <c r="F59" s="285">
        <f>F60</f>
        <v>0</v>
      </c>
      <c r="G59" s="462"/>
    </row>
    <row r="60" spans="1:7" s="514" customFormat="1" x14ac:dyDescent="0.25">
      <c r="A60" s="791" t="s">
        <v>2220</v>
      </c>
      <c r="B60" s="468" t="s">
        <v>2323</v>
      </c>
      <c r="C60" s="763"/>
      <c r="D60" s="285">
        <f t="shared" ref="D60:F62" si="7">D61</f>
        <v>14250</v>
      </c>
      <c r="E60" s="285">
        <f t="shared" si="7"/>
        <v>0</v>
      </c>
      <c r="F60" s="285">
        <f t="shared" si="7"/>
        <v>0</v>
      </c>
      <c r="G60" s="462"/>
    </row>
    <row r="61" spans="1:7" s="514" customFormat="1" ht="31.5" x14ac:dyDescent="0.25">
      <c r="A61" s="524" t="s">
        <v>2221</v>
      </c>
      <c r="B61" s="468" t="s">
        <v>2324</v>
      </c>
      <c r="C61" s="763"/>
      <c r="D61" s="285">
        <f t="shared" si="7"/>
        <v>14250</v>
      </c>
      <c r="E61" s="285">
        <f t="shared" si="7"/>
        <v>0</v>
      </c>
      <c r="F61" s="285">
        <f t="shared" si="7"/>
        <v>0</v>
      </c>
      <c r="G61" s="462"/>
    </row>
    <row r="62" spans="1:7" s="514" customFormat="1" ht="31.5" x14ac:dyDescent="0.25">
      <c r="A62" s="520" t="s">
        <v>1343</v>
      </c>
      <c r="B62" s="468" t="s">
        <v>2324</v>
      </c>
      <c r="C62" s="763">
        <v>600</v>
      </c>
      <c r="D62" s="285">
        <f t="shared" si="7"/>
        <v>14250</v>
      </c>
      <c r="E62" s="285">
        <f t="shared" si="7"/>
        <v>0</v>
      </c>
      <c r="F62" s="285">
        <f t="shared" si="7"/>
        <v>0</v>
      </c>
      <c r="G62" s="462"/>
    </row>
    <row r="63" spans="1:7" s="514" customFormat="1" x14ac:dyDescent="0.25">
      <c r="A63" s="520" t="s">
        <v>1344</v>
      </c>
      <c r="B63" s="468" t="s">
        <v>2324</v>
      </c>
      <c r="C63" s="763">
        <v>610</v>
      </c>
      <c r="D63" s="285">
        <f>'Функц. 2021-2023'!F730</f>
        <v>14250</v>
      </c>
      <c r="E63" s="285">
        <f>'Функц. 2021-2023'!H730</f>
        <v>0</v>
      </c>
      <c r="F63" s="285">
        <f>'Функц. 2021-2023'!J730</f>
        <v>0</v>
      </c>
      <c r="G63" s="462"/>
    </row>
    <row r="64" spans="1:7" s="514" customFormat="1" x14ac:dyDescent="0.25">
      <c r="A64" s="520" t="s">
        <v>2367</v>
      </c>
      <c r="B64" s="468" t="s">
        <v>2368</v>
      </c>
      <c r="C64" s="763"/>
      <c r="D64" s="285">
        <f t="shared" ref="D64:F67" si="8">D65</f>
        <v>43445.5</v>
      </c>
      <c r="E64" s="285">
        <f t="shared" si="8"/>
        <v>43445.5</v>
      </c>
      <c r="F64" s="285">
        <f t="shared" si="8"/>
        <v>43445.5</v>
      </c>
      <c r="G64" s="462"/>
    </row>
    <row r="65" spans="1:7" s="514" customFormat="1" ht="31.5" x14ac:dyDescent="0.25">
      <c r="A65" s="520" t="s">
        <v>2365</v>
      </c>
      <c r="B65" s="468" t="s">
        <v>2369</v>
      </c>
      <c r="C65" s="763"/>
      <c r="D65" s="285">
        <f t="shared" si="8"/>
        <v>43445.5</v>
      </c>
      <c r="E65" s="285">
        <f t="shared" si="8"/>
        <v>43445.5</v>
      </c>
      <c r="F65" s="285">
        <f t="shared" si="8"/>
        <v>43445.5</v>
      </c>
      <c r="G65" s="462"/>
    </row>
    <row r="66" spans="1:7" s="514" customFormat="1" ht="31.5" x14ac:dyDescent="0.25">
      <c r="A66" s="792" t="s">
        <v>2366</v>
      </c>
      <c r="B66" s="468" t="s">
        <v>2370</v>
      </c>
      <c r="C66" s="763"/>
      <c r="D66" s="285">
        <f t="shared" si="8"/>
        <v>43445.5</v>
      </c>
      <c r="E66" s="285">
        <f t="shared" si="8"/>
        <v>43445.5</v>
      </c>
      <c r="F66" s="285">
        <f t="shared" si="8"/>
        <v>43445.5</v>
      </c>
      <c r="G66" s="462"/>
    </row>
    <row r="67" spans="1:7" s="514" customFormat="1" ht="31.5" x14ac:dyDescent="0.25">
      <c r="A67" s="520" t="s">
        <v>1343</v>
      </c>
      <c r="B67" s="468" t="s">
        <v>2370</v>
      </c>
      <c r="C67" s="763">
        <v>600</v>
      </c>
      <c r="D67" s="285">
        <f t="shared" si="8"/>
        <v>43445.5</v>
      </c>
      <c r="E67" s="285">
        <f t="shared" si="8"/>
        <v>43445.5</v>
      </c>
      <c r="F67" s="285">
        <f t="shared" si="8"/>
        <v>43445.5</v>
      </c>
      <c r="G67" s="462"/>
    </row>
    <row r="68" spans="1:7" s="514" customFormat="1" x14ac:dyDescent="0.25">
      <c r="A68" s="520" t="s">
        <v>1344</v>
      </c>
      <c r="B68" s="468" t="s">
        <v>2370</v>
      </c>
      <c r="C68" s="763">
        <v>610</v>
      </c>
      <c r="D68" s="285">
        <f>'Функц. 2021-2023'!F735</f>
        <v>43445.5</v>
      </c>
      <c r="E68" s="285">
        <f>'Функц. 2021-2023'!H735</f>
        <v>43445.5</v>
      </c>
      <c r="F68" s="285">
        <f>'Функц. 2021-2023'!J735</f>
        <v>43445.5</v>
      </c>
      <c r="G68" s="462"/>
    </row>
    <row r="69" spans="1:7" x14ac:dyDescent="0.25">
      <c r="A69" s="518" t="s">
        <v>2340</v>
      </c>
      <c r="B69" s="468" t="s">
        <v>1802</v>
      </c>
      <c r="C69" s="763"/>
      <c r="D69" s="285">
        <f>D70+D74</f>
        <v>2130</v>
      </c>
      <c r="E69" s="285">
        <f>E70+E74</f>
        <v>2122</v>
      </c>
      <c r="F69" s="285">
        <f>F70+F74</f>
        <v>2123</v>
      </c>
      <c r="G69" s="462"/>
    </row>
    <row r="70" spans="1:7" ht="31.5" x14ac:dyDescent="0.25">
      <c r="A70" s="523" t="s">
        <v>2015</v>
      </c>
      <c r="B70" s="468" t="s">
        <v>1803</v>
      </c>
      <c r="C70" s="763"/>
      <c r="D70" s="285">
        <f t="shared" ref="D70:F72" si="9">D71</f>
        <v>521</v>
      </c>
      <c r="E70" s="285">
        <f t="shared" si="9"/>
        <v>521</v>
      </c>
      <c r="F70" s="285">
        <f t="shared" si="9"/>
        <v>521</v>
      </c>
      <c r="G70" s="462"/>
    </row>
    <row r="71" spans="1:7" x14ac:dyDescent="0.25">
      <c r="A71" s="523" t="s">
        <v>2016</v>
      </c>
      <c r="B71" s="468" t="s">
        <v>2017</v>
      </c>
      <c r="C71" s="763"/>
      <c r="D71" s="285">
        <f t="shared" si="9"/>
        <v>521</v>
      </c>
      <c r="E71" s="285">
        <f t="shared" si="9"/>
        <v>521</v>
      </c>
      <c r="F71" s="285">
        <f t="shared" si="9"/>
        <v>521</v>
      </c>
      <c r="G71" s="462"/>
    </row>
    <row r="72" spans="1:7" x14ac:dyDescent="0.25">
      <c r="A72" s="515" t="s">
        <v>1782</v>
      </c>
      <c r="B72" s="468" t="s">
        <v>2017</v>
      </c>
      <c r="C72" s="761">
        <v>200</v>
      </c>
      <c r="D72" s="285">
        <f t="shared" si="9"/>
        <v>521</v>
      </c>
      <c r="E72" s="285">
        <f t="shared" si="9"/>
        <v>521</v>
      </c>
      <c r="F72" s="285">
        <f t="shared" si="9"/>
        <v>521</v>
      </c>
      <c r="G72" s="462"/>
    </row>
    <row r="73" spans="1:7" x14ac:dyDescent="0.25">
      <c r="A73" s="515" t="s">
        <v>1274</v>
      </c>
      <c r="B73" s="468" t="s">
        <v>2017</v>
      </c>
      <c r="C73" s="761">
        <v>240</v>
      </c>
      <c r="D73" s="285">
        <f>'Функц. 2021-2023'!F62+'Функц. 2021-2023'!F106+'Функц. 2021-2023'!F176+'Функц. 2021-2023'!F583+'Функц. 2021-2023'!F30</f>
        <v>521</v>
      </c>
      <c r="E73" s="285">
        <f>'Функц. 2021-2023'!H62+'Функц. 2021-2023'!H106+'Функц. 2021-2023'!H583+'Функц. 2021-2023'!H176</f>
        <v>521</v>
      </c>
      <c r="F73" s="285">
        <f>'Функц. 2021-2023'!J62+'Функц. 2021-2023'!J30</f>
        <v>521</v>
      </c>
      <c r="G73" s="462"/>
    </row>
    <row r="74" spans="1:7" s="514" customFormat="1" ht="47.25" x14ac:dyDescent="0.25">
      <c r="A74" s="523" t="s">
        <v>2018</v>
      </c>
      <c r="B74" s="468" t="s">
        <v>2019</v>
      </c>
      <c r="C74" s="763"/>
      <c r="D74" s="285">
        <f>D75</f>
        <v>1609</v>
      </c>
      <c r="E74" s="285">
        <f>E75</f>
        <v>1601</v>
      </c>
      <c r="F74" s="285">
        <f>F75</f>
        <v>1602</v>
      </c>
      <c r="G74" s="462"/>
    </row>
    <row r="75" spans="1:7" s="514" customFormat="1" ht="47.25" x14ac:dyDescent="0.25">
      <c r="A75" s="523" t="s">
        <v>2020</v>
      </c>
      <c r="B75" s="468" t="s">
        <v>2021</v>
      </c>
      <c r="C75" s="763"/>
      <c r="D75" s="285">
        <f>D76+D78</f>
        <v>1609</v>
      </c>
      <c r="E75" s="285">
        <f>E76+E78</f>
        <v>1601</v>
      </c>
      <c r="F75" s="285">
        <f>F76+F78</f>
        <v>1602</v>
      </c>
      <c r="G75" s="462"/>
    </row>
    <row r="76" spans="1:7" s="514" customFormat="1" ht="47.25" x14ac:dyDescent="0.25">
      <c r="A76" s="515" t="s">
        <v>922</v>
      </c>
      <c r="B76" s="468" t="s">
        <v>2021</v>
      </c>
      <c r="C76" s="763">
        <v>100</v>
      </c>
      <c r="D76" s="285">
        <f>D77</f>
        <v>1529.5</v>
      </c>
      <c r="E76" s="285">
        <f>E77</f>
        <v>1529.5</v>
      </c>
      <c r="F76" s="285">
        <f>F77</f>
        <v>1529.5</v>
      </c>
      <c r="G76" s="462"/>
    </row>
    <row r="77" spans="1:7" s="514" customFormat="1" x14ac:dyDescent="0.25">
      <c r="A77" s="515" t="s">
        <v>1748</v>
      </c>
      <c r="B77" s="468" t="s">
        <v>2021</v>
      </c>
      <c r="C77" s="763">
        <v>120</v>
      </c>
      <c r="D77" s="285">
        <f>'Функц. 2021-2023'!F66</f>
        <v>1529.5</v>
      </c>
      <c r="E77" s="285">
        <f>'Функц. 2021-2023'!H66</f>
        <v>1529.5</v>
      </c>
      <c r="F77" s="285">
        <f>'Функц. 2021-2023'!J66</f>
        <v>1529.5</v>
      </c>
      <c r="G77" s="462"/>
    </row>
    <row r="78" spans="1:7" s="514" customFormat="1" x14ac:dyDescent="0.25">
      <c r="A78" s="515" t="s">
        <v>1782</v>
      </c>
      <c r="B78" s="468" t="s">
        <v>2021</v>
      </c>
      <c r="C78" s="761">
        <v>200</v>
      </c>
      <c r="D78" s="285">
        <f>D79</f>
        <v>79.5</v>
      </c>
      <c r="E78" s="285">
        <f>E79</f>
        <v>71.5</v>
      </c>
      <c r="F78" s="285">
        <f>F79</f>
        <v>72.5</v>
      </c>
      <c r="G78" s="462"/>
    </row>
    <row r="79" spans="1:7" s="514" customFormat="1" x14ac:dyDescent="0.25">
      <c r="A79" s="515" t="s">
        <v>1274</v>
      </c>
      <c r="B79" s="468" t="s">
        <v>2021</v>
      </c>
      <c r="C79" s="761">
        <v>240</v>
      </c>
      <c r="D79" s="285">
        <f>'Функц. 2021-2023'!F68</f>
        <v>79.5</v>
      </c>
      <c r="E79" s="285">
        <f>'Функц. 2021-2023'!H68</f>
        <v>71.5</v>
      </c>
      <c r="F79" s="285">
        <f>'Функц. 2021-2023'!J68</f>
        <v>72.5</v>
      </c>
      <c r="G79" s="462"/>
    </row>
    <row r="80" spans="1:7" s="437" customFormat="1" x14ac:dyDescent="0.25">
      <c r="A80" s="793" t="s">
        <v>2022</v>
      </c>
      <c r="B80" s="501" t="s">
        <v>1760</v>
      </c>
      <c r="C80" s="762"/>
      <c r="D80" s="289">
        <f>D81+D100+D134+D151</f>
        <v>1052048.6000000001</v>
      </c>
      <c r="E80" s="289">
        <f>E81+E100+E134+E151</f>
        <v>1042184.3</v>
      </c>
      <c r="F80" s="289">
        <f>F81+F100+F134+F151</f>
        <v>1042223.5</v>
      </c>
      <c r="G80" s="462"/>
    </row>
    <row r="81" spans="1:7" x14ac:dyDescent="0.25">
      <c r="A81" s="518" t="s">
        <v>2023</v>
      </c>
      <c r="B81" s="468" t="s">
        <v>1778</v>
      </c>
      <c r="C81" s="761"/>
      <c r="D81" s="285">
        <f>D82</f>
        <v>452595.8</v>
      </c>
      <c r="E81" s="285">
        <f>E82</f>
        <v>444026.9</v>
      </c>
      <c r="F81" s="285">
        <f>F82</f>
        <v>444026.9</v>
      </c>
      <c r="G81" s="462"/>
    </row>
    <row r="82" spans="1:7" ht="31.5" x14ac:dyDescent="0.25">
      <c r="A82" s="518" t="s">
        <v>2024</v>
      </c>
      <c r="B82" s="468" t="s">
        <v>1792</v>
      </c>
      <c r="C82" s="763"/>
      <c r="D82" s="285">
        <f>D83+D90+D93</f>
        <v>452595.8</v>
      </c>
      <c r="E82" s="285">
        <f>E83+E90+E93</f>
        <v>444026.9</v>
      </c>
      <c r="F82" s="285">
        <f>F83+F90+F93</f>
        <v>444026.9</v>
      </c>
      <c r="G82" s="462"/>
    </row>
    <row r="83" spans="1:7" ht="31.5" x14ac:dyDescent="0.25">
      <c r="A83" s="461" t="s">
        <v>2027</v>
      </c>
      <c r="B83" s="468" t="s">
        <v>2163</v>
      </c>
      <c r="C83" s="765"/>
      <c r="D83" s="285">
        <f>D84+D87</f>
        <v>150370.79999999999</v>
      </c>
      <c r="E83" s="285">
        <f>E84+E87</f>
        <v>147524.9</v>
      </c>
      <c r="F83" s="285">
        <f>F84+F87</f>
        <v>147524.9</v>
      </c>
      <c r="G83" s="462"/>
    </row>
    <row r="84" spans="1:7" ht="31.5" x14ac:dyDescent="0.25">
      <c r="A84" s="461" t="s">
        <v>2204</v>
      </c>
      <c r="B84" s="468" t="s">
        <v>2164</v>
      </c>
      <c r="C84" s="761"/>
      <c r="D84" s="285">
        <f t="shared" ref="D84:F85" si="10">D85</f>
        <v>149301.5</v>
      </c>
      <c r="E84" s="285">
        <f t="shared" si="10"/>
        <v>145755.6</v>
      </c>
      <c r="F84" s="285">
        <f t="shared" si="10"/>
        <v>145755.6</v>
      </c>
      <c r="G84" s="462"/>
    </row>
    <row r="85" spans="1:7" ht="31.5" x14ac:dyDescent="0.25">
      <c r="A85" s="515" t="s">
        <v>1343</v>
      </c>
      <c r="B85" s="468" t="s">
        <v>2164</v>
      </c>
      <c r="C85" s="761">
        <v>600</v>
      </c>
      <c r="D85" s="285">
        <f t="shared" si="10"/>
        <v>149301.5</v>
      </c>
      <c r="E85" s="285">
        <f t="shared" si="10"/>
        <v>145755.6</v>
      </c>
      <c r="F85" s="285">
        <f t="shared" si="10"/>
        <v>145755.6</v>
      </c>
      <c r="G85" s="462"/>
    </row>
    <row r="86" spans="1:7" x14ac:dyDescent="0.25">
      <c r="A86" s="515" t="s">
        <v>1344</v>
      </c>
      <c r="B86" s="468" t="s">
        <v>2164</v>
      </c>
      <c r="C86" s="761">
        <v>610</v>
      </c>
      <c r="D86" s="285">
        <f>'Функц. 2021-2023'!F662</f>
        <v>149301.5</v>
      </c>
      <c r="E86" s="285">
        <f>'Функц. 2021-2023'!H662</f>
        <v>145755.6</v>
      </c>
      <c r="F86" s="285">
        <f>'Функц. 2021-2023'!J662</f>
        <v>145755.6</v>
      </c>
      <c r="G86" s="462"/>
    </row>
    <row r="87" spans="1:7" ht="31.5" x14ac:dyDescent="0.25">
      <c r="A87" s="515" t="s">
        <v>2028</v>
      </c>
      <c r="B87" s="468" t="s">
        <v>2165</v>
      </c>
      <c r="C87" s="761"/>
      <c r="D87" s="285">
        <f t="shared" ref="D87:F88" si="11">D88</f>
        <v>1069.3</v>
      </c>
      <c r="E87" s="285">
        <f t="shared" si="11"/>
        <v>1769.3</v>
      </c>
      <c r="F87" s="285">
        <f t="shared" si="11"/>
        <v>1769.3</v>
      </c>
      <c r="G87" s="462"/>
    </row>
    <row r="88" spans="1:7" ht="31.5" x14ac:dyDescent="0.25">
      <c r="A88" s="515" t="s">
        <v>1343</v>
      </c>
      <c r="B88" s="468" t="s">
        <v>2165</v>
      </c>
      <c r="C88" s="761">
        <v>600</v>
      </c>
      <c r="D88" s="285">
        <f t="shared" si="11"/>
        <v>1069.3</v>
      </c>
      <c r="E88" s="285">
        <f t="shared" si="11"/>
        <v>1769.3</v>
      </c>
      <c r="F88" s="285">
        <f t="shared" si="11"/>
        <v>1769.3</v>
      </c>
      <c r="G88" s="462"/>
    </row>
    <row r="89" spans="1:7" x14ac:dyDescent="0.25">
      <c r="A89" s="515" t="s">
        <v>1344</v>
      </c>
      <c r="B89" s="468" t="s">
        <v>2165</v>
      </c>
      <c r="C89" s="761">
        <v>610</v>
      </c>
      <c r="D89" s="285">
        <f>'Функц. 2021-2023'!F665</f>
        <v>1069.3</v>
      </c>
      <c r="E89" s="285">
        <f>'Функц. 2021-2023'!H665</f>
        <v>1769.3</v>
      </c>
      <c r="F89" s="285">
        <f>'Функц. 2021-2023'!J665</f>
        <v>1769.3</v>
      </c>
      <c r="G89" s="462"/>
    </row>
    <row r="90" spans="1:7" ht="78.75" x14ac:dyDescent="0.25">
      <c r="A90" s="523" t="s">
        <v>2025</v>
      </c>
      <c r="B90" s="468" t="s">
        <v>2166</v>
      </c>
      <c r="C90" s="765"/>
      <c r="D90" s="285">
        <f t="shared" ref="D90:F91" si="12">D91</f>
        <v>283550</v>
      </c>
      <c r="E90" s="285">
        <f t="shared" si="12"/>
        <v>277827</v>
      </c>
      <c r="F90" s="285">
        <f t="shared" si="12"/>
        <v>277827</v>
      </c>
      <c r="G90" s="462"/>
    </row>
    <row r="91" spans="1:7" ht="31.5" x14ac:dyDescent="0.25">
      <c r="A91" s="515" t="s">
        <v>1343</v>
      </c>
      <c r="B91" s="468" t="s">
        <v>2166</v>
      </c>
      <c r="C91" s="763">
        <v>600</v>
      </c>
      <c r="D91" s="285">
        <f t="shared" si="12"/>
        <v>283550</v>
      </c>
      <c r="E91" s="285">
        <f t="shared" si="12"/>
        <v>277827</v>
      </c>
      <c r="F91" s="285">
        <f t="shared" si="12"/>
        <v>277827</v>
      </c>
      <c r="G91" s="462"/>
    </row>
    <row r="92" spans="1:7" x14ac:dyDescent="0.25">
      <c r="A92" s="515" t="s">
        <v>1344</v>
      </c>
      <c r="B92" s="468" t="s">
        <v>2166</v>
      </c>
      <c r="C92" s="763">
        <v>610</v>
      </c>
      <c r="D92" s="285">
        <f>'Функц. 2021-2023'!F668</f>
        <v>283550</v>
      </c>
      <c r="E92" s="285">
        <f>'Функц. 2021-2023'!H668</f>
        <v>277827</v>
      </c>
      <c r="F92" s="285">
        <f>'Функц. 2021-2023'!J668</f>
        <v>277827</v>
      </c>
      <c r="G92" s="462"/>
    </row>
    <row r="93" spans="1:7" ht="47.25" x14ac:dyDescent="0.25">
      <c r="A93" s="515" t="s">
        <v>1785</v>
      </c>
      <c r="B93" s="468" t="s">
        <v>2167</v>
      </c>
      <c r="C93" s="761"/>
      <c r="D93" s="285">
        <f>D96+D94+D98</f>
        <v>18675</v>
      </c>
      <c r="E93" s="285">
        <f>E96+E94+E98</f>
        <v>18675</v>
      </c>
      <c r="F93" s="285">
        <f>F96+F94+F98</f>
        <v>18675</v>
      </c>
      <c r="G93" s="462"/>
    </row>
    <row r="94" spans="1:7" x14ac:dyDescent="0.25">
      <c r="A94" s="794" t="s">
        <v>1782</v>
      </c>
      <c r="B94" s="468" t="s">
        <v>2167</v>
      </c>
      <c r="C94" s="761">
        <v>200</v>
      </c>
      <c r="D94" s="285">
        <f>D95</f>
        <v>176</v>
      </c>
      <c r="E94" s="285">
        <f>E95</f>
        <v>176</v>
      </c>
      <c r="F94" s="285">
        <f>F95</f>
        <v>176</v>
      </c>
      <c r="G94" s="462"/>
    </row>
    <row r="95" spans="1:7" x14ac:dyDescent="0.25">
      <c r="A95" s="520" t="s">
        <v>1274</v>
      </c>
      <c r="B95" s="468" t="s">
        <v>2167</v>
      </c>
      <c r="C95" s="761">
        <v>240</v>
      </c>
      <c r="D95" s="285">
        <f>'Функц. 2021-2023'!F922</f>
        <v>176</v>
      </c>
      <c r="E95" s="285">
        <f>'Функц. 2021-2023'!H922</f>
        <v>176</v>
      </c>
      <c r="F95" s="285">
        <f>'Функц. 2021-2023'!J922</f>
        <v>176</v>
      </c>
      <c r="G95" s="462"/>
    </row>
    <row r="96" spans="1:7" x14ac:dyDescent="0.25">
      <c r="A96" s="515" t="s">
        <v>1755</v>
      </c>
      <c r="B96" s="468" t="s">
        <v>2167</v>
      </c>
      <c r="C96" s="761">
        <v>300</v>
      </c>
      <c r="D96" s="285">
        <f>D97</f>
        <v>17642</v>
      </c>
      <c r="E96" s="285">
        <f>E97</f>
        <v>17642</v>
      </c>
      <c r="F96" s="285">
        <f>F97</f>
        <v>17642</v>
      </c>
      <c r="G96" s="462"/>
    </row>
    <row r="97" spans="1:7" x14ac:dyDescent="0.25">
      <c r="A97" s="515" t="s">
        <v>1805</v>
      </c>
      <c r="B97" s="468" t="s">
        <v>2167</v>
      </c>
      <c r="C97" s="761">
        <v>310</v>
      </c>
      <c r="D97" s="285">
        <f>'Функц. 2021-2023'!F924</f>
        <v>17642</v>
      </c>
      <c r="E97" s="285">
        <f>'Функц. 2021-2023'!H924</f>
        <v>17642</v>
      </c>
      <c r="F97" s="285">
        <f>'Функц. 2021-2023'!J924</f>
        <v>17642</v>
      </c>
      <c r="G97" s="462"/>
    </row>
    <row r="98" spans="1:7" ht="31.5" x14ac:dyDescent="0.25">
      <c r="A98" s="515" t="s">
        <v>1343</v>
      </c>
      <c r="B98" s="468" t="s">
        <v>2167</v>
      </c>
      <c r="C98" s="761">
        <v>600</v>
      </c>
      <c r="D98" s="285">
        <f>D99</f>
        <v>857</v>
      </c>
      <c r="E98" s="285">
        <f>E99</f>
        <v>857</v>
      </c>
      <c r="F98" s="285">
        <f>F99</f>
        <v>857</v>
      </c>
      <c r="G98" s="462"/>
    </row>
    <row r="99" spans="1:7" x14ac:dyDescent="0.25">
      <c r="A99" s="515" t="s">
        <v>1344</v>
      </c>
      <c r="B99" s="468" t="s">
        <v>2167</v>
      </c>
      <c r="C99" s="761">
        <v>610</v>
      </c>
      <c r="D99" s="285">
        <f>'Функц. 2021-2023'!F785</f>
        <v>857</v>
      </c>
      <c r="E99" s="285">
        <f>'Функц. 2021-2023'!H785</f>
        <v>857</v>
      </c>
      <c r="F99" s="285">
        <f>'Функц. 2021-2023'!J785</f>
        <v>857</v>
      </c>
      <c r="G99" s="462"/>
    </row>
    <row r="100" spans="1:7" x14ac:dyDescent="0.25">
      <c r="A100" s="518" t="s">
        <v>2029</v>
      </c>
      <c r="B100" s="468" t="s">
        <v>1761</v>
      </c>
      <c r="C100" s="761"/>
      <c r="D100" s="285">
        <f>D101+D115+D130</f>
        <v>510705.5</v>
      </c>
      <c r="E100" s="285">
        <f>E101+E115+E130</f>
        <v>509940.1</v>
      </c>
      <c r="F100" s="285">
        <f>F101+F115+F130</f>
        <v>509979.3</v>
      </c>
      <c r="G100" s="462"/>
    </row>
    <row r="101" spans="1:7" ht="31.5" x14ac:dyDescent="0.25">
      <c r="A101" s="518" t="s">
        <v>2030</v>
      </c>
      <c r="B101" s="468" t="s">
        <v>1793</v>
      </c>
      <c r="C101" s="761"/>
      <c r="D101" s="285">
        <f>D102+D112+D109</f>
        <v>460159.3</v>
      </c>
      <c r="E101" s="285">
        <f>E102+E112+E109</f>
        <v>457404.1</v>
      </c>
      <c r="F101" s="285">
        <f>F102+F112+F109</f>
        <v>457404.1</v>
      </c>
      <c r="G101" s="462"/>
    </row>
    <row r="102" spans="1:7" ht="31.5" x14ac:dyDescent="0.25">
      <c r="A102" s="518" t="s">
        <v>2031</v>
      </c>
      <c r="B102" s="468" t="s">
        <v>2032</v>
      </c>
      <c r="C102" s="761"/>
      <c r="D102" s="285">
        <f>D103+D106</f>
        <v>73990.3</v>
      </c>
      <c r="E102" s="285">
        <f>E103+E106</f>
        <v>71763.100000000006</v>
      </c>
      <c r="F102" s="285">
        <f>F103+F106</f>
        <v>71763.100000000006</v>
      </c>
      <c r="G102" s="462"/>
    </row>
    <row r="103" spans="1:7" ht="31.5" x14ac:dyDescent="0.25">
      <c r="A103" s="518" t="s">
        <v>2203</v>
      </c>
      <c r="B103" s="468" t="s">
        <v>2033</v>
      </c>
      <c r="C103" s="765"/>
      <c r="D103" s="285">
        <f t="shared" ref="D103:F104" si="13">D104</f>
        <v>69129</v>
      </c>
      <c r="E103" s="285">
        <f t="shared" si="13"/>
        <v>69929</v>
      </c>
      <c r="F103" s="285">
        <f t="shared" si="13"/>
        <v>69929</v>
      </c>
      <c r="G103" s="462"/>
    </row>
    <row r="104" spans="1:7" ht="31.5" x14ac:dyDescent="0.25">
      <c r="A104" s="515" t="s">
        <v>1343</v>
      </c>
      <c r="B104" s="468" t="s">
        <v>2033</v>
      </c>
      <c r="C104" s="761">
        <v>600</v>
      </c>
      <c r="D104" s="285">
        <f t="shared" si="13"/>
        <v>69129</v>
      </c>
      <c r="E104" s="285">
        <f t="shared" si="13"/>
        <v>69929</v>
      </c>
      <c r="F104" s="285">
        <f t="shared" si="13"/>
        <v>69929</v>
      </c>
      <c r="G104" s="462"/>
    </row>
    <row r="105" spans="1:7" x14ac:dyDescent="0.25">
      <c r="A105" s="515" t="s">
        <v>1344</v>
      </c>
      <c r="B105" s="468" t="s">
        <v>2033</v>
      </c>
      <c r="C105" s="761">
        <v>610</v>
      </c>
      <c r="D105" s="285">
        <f>'Функц. 2021-2023'!F676</f>
        <v>69129</v>
      </c>
      <c r="E105" s="285">
        <f>'Функц. 2021-2023'!H676</f>
        <v>69929</v>
      </c>
      <c r="F105" s="285">
        <f>'Функц. 2021-2023'!J676</f>
        <v>69929</v>
      </c>
      <c r="G105" s="462"/>
    </row>
    <row r="106" spans="1:7" ht="31.5" x14ac:dyDescent="0.25">
      <c r="A106" s="515" t="s">
        <v>2035</v>
      </c>
      <c r="B106" s="468" t="s">
        <v>2034</v>
      </c>
      <c r="C106" s="761"/>
      <c r="D106" s="285">
        <f>D107</f>
        <v>4861.3</v>
      </c>
      <c r="E106" s="285">
        <f>E107</f>
        <v>1834.1</v>
      </c>
      <c r="F106" s="285">
        <f>F107</f>
        <v>1834.1</v>
      </c>
      <c r="G106" s="462"/>
    </row>
    <row r="107" spans="1:7" ht="31.5" x14ac:dyDescent="0.25">
      <c r="A107" s="515" t="s">
        <v>1343</v>
      </c>
      <c r="B107" s="468" t="s">
        <v>2034</v>
      </c>
      <c r="C107" s="761">
        <v>600</v>
      </c>
      <c r="D107" s="285">
        <f t="shared" ref="D107:F107" si="14">D108</f>
        <v>4861.3</v>
      </c>
      <c r="E107" s="285">
        <f t="shared" si="14"/>
        <v>1834.1</v>
      </c>
      <c r="F107" s="285">
        <f t="shared" si="14"/>
        <v>1834.1</v>
      </c>
      <c r="G107" s="462"/>
    </row>
    <row r="108" spans="1:7" x14ac:dyDescent="0.25">
      <c r="A108" s="515" t="s">
        <v>1344</v>
      </c>
      <c r="B108" s="468" t="s">
        <v>2034</v>
      </c>
      <c r="C108" s="761">
        <v>610</v>
      </c>
      <c r="D108" s="285">
        <f>'Функц. 2021-2023'!F679</f>
        <v>4861.3</v>
      </c>
      <c r="E108" s="285">
        <f>'Функц. 2021-2023'!H679</f>
        <v>1834.1</v>
      </c>
      <c r="F108" s="285">
        <f>'Функц. 2021-2023'!J679</f>
        <v>1834.1</v>
      </c>
      <c r="G108" s="462"/>
    </row>
    <row r="109" spans="1:7" s="514" customFormat="1" ht="141.75" x14ac:dyDescent="0.25">
      <c r="A109" s="515" t="s">
        <v>2289</v>
      </c>
      <c r="B109" s="284" t="s">
        <v>2290</v>
      </c>
      <c r="C109" s="761"/>
      <c r="D109" s="285">
        <f t="shared" ref="D109:F110" si="15">D110</f>
        <v>18358</v>
      </c>
      <c r="E109" s="285">
        <f t="shared" si="15"/>
        <v>18358</v>
      </c>
      <c r="F109" s="285">
        <f t="shared" si="15"/>
        <v>18358</v>
      </c>
      <c r="G109" s="462"/>
    </row>
    <row r="110" spans="1:7" s="514" customFormat="1" ht="31.5" x14ac:dyDescent="0.25">
      <c r="A110" s="520" t="s">
        <v>1343</v>
      </c>
      <c r="B110" s="284" t="s">
        <v>2290</v>
      </c>
      <c r="C110" s="761">
        <v>600</v>
      </c>
      <c r="D110" s="285">
        <f t="shared" si="15"/>
        <v>18358</v>
      </c>
      <c r="E110" s="285">
        <f t="shared" si="15"/>
        <v>18358</v>
      </c>
      <c r="F110" s="285">
        <f t="shared" si="15"/>
        <v>18358</v>
      </c>
      <c r="G110" s="462"/>
    </row>
    <row r="111" spans="1:7" s="514" customFormat="1" x14ac:dyDescent="0.25">
      <c r="A111" s="520" t="s">
        <v>1344</v>
      </c>
      <c r="B111" s="284" t="s">
        <v>2290</v>
      </c>
      <c r="C111" s="761">
        <v>610</v>
      </c>
      <c r="D111" s="285">
        <f>'Функц. 2021-2023'!G682</f>
        <v>18358</v>
      </c>
      <c r="E111" s="285">
        <f>'Функц. 2021-2023'!H682</f>
        <v>18358</v>
      </c>
      <c r="F111" s="285">
        <f>'Функц. 2021-2023'!J682</f>
        <v>18358</v>
      </c>
      <c r="G111" s="462"/>
    </row>
    <row r="112" spans="1:7" ht="110.25" x14ac:dyDescent="0.25">
      <c r="A112" s="523" t="s">
        <v>2036</v>
      </c>
      <c r="B112" s="284" t="s">
        <v>1794</v>
      </c>
      <c r="C112" s="763"/>
      <c r="D112" s="285">
        <f t="shared" ref="D112:F113" si="16">D113</f>
        <v>367811</v>
      </c>
      <c r="E112" s="285">
        <f t="shared" si="16"/>
        <v>367283</v>
      </c>
      <c r="F112" s="285">
        <f t="shared" si="16"/>
        <v>367283</v>
      </c>
      <c r="G112" s="462"/>
    </row>
    <row r="113" spans="1:7" ht="31.5" x14ac:dyDescent="0.25">
      <c r="A113" s="515" t="s">
        <v>1343</v>
      </c>
      <c r="B113" s="284" t="s">
        <v>1794</v>
      </c>
      <c r="C113" s="761">
        <v>600</v>
      </c>
      <c r="D113" s="285">
        <f t="shared" si="16"/>
        <v>367811</v>
      </c>
      <c r="E113" s="285">
        <f t="shared" si="16"/>
        <v>367283</v>
      </c>
      <c r="F113" s="285">
        <f t="shared" si="16"/>
        <v>367283</v>
      </c>
      <c r="G113" s="462"/>
    </row>
    <row r="114" spans="1:7" x14ac:dyDescent="0.25">
      <c r="A114" s="515" t="s">
        <v>1344</v>
      </c>
      <c r="B114" s="284" t="s">
        <v>1794</v>
      </c>
      <c r="C114" s="761">
        <v>610</v>
      </c>
      <c r="D114" s="285">
        <f>'Функц. 2021-2023'!F685</f>
        <v>367811</v>
      </c>
      <c r="E114" s="285">
        <f>'Функц. 2021-2023'!H685</f>
        <v>367283</v>
      </c>
      <c r="F114" s="285">
        <f>'Функц. 2021-2023'!J685</f>
        <v>367283</v>
      </c>
      <c r="G114" s="462"/>
    </row>
    <row r="115" spans="1:7" ht="47.25" x14ac:dyDescent="0.25">
      <c r="A115" s="518" t="s">
        <v>2037</v>
      </c>
      <c r="B115" s="468" t="s">
        <v>1795</v>
      </c>
      <c r="C115" s="761"/>
      <c r="D115" s="285">
        <f>D121+D116+D124+D127</f>
        <v>49527.4</v>
      </c>
      <c r="E115" s="285">
        <f>E121+E116+E124+E127</f>
        <v>51509.7</v>
      </c>
      <c r="F115" s="285">
        <f>F121+F116+F124+F127</f>
        <v>51548.899999999994</v>
      </c>
      <c r="G115" s="462"/>
    </row>
    <row r="116" spans="1:7" ht="47.25" x14ac:dyDescent="0.25">
      <c r="A116" s="515" t="s">
        <v>2280</v>
      </c>
      <c r="B116" s="284" t="s">
        <v>1797</v>
      </c>
      <c r="C116" s="761"/>
      <c r="D116" s="285">
        <f>D117+D119</f>
        <v>2195</v>
      </c>
      <c r="E116" s="285">
        <f>E117+E119</f>
        <v>2195</v>
      </c>
      <c r="F116" s="285">
        <f>F117+F119</f>
        <v>2195</v>
      </c>
      <c r="G116" s="462"/>
    </row>
    <row r="117" spans="1:7" ht="47.25" x14ac:dyDescent="0.25">
      <c r="A117" s="515" t="s">
        <v>922</v>
      </c>
      <c r="B117" s="468" t="s">
        <v>1797</v>
      </c>
      <c r="C117" s="763">
        <v>100</v>
      </c>
      <c r="D117" s="285">
        <f>D118</f>
        <v>1878</v>
      </c>
      <c r="E117" s="285">
        <f>E118</f>
        <v>1878</v>
      </c>
      <c r="F117" s="285">
        <f>F118</f>
        <v>1878</v>
      </c>
      <c r="G117" s="462"/>
    </row>
    <row r="118" spans="1:7" x14ac:dyDescent="0.25">
      <c r="A118" s="515" t="s">
        <v>1748</v>
      </c>
      <c r="B118" s="284" t="s">
        <v>1797</v>
      </c>
      <c r="C118" s="761">
        <v>120</v>
      </c>
      <c r="D118" s="285">
        <f>'Функц. 2021-2023'!F74</f>
        <v>1878</v>
      </c>
      <c r="E118" s="285">
        <f>'Функц. 2021-2023'!H74</f>
        <v>1878</v>
      </c>
      <c r="F118" s="285">
        <f>'Функц. 2021-2023'!J74</f>
        <v>1878</v>
      </c>
      <c r="G118" s="462"/>
    </row>
    <row r="119" spans="1:7" x14ac:dyDescent="0.25">
      <c r="A119" s="515" t="s">
        <v>1782</v>
      </c>
      <c r="B119" s="284" t="s">
        <v>1797</v>
      </c>
      <c r="C119" s="761">
        <v>200</v>
      </c>
      <c r="D119" s="285">
        <f>D120</f>
        <v>317</v>
      </c>
      <c r="E119" s="285">
        <f>E120</f>
        <v>317</v>
      </c>
      <c r="F119" s="285">
        <f>F120</f>
        <v>317</v>
      </c>
      <c r="G119" s="462"/>
    </row>
    <row r="120" spans="1:7" x14ac:dyDescent="0.25">
      <c r="A120" s="515" t="s">
        <v>1274</v>
      </c>
      <c r="B120" s="284" t="s">
        <v>1797</v>
      </c>
      <c r="C120" s="761">
        <v>240</v>
      </c>
      <c r="D120" s="285">
        <f>'Функц. 2021-2023'!F76</f>
        <v>317</v>
      </c>
      <c r="E120" s="285">
        <f>'Функц. 2021-2023'!H76</f>
        <v>317</v>
      </c>
      <c r="F120" s="285">
        <f>'Функц. 2021-2023'!J76</f>
        <v>317</v>
      </c>
      <c r="G120" s="462"/>
    </row>
    <row r="121" spans="1:7" ht="47.25" x14ac:dyDescent="0.25">
      <c r="A121" s="515" t="s">
        <v>2038</v>
      </c>
      <c r="B121" s="468" t="s">
        <v>1796</v>
      </c>
      <c r="C121" s="761"/>
      <c r="D121" s="285">
        <f t="shared" ref="D121:F122" si="17">D122</f>
        <v>69</v>
      </c>
      <c r="E121" s="285">
        <f t="shared" si="17"/>
        <v>69</v>
      </c>
      <c r="F121" s="285">
        <f t="shared" si="17"/>
        <v>69</v>
      </c>
      <c r="G121" s="462"/>
    </row>
    <row r="122" spans="1:7" ht="31.5" x14ac:dyDescent="0.25">
      <c r="A122" s="515" t="s">
        <v>1343</v>
      </c>
      <c r="B122" s="284" t="str">
        <f>B123</f>
        <v>03 2 03 62230</v>
      </c>
      <c r="C122" s="763">
        <v>600</v>
      </c>
      <c r="D122" s="285">
        <f t="shared" si="17"/>
        <v>69</v>
      </c>
      <c r="E122" s="285">
        <f t="shared" si="17"/>
        <v>69</v>
      </c>
      <c r="F122" s="285">
        <f t="shared" si="17"/>
        <v>69</v>
      </c>
      <c r="G122" s="462"/>
    </row>
    <row r="123" spans="1:7" x14ac:dyDescent="0.25">
      <c r="A123" s="515" t="s">
        <v>1344</v>
      </c>
      <c r="B123" s="284" t="s">
        <v>1796</v>
      </c>
      <c r="C123" s="763">
        <v>610</v>
      </c>
      <c r="D123" s="285">
        <f>'Функц. 2021-2023'!F689</f>
        <v>69</v>
      </c>
      <c r="E123" s="285">
        <f>'Функц. 2021-2023'!H689</f>
        <v>69</v>
      </c>
      <c r="F123" s="285">
        <f>'Функц. 2021-2023'!J689</f>
        <v>69</v>
      </c>
      <c r="G123" s="462"/>
    </row>
    <row r="124" spans="1:7" s="514" customFormat="1" ht="31.5" x14ac:dyDescent="0.25">
      <c r="A124" s="520" t="s">
        <v>2285</v>
      </c>
      <c r="B124" s="284" t="s">
        <v>2286</v>
      </c>
      <c r="C124" s="761"/>
      <c r="D124" s="285">
        <f t="shared" ref="D124:F125" si="18">D125</f>
        <v>29567.4</v>
      </c>
      <c r="E124" s="285">
        <f t="shared" si="18"/>
        <v>31549.699999999997</v>
      </c>
      <c r="F124" s="285">
        <f t="shared" si="18"/>
        <v>31588.899999999998</v>
      </c>
      <c r="G124" s="462"/>
    </row>
    <row r="125" spans="1:7" s="514" customFormat="1" x14ac:dyDescent="0.25">
      <c r="A125" s="515" t="s">
        <v>1782</v>
      </c>
      <c r="B125" s="284" t="s">
        <v>2286</v>
      </c>
      <c r="C125" s="761">
        <v>200</v>
      </c>
      <c r="D125" s="285">
        <f t="shared" si="18"/>
        <v>29567.4</v>
      </c>
      <c r="E125" s="285">
        <f t="shared" si="18"/>
        <v>31549.699999999997</v>
      </c>
      <c r="F125" s="285">
        <f t="shared" si="18"/>
        <v>31588.899999999998</v>
      </c>
      <c r="G125" s="462"/>
    </row>
    <row r="126" spans="1:7" s="514" customFormat="1" x14ac:dyDescent="0.25">
      <c r="A126" s="515" t="s">
        <v>1274</v>
      </c>
      <c r="B126" s="284" t="s">
        <v>2286</v>
      </c>
      <c r="C126" s="761">
        <v>240</v>
      </c>
      <c r="D126" s="285">
        <f>'Функц. 2021-2023'!F692</f>
        <v>29567.4</v>
      </c>
      <c r="E126" s="285">
        <f>'Функц. 2021-2023'!H692</f>
        <v>31549.699999999997</v>
      </c>
      <c r="F126" s="285">
        <f>'Функц. 2021-2023'!J692</f>
        <v>31588.899999999998</v>
      </c>
      <c r="G126" s="462"/>
    </row>
    <row r="127" spans="1:7" s="514" customFormat="1" ht="47.25" x14ac:dyDescent="0.25">
      <c r="A127" s="522" t="s">
        <v>2373</v>
      </c>
      <c r="B127" s="468" t="s">
        <v>2325</v>
      </c>
      <c r="C127" s="762"/>
      <c r="D127" s="285">
        <f t="shared" ref="D127:F128" si="19">D128</f>
        <v>17696</v>
      </c>
      <c r="E127" s="285">
        <f t="shared" si="19"/>
        <v>17696</v>
      </c>
      <c r="F127" s="285">
        <f t="shared" si="19"/>
        <v>17696</v>
      </c>
      <c r="G127" s="462"/>
    </row>
    <row r="128" spans="1:7" s="514" customFormat="1" x14ac:dyDescent="0.25">
      <c r="A128" s="515" t="s">
        <v>1782</v>
      </c>
      <c r="B128" s="468" t="s">
        <v>2325</v>
      </c>
      <c r="C128" s="761">
        <v>200</v>
      </c>
      <c r="D128" s="285">
        <f t="shared" si="19"/>
        <v>17696</v>
      </c>
      <c r="E128" s="285">
        <f t="shared" si="19"/>
        <v>17696</v>
      </c>
      <c r="F128" s="285">
        <f t="shared" si="19"/>
        <v>17696</v>
      </c>
      <c r="G128" s="462"/>
    </row>
    <row r="129" spans="1:7" s="514" customFormat="1" x14ac:dyDescent="0.25">
      <c r="A129" s="515" t="s">
        <v>1274</v>
      </c>
      <c r="B129" s="468" t="s">
        <v>2325</v>
      </c>
      <c r="C129" s="761">
        <v>240</v>
      </c>
      <c r="D129" s="285">
        <f>'Функц. 2021-2023'!F695</f>
        <v>17696</v>
      </c>
      <c r="E129" s="285">
        <f>'Функц. 2021-2023'!H695</f>
        <v>17696</v>
      </c>
      <c r="F129" s="285">
        <f>'Функц. 2021-2023'!J695</f>
        <v>17696</v>
      </c>
      <c r="G129" s="462"/>
    </row>
    <row r="130" spans="1:7" ht="47.25" x14ac:dyDescent="0.25">
      <c r="A130" s="518" t="s">
        <v>2129</v>
      </c>
      <c r="B130" s="468" t="s">
        <v>2168</v>
      </c>
      <c r="C130" s="763"/>
      <c r="D130" s="285">
        <f t="shared" ref="D130:F132" si="20">D131</f>
        <v>1018.8</v>
      </c>
      <c r="E130" s="285">
        <f t="shared" si="20"/>
        <v>1026.3</v>
      </c>
      <c r="F130" s="285">
        <f t="shared" si="20"/>
        <v>1026.3</v>
      </c>
      <c r="G130" s="462"/>
    </row>
    <row r="131" spans="1:7" ht="31.5" x14ac:dyDescent="0.25">
      <c r="A131" s="518" t="s">
        <v>2031</v>
      </c>
      <c r="B131" s="468" t="s">
        <v>2169</v>
      </c>
      <c r="C131" s="763"/>
      <c r="D131" s="285">
        <f t="shared" si="20"/>
        <v>1018.8</v>
      </c>
      <c r="E131" s="285">
        <f t="shared" si="20"/>
        <v>1026.3</v>
      </c>
      <c r="F131" s="285">
        <f t="shared" si="20"/>
        <v>1026.3</v>
      </c>
      <c r="G131" s="462"/>
    </row>
    <row r="132" spans="1:7" ht="31.5" x14ac:dyDescent="0.25">
      <c r="A132" s="515" t="s">
        <v>1343</v>
      </c>
      <c r="B132" s="468" t="s">
        <v>2169</v>
      </c>
      <c r="C132" s="763">
        <v>600</v>
      </c>
      <c r="D132" s="285">
        <f t="shared" si="20"/>
        <v>1018.8</v>
      </c>
      <c r="E132" s="285">
        <f t="shared" si="20"/>
        <v>1026.3</v>
      </c>
      <c r="F132" s="285">
        <f t="shared" si="20"/>
        <v>1026.3</v>
      </c>
      <c r="G132" s="462"/>
    </row>
    <row r="133" spans="1:7" x14ac:dyDescent="0.25">
      <c r="A133" s="515" t="s">
        <v>1344</v>
      </c>
      <c r="B133" s="468" t="s">
        <v>2169</v>
      </c>
      <c r="C133" s="763">
        <v>610</v>
      </c>
      <c r="D133" s="285">
        <f>'Функц. 2021-2023'!F699</f>
        <v>1018.8</v>
      </c>
      <c r="E133" s="285">
        <f>'Функц. 2021-2023'!H699</f>
        <v>1026.3</v>
      </c>
      <c r="F133" s="285">
        <f>'Функц. 2021-2023'!J699</f>
        <v>1026.3</v>
      </c>
      <c r="G133" s="462"/>
    </row>
    <row r="134" spans="1:7" ht="31.5" x14ac:dyDescent="0.25">
      <c r="A134" s="518" t="s">
        <v>2039</v>
      </c>
      <c r="B134" s="468" t="s">
        <v>1779</v>
      </c>
      <c r="C134" s="766"/>
      <c r="D134" s="285">
        <f>D135+D143</f>
        <v>72114.899999999994</v>
      </c>
      <c r="E134" s="285">
        <f>E135+E143</f>
        <v>72184.899999999994</v>
      </c>
      <c r="F134" s="285">
        <f>F135+F143</f>
        <v>72184.899999999994</v>
      </c>
      <c r="G134" s="462"/>
    </row>
    <row r="135" spans="1:7" ht="31.5" x14ac:dyDescent="0.25">
      <c r="A135" s="518" t="s">
        <v>2040</v>
      </c>
      <c r="B135" s="468" t="s">
        <v>2185</v>
      </c>
      <c r="C135" s="766"/>
      <c r="D135" s="285">
        <f>D136</f>
        <v>59922.5</v>
      </c>
      <c r="E135" s="285">
        <f>E136</f>
        <v>37407.800000000003</v>
      </c>
      <c r="F135" s="285">
        <f>F136</f>
        <v>37407.800000000003</v>
      </c>
      <c r="G135" s="462"/>
    </row>
    <row r="136" spans="1:7" ht="31.5" x14ac:dyDescent="0.25">
      <c r="A136" s="518" t="s">
        <v>2041</v>
      </c>
      <c r="B136" s="468" t="s">
        <v>2186</v>
      </c>
      <c r="C136" s="767"/>
      <c r="D136" s="285">
        <f>D140+D137</f>
        <v>59922.5</v>
      </c>
      <c r="E136" s="285">
        <f>E140+E137</f>
        <v>37407.800000000003</v>
      </c>
      <c r="F136" s="285">
        <f>F140+F137</f>
        <v>37407.800000000003</v>
      </c>
      <c r="G136" s="462"/>
    </row>
    <row r="137" spans="1:7" s="514" customFormat="1" ht="31.5" x14ac:dyDescent="0.25">
      <c r="A137" s="515" t="s">
        <v>2187</v>
      </c>
      <c r="B137" s="468" t="s">
        <v>2189</v>
      </c>
      <c r="C137" s="768"/>
      <c r="D137" s="285">
        <f>D139</f>
        <v>59737.5</v>
      </c>
      <c r="E137" s="285">
        <f>E139</f>
        <v>37152.800000000003</v>
      </c>
      <c r="F137" s="285">
        <f>F139</f>
        <v>37152.800000000003</v>
      </c>
      <c r="G137" s="462"/>
    </row>
    <row r="138" spans="1:7" s="514" customFormat="1" ht="31.5" x14ac:dyDescent="0.25">
      <c r="A138" s="515" t="s">
        <v>1343</v>
      </c>
      <c r="B138" s="468" t="s">
        <v>2189</v>
      </c>
      <c r="C138" s="761">
        <v>600</v>
      </c>
      <c r="D138" s="285">
        <f>D139</f>
        <v>59737.5</v>
      </c>
      <c r="E138" s="285">
        <f>E139</f>
        <v>37152.800000000003</v>
      </c>
      <c r="F138" s="285">
        <f>F139</f>
        <v>37152.800000000003</v>
      </c>
      <c r="G138" s="462"/>
    </row>
    <row r="139" spans="1:7" s="514" customFormat="1" x14ac:dyDescent="0.25">
      <c r="A139" s="515" t="s">
        <v>1344</v>
      </c>
      <c r="B139" s="468" t="s">
        <v>2189</v>
      </c>
      <c r="C139" s="761">
        <v>610</v>
      </c>
      <c r="D139" s="285">
        <f>'ведом. 2021-2023'!AD788</f>
        <v>59737.5</v>
      </c>
      <c r="E139" s="285">
        <f>'ведом. 2021-2023'!AE788</f>
        <v>37152.800000000003</v>
      </c>
      <c r="F139" s="285">
        <f>'Функц. 2021-2023'!J742</f>
        <v>37152.800000000003</v>
      </c>
      <c r="G139" s="462"/>
    </row>
    <row r="140" spans="1:7" ht="31.5" x14ac:dyDescent="0.25">
      <c r="A140" s="515" t="s">
        <v>2188</v>
      </c>
      <c r="B140" s="468" t="s">
        <v>2190</v>
      </c>
      <c r="C140" s="763"/>
      <c r="D140" s="285">
        <f t="shared" ref="D140:F141" si="21">D141</f>
        <v>185</v>
      </c>
      <c r="E140" s="285">
        <f t="shared" si="21"/>
        <v>255</v>
      </c>
      <c r="F140" s="285">
        <f t="shared" si="21"/>
        <v>255</v>
      </c>
      <c r="G140" s="462"/>
    </row>
    <row r="141" spans="1:7" ht="31.5" x14ac:dyDescent="0.25">
      <c r="A141" s="515" t="s">
        <v>1343</v>
      </c>
      <c r="B141" s="468" t="s">
        <v>2190</v>
      </c>
      <c r="C141" s="763">
        <v>600</v>
      </c>
      <c r="D141" s="285">
        <f t="shared" si="21"/>
        <v>185</v>
      </c>
      <c r="E141" s="285">
        <f t="shared" si="21"/>
        <v>255</v>
      </c>
      <c r="F141" s="285">
        <f t="shared" si="21"/>
        <v>255</v>
      </c>
      <c r="G141" s="462"/>
    </row>
    <row r="142" spans="1:7" x14ac:dyDescent="0.25">
      <c r="A142" s="515" t="s">
        <v>1344</v>
      </c>
      <c r="B142" s="468" t="s">
        <v>2190</v>
      </c>
      <c r="C142" s="763">
        <v>610</v>
      </c>
      <c r="D142" s="285">
        <f>'Функц. 2021-2023'!F745</f>
        <v>185</v>
      </c>
      <c r="E142" s="285">
        <f>'Функц. 2021-2023'!H745</f>
        <v>255</v>
      </c>
      <c r="F142" s="285">
        <f>'Функц. 2021-2023'!J745</f>
        <v>255</v>
      </c>
      <c r="G142" s="462"/>
    </row>
    <row r="143" spans="1:7" s="487" customFormat="1" ht="31.5" x14ac:dyDescent="0.25">
      <c r="A143" s="518" t="s">
        <v>2042</v>
      </c>
      <c r="B143" s="468" t="s">
        <v>2287</v>
      </c>
      <c r="C143" s="761"/>
      <c r="D143" s="285">
        <f>D144</f>
        <v>12192.399999999998</v>
      </c>
      <c r="E143" s="285">
        <f>E144</f>
        <v>34777.1</v>
      </c>
      <c r="F143" s="285">
        <f>F144</f>
        <v>34777.1</v>
      </c>
      <c r="G143" s="462"/>
    </row>
    <row r="144" spans="1:7" s="487" customFormat="1" ht="31.5" x14ac:dyDescent="0.25">
      <c r="A144" s="523" t="s">
        <v>1840</v>
      </c>
      <c r="B144" s="468" t="s">
        <v>2288</v>
      </c>
      <c r="C144" s="761"/>
      <c r="D144" s="285">
        <f>D145+D149</f>
        <v>12192.399999999998</v>
      </c>
      <c r="E144" s="285">
        <f>E145+E149</f>
        <v>34777.1</v>
      </c>
      <c r="F144" s="285">
        <f>F145+F149</f>
        <v>34777.1</v>
      </c>
      <c r="G144" s="462"/>
    </row>
    <row r="145" spans="1:7" s="487" customFormat="1" ht="31.5" x14ac:dyDescent="0.25">
      <c r="A145" s="515" t="s">
        <v>1343</v>
      </c>
      <c r="B145" s="468" t="s">
        <v>2288</v>
      </c>
      <c r="C145" s="761">
        <v>600</v>
      </c>
      <c r="D145" s="285">
        <f>D146+D147+D148</f>
        <v>11792.399999999998</v>
      </c>
      <c r="E145" s="285">
        <f>E146+E147+E148</f>
        <v>34377.1</v>
      </c>
      <c r="F145" s="285">
        <f>F146+F147+F148</f>
        <v>34377.1</v>
      </c>
      <c r="G145" s="462"/>
    </row>
    <row r="146" spans="1:7" s="487" customFormat="1" x14ac:dyDescent="0.25">
      <c r="A146" s="515" t="s">
        <v>1344</v>
      </c>
      <c r="B146" s="468" t="s">
        <v>2288</v>
      </c>
      <c r="C146" s="761">
        <v>610</v>
      </c>
      <c r="D146" s="285">
        <f>'Функц. 2021-2023'!F749</f>
        <v>11292.399999999998</v>
      </c>
      <c r="E146" s="285">
        <f>'Функц. 2021-2023'!H749</f>
        <v>33877.1</v>
      </c>
      <c r="F146" s="285">
        <f>'Функц. 2021-2023'!J749</f>
        <v>33877.1</v>
      </c>
      <c r="G146" s="462"/>
    </row>
    <row r="147" spans="1:7" s="514" customFormat="1" x14ac:dyDescent="0.25">
      <c r="A147" s="520" t="s">
        <v>1801</v>
      </c>
      <c r="B147" s="468" t="s">
        <v>2288</v>
      </c>
      <c r="C147" s="761">
        <v>620</v>
      </c>
      <c r="D147" s="285">
        <f>'Функц. 2021-2023'!F750</f>
        <v>250</v>
      </c>
      <c r="E147" s="285">
        <f>'Функц. 2021-2023'!H750</f>
        <v>250</v>
      </c>
      <c r="F147" s="285">
        <f>'Функц. 2021-2023'!J750</f>
        <v>250</v>
      </c>
      <c r="G147" s="462"/>
    </row>
    <row r="148" spans="1:7" s="514" customFormat="1" ht="31.5" x14ac:dyDescent="0.25">
      <c r="A148" s="520" t="s">
        <v>2301</v>
      </c>
      <c r="B148" s="468" t="s">
        <v>2288</v>
      </c>
      <c r="C148" s="761">
        <v>630</v>
      </c>
      <c r="D148" s="285">
        <f>'Функц. 2021-2023'!F751</f>
        <v>250</v>
      </c>
      <c r="E148" s="285">
        <f>'Функц. 2021-2023'!H751</f>
        <v>250</v>
      </c>
      <c r="F148" s="285">
        <f>'Функц. 2021-2023'!J751</f>
        <v>250</v>
      </c>
      <c r="G148" s="462"/>
    </row>
    <row r="149" spans="1:7" s="514" customFormat="1" x14ac:dyDescent="0.25">
      <c r="A149" s="520" t="s">
        <v>924</v>
      </c>
      <c r="B149" s="468" t="s">
        <v>2288</v>
      </c>
      <c r="C149" s="761">
        <v>800</v>
      </c>
      <c r="D149" s="285">
        <f>D150</f>
        <v>400</v>
      </c>
      <c r="E149" s="285">
        <f>E150</f>
        <v>400</v>
      </c>
      <c r="F149" s="285">
        <f>F150</f>
        <v>400</v>
      </c>
      <c r="G149" s="462"/>
    </row>
    <row r="150" spans="1:7" s="514" customFormat="1" ht="31.5" x14ac:dyDescent="0.25">
      <c r="A150" s="520" t="s">
        <v>1783</v>
      </c>
      <c r="B150" s="468" t="s">
        <v>2288</v>
      </c>
      <c r="C150" s="761">
        <v>810</v>
      </c>
      <c r="D150" s="285">
        <f>'Функц. 2021-2023'!F753</f>
        <v>400</v>
      </c>
      <c r="E150" s="285">
        <f>'Функц. 2021-2023'!H753</f>
        <v>400</v>
      </c>
      <c r="F150" s="285">
        <f>'Функц. 2021-2023'!J753</f>
        <v>400</v>
      </c>
      <c r="G150" s="462"/>
    </row>
    <row r="151" spans="1:7" x14ac:dyDescent="0.25">
      <c r="A151" s="521" t="s">
        <v>2292</v>
      </c>
      <c r="B151" s="468" t="s">
        <v>2128</v>
      </c>
      <c r="C151" s="761"/>
      <c r="D151" s="285">
        <f>D152</f>
        <v>16632.400000000001</v>
      </c>
      <c r="E151" s="285">
        <f>E152</f>
        <v>16032.4</v>
      </c>
      <c r="F151" s="285">
        <f>F152</f>
        <v>16032.4</v>
      </c>
      <c r="G151" s="462"/>
    </row>
    <row r="152" spans="1:7" ht="31.5" x14ac:dyDescent="0.25">
      <c r="A152" s="518" t="s">
        <v>2043</v>
      </c>
      <c r="B152" s="468" t="s">
        <v>2127</v>
      </c>
      <c r="C152" s="761"/>
      <c r="D152" s="285">
        <f>D153+D165</f>
        <v>16632.400000000001</v>
      </c>
      <c r="E152" s="285">
        <f>E153+E165</f>
        <v>16032.4</v>
      </c>
      <c r="F152" s="285">
        <f>F153+F165</f>
        <v>16032.4</v>
      </c>
      <c r="G152" s="462"/>
    </row>
    <row r="153" spans="1:7" x14ac:dyDescent="0.25">
      <c r="A153" s="523" t="s">
        <v>1924</v>
      </c>
      <c r="B153" s="468" t="s">
        <v>2191</v>
      </c>
      <c r="C153" s="761"/>
      <c r="D153" s="285">
        <f>D154+D159+D162</f>
        <v>16444.5</v>
      </c>
      <c r="E153" s="285">
        <f>E154+E159+E162</f>
        <v>15844.5</v>
      </c>
      <c r="F153" s="285">
        <f>F154+F159+F162</f>
        <v>15844.5</v>
      </c>
      <c r="G153" s="462"/>
    </row>
    <row r="154" spans="1:7" ht="31.5" x14ac:dyDescent="0.25">
      <c r="A154" s="515" t="s">
        <v>1925</v>
      </c>
      <c r="B154" s="468" t="s">
        <v>2192</v>
      </c>
      <c r="C154" s="761"/>
      <c r="D154" s="285">
        <f>D155+D157</f>
        <v>1830.1</v>
      </c>
      <c r="E154" s="285">
        <f>E155+E157</f>
        <v>1230.0999999999999</v>
      </c>
      <c r="F154" s="285">
        <f>F155+F157</f>
        <v>1230.0999999999999</v>
      </c>
      <c r="G154" s="462"/>
    </row>
    <row r="155" spans="1:7" x14ac:dyDescent="0.25">
      <c r="A155" s="515" t="s">
        <v>1782</v>
      </c>
      <c r="B155" s="468" t="s">
        <v>2192</v>
      </c>
      <c r="C155" s="761">
        <v>200</v>
      </c>
      <c r="D155" s="285">
        <f>D156</f>
        <v>1818.1</v>
      </c>
      <c r="E155" s="285">
        <f>E156</f>
        <v>1230.0999999999999</v>
      </c>
      <c r="F155" s="285">
        <f>F156</f>
        <v>1230.0999999999999</v>
      </c>
      <c r="G155" s="462"/>
    </row>
    <row r="156" spans="1:7" x14ac:dyDescent="0.25">
      <c r="A156" s="515" t="s">
        <v>1274</v>
      </c>
      <c r="B156" s="468" t="s">
        <v>2192</v>
      </c>
      <c r="C156" s="761">
        <v>240</v>
      </c>
      <c r="D156" s="285">
        <f>'Функц. 2021-2023'!F791</f>
        <v>1818.1</v>
      </c>
      <c r="E156" s="285">
        <f>'Функц. 2021-2023'!H791</f>
        <v>1230.0999999999999</v>
      </c>
      <c r="F156" s="285">
        <f>'Функц. 2021-2023'!J791</f>
        <v>1230.0999999999999</v>
      </c>
      <c r="G156" s="462"/>
    </row>
    <row r="157" spans="1:7" s="514" customFormat="1" x14ac:dyDescent="0.25">
      <c r="A157" s="520" t="s">
        <v>924</v>
      </c>
      <c r="B157" s="468" t="s">
        <v>2192</v>
      </c>
      <c r="C157" s="761">
        <v>800</v>
      </c>
      <c r="D157" s="285">
        <f>D158</f>
        <v>12</v>
      </c>
      <c r="E157" s="285">
        <f>E158</f>
        <v>0</v>
      </c>
      <c r="F157" s="285">
        <f>F158</f>
        <v>0</v>
      </c>
      <c r="G157" s="462"/>
    </row>
    <row r="158" spans="1:7" s="514" customFormat="1" x14ac:dyDescent="0.25">
      <c r="A158" s="520" t="s">
        <v>1320</v>
      </c>
      <c r="B158" s="468" t="s">
        <v>2192</v>
      </c>
      <c r="C158" s="761">
        <v>850</v>
      </c>
      <c r="D158" s="285">
        <f>'Функц. 2021-2023'!F793</f>
        <v>12</v>
      </c>
      <c r="E158" s="285">
        <f>'Функц. 2021-2023'!H793</f>
        <v>0</v>
      </c>
      <c r="F158" s="285">
        <f>'Функц. 2021-2023'!J793</f>
        <v>0</v>
      </c>
      <c r="G158" s="462"/>
    </row>
    <row r="159" spans="1:7" ht="31.5" x14ac:dyDescent="0.25">
      <c r="A159" s="515" t="s">
        <v>2247</v>
      </c>
      <c r="B159" s="468" t="s">
        <v>2193</v>
      </c>
      <c r="C159" s="761"/>
      <c r="D159" s="285">
        <f t="shared" ref="D159:F160" si="22">D160</f>
        <v>5977.5</v>
      </c>
      <c r="E159" s="285">
        <f t="shared" si="22"/>
        <v>5977.5</v>
      </c>
      <c r="F159" s="285">
        <f t="shared" si="22"/>
        <v>5977.5</v>
      </c>
      <c r="G159" s="462"/>
    </row>
    <row r="160" spans="1:7" ht="47.25" x14ac:dyDescent="0.25">
      <c r="A160" s="515" t="s">
        <v>922</v>
      </c>
      <c r="B160" s="468" t="s">
        <v>2193</v>
      </c>
      <c r="C160" s="761">
        <v>100</v>
      </c>
      <c r="D160" s="285">
        <f t="shared" si="22"/>
        <v>5977.5</v>
      </c>
      <c r="E160" s="285">
        <f t="shared" si="22"/>
        <v>5977.5</v>
      </c>
      <c r="F160" s="285">
        <f t="shared" si="22"/>
        <v>5977.5</v>
      </c>
      <c r="G160" s="462"/>
    </row>
    <row r="161" spans="1:7" x14ac:dyDescent="0.25">
      <c r="A161" s="515" t="s">
        <v>1748</v>
      </c>
      <c r="B161" s="468" t="s">
        <v>2193</v>
      </c>
      <c r="C161" s="761">
        <v>120</v>
      </c>
      <c r="D161" s="285">
        <f>'Функц. 2021-2023'!F796</f>
        <v>5977.5</v>
      </c>
      <c r="E161" s="285">
        <f>'Функц. 2021-2023'!H796</f>
        <v>5977.5</v>
      </c>
      <c r="F161" s="285">
        <f>'Функц. 2021-2023'!J796</f>
        <v>5977.5</v>
      </c>
      <c r="G161" s="462"/>
    </row>
    <row r="162" spans="1:7" ht="31.5" x14ac:dyDescent="0.25">
      <c r="A162" s="515" t="s">
        <v>2044</v>
      </c>
      <c r="B162" s="468" t="s">
        <v>2194</v>
      </c>
      <c r="C162" s="761"/>
      <c r="D162" s="285">
        <f t="shared" ref="D162:F163" si="23">D163</f>
        <v>8636.9</v>
      </c>
      <c r="E162" s="285">
        <f t="shared" si="23"/>
        <v>8636.9</v>
      </c>
      <c r="F162" s="285">
        <f t="shared" si="23"/>
        <v>8636.9</v>
      </c>
      <c r="G162" s="462"/>
    </row>
    <row r="163" spans="1:7" ht="47.25" x14ac:dyDescent="0.25">
      <c r="A163" s="515" t="s">
        <v>922</v>
      </c>
      <c r="B163" s="468" t="s">
        <v>2194</v>
      </c>
      <c r="C163" s="761">
        <v>100</v>
      </c>
      <c r="D163" s="285">
        <f t="shared" si="23"/>
        <v>8636.9</v>
      </c>
      <c r="E163" s="285">
        <f t="shared" si="23"/>
        <v>8636.9</v>
      </c>
      <c r="F163" s="285">
        <f t="shared" si="23"/>
        <v>8636.9</v>
      </c>
      <c r="G163" s="462"/>
    </row>
    <row r="164" spans="1:7" x14ac:dyDescent="0.25">
      <c r="A164" s="515" t="s">
        <v>1748</v>
      </c>
      <c r="B164" s="468" t="s">
        <v>2194</v>
      </c>
      <c r="C164" s="761">
        <v>120</v>
      </c>
      <c r="D164" s="285">
        <f>'Функц. 2021-2023'!F799</f>
        <v>8636.9</v>
      </c>
      <c r="E164" s="285">
        <f>'Функц. 2021-2023'!H799</f>
        <v>8636.9</v>
      </c>
      <c r="F164" s="285">
        <f>'Функц. 2021-2023'!J799</f>
        <v>8636.9</v>
      </c>
      <c r="G164" s="462"/>
    </row>
    <row r="165" spans="1:7" x14ac:dyDescent="0.25">
      <c r="A165" s="515" t="s">
        <v>2045</v>
      </c>
      <c r="B165" s="468" t="s">
        <v>2195</v>
      </c>
      <c r="C165" s="761"/>
      <c r="D165" s="285">
        <f t="shared" ref="D165:F166" si="24">D166</f>
        <v>187.9</v>
      </c>
      <c r="E165" s="285">
        <f t="shared" si="24"/>
        <v>187.9</v>
      </c>
      <c r="F165" s="285">
        <f t="shared" si="24"/>
        <v>187.9</v>
      </c>
      <c r="G165" s="462"/>
    </row>
    <row r="166" spans="1:7" x14ac:dyDescent="0.25">
      <c r="A166" s="515" t="s">
        <v>1782</v>
      </c>
      <c r="B166" s="468" t="s">
        <v>2195</v>
      </c>
      <c r="C166" s="761">
        <v>200</v>
      </c>
      <c r="D166" s="285">
        <f t="shared" si="24"/>
        <v>187.9</v>
      </c>
      <c r="E166" s="285">
        <f t="shared" si="24"/>
        <v>187.9</v>
      </c>
      <c r="F166" s="285">
        <f t="shared" si="24"/>
        <v>187.9</v>
      </c>
      <c r="G166" s="462"/>
    </row>
    <row r="167" spans="1:7" x14ac:dyDescent="0.25">
      <c r="A167" s="515" t="s">
        <v>1274</v>
      </c>
      <c r="B167" s="468" t="s">
        <v>2195</v>
      </c>
      <c r="C167" s="761">
        <v>240</v>
      </c>
      <c r="D167" s="285">
        <f>'Функц. 2021-2023'!F802</f>
        <v>187.9</v>
      </c>
      <c r="E167" s="285">
        <f>'Функц. 2021-2023'!H802</f>
        <v>187.9</v>
      </c>
      <c r="F167" s="285">
        <f>'Функц. 2021-2023'!J802</f>
        <v>187.9</v>
      </c>
      <c r="G167" s="462"/>
    </row>
    <row r="168" spans="1:7" s="437" customFormat="1" x14ac:dyDescent="0.25">
      <c r="A168" s="795" t="s">
        <v>2075</v>
      </c>
      <c r="B168" s="813" t="s">
        <v>1769</v>
      </c>
      <c r="C168" s="769"/>
      <c r="D168" s="289">
        <f>D169+D193+D206+D185</f>
        <v>35617.5</v>
      </c>
      <c r="E168" s="289">
        <f>E169+E193+E206+E185</f>
        <v>35456.5</v>
      </c>
      <c r="F168" s="289">
        <f>F169+F193+F206+F185</f>
        <v>36164.600000000006</v>
      </c>
      <c r="G168" s="462"/>
    </row>
    <row r="169" spans="1:7" s="437" customFormat="1" x14ac:dyDescent="0.25">
      <c r="A169" s="525" t="s">
        <v>2076</v>
      </c>
      <c r="B169" s="814" t="s">
        <v>1780</v>
      </c>
      <c r="C169" s="770"/>
      <c r="D169" s="285">
        <f>D170+D181</f>
        <v>28851.600000000002</v>
      </c>
      <c r="E169" s="285">
        <f>E170+E181</f>
        <v>29544.600000000002</v>
      </c>
      <c r="F169" s="285">
        <f>F170+F181</f>
        <v>30275.600000000002</v>
      </c>
      <c r="G169" s="462"/>
    </row>
    <row r="170" spans="1:7" s="437" customFormat="1" ht="47.25" x14ac:dyDescent="0.25">
      <c r="A170" s="525" t="s">
        <v>2077</v>
      </c>
      <c r="B170" s="468" t="s">
        <v>2078</v>
      </c>
      <c r="C170" s="761"/>
      <c r="D170" s="285">
        <f>D171+D176</f>
        <v>21211</v>
      </c>
      <c r="E170" s="285">
        <f>E171+E176</f>
        <v>21896</v>
      </c>
      <c r="F170" s="285">
        <f>F171+F176</f>
        <v>22627</v>
      </c>
      <c r="G170" s="462"/>
    </row>
    <row r="171" spans="1:7" s="437" customFormat="1" x14ac:dyDescent="0.25">
      <c r="A171" s="526" t="s">
        <v>1784</v>
      </c>
      <c r="B171" s="468" t="s">
        <v>2079</v>
      </c>
      <c r="C171" s="761"/>
      <c r="D171" s="285">
        <f>D172+D174</f>
        <v>19062</v>
      </c>
      <c r="E171" s="285">
        <f>E172+E174</f>
        <v>19747</v>
      </c>
      <c r="F171" s="285">
        <f>F172+F174</f>
        <v>20478</v>
      </c>
      <c r="G171" s="462"/>
    </row>
    <row r="172" spans="1:7" s="437" customFormat="1" x14ac:dyDescent="0.25">
      <c r="A172" s="515" t="s">
        <v>1782</v>
      </c>
      <c r="B172" s="468" t="s">
        <v>2079</v>
      </c>
      <c r="C172" s="761">
        <v>200</v>
      </c>
      <c r="D172" s="285">
        <f>D173</f>
        <v>153.5</v>
      </c>
      <c r="E172" s="285">
        <f>E173</f>
        <v>167</v>
      </c>
      <c r="F172" s="285">
        <f>F173</f>
        <v>170</v>
      </c>
      <c r="G172" s="462"/>
    </row>
    <row r="173" spans="1:7" s="437" customFormat="1" x14ac:dyDescent="0.25">
      <c r="A173" s="515" t="s">
        <v>1274</v>
      </c>
      <c r="B173" s="468" t="s">
        <v>2079</v>
      </c>
      <c r="C173" s="761">
        <v>240</v>
      </c>
      <c r="D173" s="285">
        <f>'Функц. 2021-2023'!F913</f>
        <v>153.5</v>
      </c>
      <c r="E173" s="285">
        <f>'Функц. 2021-2023'!H913</f>
        <v>167</v>
      </c>
      <c r="F173" s="285">
        <f>'Функц. 2021-2023'!J913</f>
        <v>170</v>
      </c>
      <c r="G173" s="462"/>
    </row>
    <row r="174" spans="1:7" s="437" customFormat="1" x14ac:dyDescent="0.25">
      <c r="A174" s="515" t="s">
        <v>1755</v>
      </c>
      <c r="B174" s="468" t="s">
        <v>2079</v>
      </c>
      <c r="C174" s="761">
        <v>300</v>
      </c>
      <c r="D174" s="285">
        <f>D175</f>
        <v>18908.5</v>
      </c>
      <c r="E174" s="285">
        <f>E175</f>
        <v>19580</v>
      </c>
      <c r="F174" s="285">
        <f>F175</f>
        <v>20308</v>
      </c>
      <c r="G174" s="462"/>
    </row>
    <row r="175" spans="1:7" s="437" customFormat="1" x14ac:dyDescent="0.25">
      <c r="A175" s="515" t="s">
        <v>1805</v>
      </c>
      <c r="B175" s="468" t="s">
        <v>2079</v>
      </c>
      <c r="C175" s="761">
        <v>310</v>
      </c>
      <c r="D175" s="285">
        <f>'Функц. 2021-2023'!F915</f>
        <v>18908.5</v>
      </c>
      <c r="E175" s="285">
        <f>'Функц. 2021-2023'!H915</f>
        <v>19580</v>
      </c>
      <c r="F175" s="285">
        <f>'Функц. 2021-2023'!J915</f>
        <v>20308</v>
      </c>
      <c r="G175" s="462"/>
    </row>
    <row r="176" spans="1:7" s="437" customFormat="1" ht="31.5" x14ac:dyDescent="0.25">
      <c r="A176" s="526" t="s">
        <v>2080</v>
      </c>
      <c r="B176" s="468" t="s">
        <v>2081</v>
      </c>
      <c r="C176" s="761"/>
      <c r="D176" s="285">
        <f>D177+D179</f>
        <v>2149</v>
      </c>
      <c r="E176" s="285">
        <f>E177+E179</f>
        <v>2149</v>
      </c>
      <c r="F176" s="285">
        <f>F177+F179</f>
        <v>2149</v>
      </c>
      <c r="G176" s="462"/>
    </row>
    <row r="177" spans="1:7" s="437" customFormat="1" ht="47.25" x14ac:dyDescent="0.25">
      <c r="A177" s="515" t="s">
        <v>922</v>
      </c>
      <c r="B177" s="468" t="s">
        <v>2081</v>
      </c>
      <c r="C177" s="761">
        <v>100</v>
      </c>
      <c r="D177" s="285">
        <f>D178</f>
        <v>1943.1</v>
      </c>
      <c r="E177" s="285">
        <f>E178</f>
        <v>1943.1</v>
      </c>
      <c r="F177" s="285">
        <f>F178</f>
        <v>1943.1</v>
      </c>
      <c r="G177" s="462"/>
    </row>
    <row r="178" spans="1:7" s="437" customFormat="1" x14ac:dyDescent="0.25">
      <c r="A178" s="515" t="s">
        <v>1748</v>
      </c>
      <c r="B178" s="468" t="s">
        <v>2081</v>
      </c>
      <c r="C178" s="761">
        <v>120</v>
      </c>
      <c r="D178" s="285">
        <f>'Функц. 2021-2023'!F589</f>
        <v>1943.1</v>
      </c>
      <c r="E178" s="285">
        <f>'Функц. 2021-2023'!H589</f>
        <v>1943.1</v>
      </c>
      <c r="F178" s="285">
        <f>'Функц. 2021-2023'!J589</f>
        <v>1943.1</v>
      </c>
      <c r="G178" s="462"/>
    </row>
    <row r="179" spans="1:7" s="437" customFormat="1" x14ac:dyDescent="0.25">
      <c r="A179" s="515" t="s">
        <v>1782</v>
      </c>
      <c r="B179" s="468" t="s">
        <v>2081</v>
      </c>
      <c r="C179" s="761">
        <v>200</v>
      </c>
      <c r="D179" s="285">
        <f>D180</f>
        <v>205.9</v>
      </c>
      <c r="E179" s="285">
        <f>E180</f>
        <v>205.9</v>
      </c>
      <c r="F179" s="285">
        <f>F180</f>
        <v>205.9</v>
      </c>
      <c r="G179" s="462"/>
    </row>
    <row r="180" spans="1:7" s="437" customFormat="1" x14ac:dyDescent="0.25">
      <c r="A180" s="515" t="s">
        <v>1274</v>
      </c>
      <c r="B180" s="468" t="s">
        <v>2081</v>
      </c>
      <c r="C180" s="761">
        <v>240</v>
      </c>
      <c r="D180" s="285">
        <f>'Функц. 2021-2023'!F591</f>
        <v>205.9</v>
      </c>
      <c r="E180" s="285">
        <f>'Функц. 2021-2023'!H591</f>
        <v>205.9</v>
      </c>
      <c r="F180" s="285">
        <f>'Функц. 2021-2023'!J591</f>
        <v>205.9</v>
      </c>
      <c r="G180" s="462"/>
    </row>
    <row r="181" spans="1:7" s="437" customFormat="1" ht="31.5" x14ac:dyDescent="0.25">
      <c r="A181" s="525" t="s">
        <v>2082</v>
      </c>
      <c r="B181" s="468" t="s">
        <v>2083</v>
      </c>
      <c r="C181" s="771"/>
      <c r="D181" s="285">
        <f t="shared" ref="D181:F182" si="25">D182</f>
        <v>7640.6000000000013</v>
      </c>
      <c r="E181" s="285">
        <f t="shared" si="25"/>
        <v>7648.6000000000013</v>
      </c>
      <c r="F181" s="285">
        <f t="shared" si="25"/>
        <v>7648.6000000000013</v>
      </c>
      <c r="G181" s="462"/>
    </row>
    <row r="182" spans="1:7" s="437" customFormat="1" ht="31.5" x14ac:dyDescent="0.25">
      <c r="A182" s="527" t="s">
        <v>2084</v>
      </c>
      <c r="B182" s="468" t="s">
        <v>2085</v>
      </c>
      <c r="C182" s="771"/>
      <c r="D182" s="285">
        <f t="shared" si="25"/>
        <v>7640.6000000000013</v>
      </c>
      <c r="E182" s="285">
        <f t="shared" si="25"/>
        <v>7648.6000000000013</v>
      </c>
      <c r="F182" s="285">
        <f t="shared" si="25"/>
        <v>7648.6000000000013</v>
      </c>
      <c r="G182" s="462"/>
    </row>
    <row r="183" spans="1:7" s="437" customFormat="1" x14ac:dyDescent="0.25">
      <c r="A183" s="515" t="s">
        <v>1755</v>
      </c>
      <c r="B183" s="468" t="s">
        <v>2085</v>
      </c>
      <c r="C183" s="761">
        <v>300</v>
      </c>
      <c r="D183" s="285">
        <f>D184</f>
        <v>7640.6000000000013</v>
      </c>
      <c r="E183" s="285">
        <f>E184</f>
        <v>7648.6000000000013</v>
      </c>
      <c r="F183" s="285">
        <f>F184</f>
        <v>7648.6000000000013</v>
      </c>
      <c r="G183" s="462"/>
    </row>
    <row r="184" spans="1:7" s="437" customFormat="1" x14ac:dyDescent="0.25">
      <c r="A184" s="515" t="s">
        <v>868</v>
      </c>
      <c r="B184" s="468" t="s">
        <v>2085</v>
      </c>
      <c r="C184" s="761">
        <v>320</v>
      </c>
      <c r="D184" s="285">
        <f>'Функц. 2021-2023'!F906</f>
        <v>7640.6000000000013</v>
      </c>
      <c r="E184" s="285">
        <f>'Функц. 2021-2023'!H906</f>
        <v>7648.6000000000013</v>
      </c>
      <c r="F184" s="285">
        <f>'Функц. 2021-2023'!J906</f>
        <v>7648.6000000000013</v>
      </c>
      <c r="G184" s="462"/>
    </row>
    <row r="185" spans="1:7" x14ac:dyDescent="0.25">
      <c r="A185" s="525" t="s">
        <v>2086</v>
      </c>
      <c r="B185" s="468" t="s">
        <v>1770</v>
      </c>
      <c r="C185" s="761"/>
      <c r="D185" s="285">
        <f>D186</f>
        <v>1804</v>
      </c>
      <c r="E185" s="285">
        <f>E186</f>
        <v>950</v>
      </c>
      <c r="F185" s="285">
        <f>F186</f>
        <v>950</v>
      </c>
      <c r="G185" s="462"/>
    </row>
    <row r="186" spans="1:7" ht="31.5" x14ac:dyDescent="0.25">
      <c r="A186" s="526" t="s">
        <v>2261</v>
      </c>
      <c r="B186" s="468" t="s">
        <v>2103</v>
      </c>
      <c r="C186" s="761"/>
      <c r="D186" s="285">
        <f>D187+D190</f>
        <v>1804</v>
      </c>
      <c r="E186" s="285">
        <f>E187+E190</f>
        <v>950</v>
      </c>
      <c r="F186" s="285">
        <f>F187+F190</f>
        <v>950</v>
      </c>
      <c r="G186" s="462"/>
    </row>
    <row r="187" spans="1:7" ht="31.5" x14ac:dyDescent="0.25">
      <c r="A187" s="796" t="s">
        <v>2088</v>
      </c>
      <c r="B187" s="468" t="s">
        <v>2089</v>
      </c>
      <c r="C187" s="761"/>
      <c r="D187" s="285">
        <f t="shared" ref="D187:F188" si="26">D188</f>
        <v>950</v>
      </c>
      <c r="E187" s="285">
        <f t="shared" si="26"/>
        <v>950</v>
      </c>
      <c r="F187" s="285">
        <f t="shared" si="26"/>
        <v>950</v>
      </c>
      <c r="G187" s="462"/>
    </row>
    <row r="188" spans="1:7" ht="31.5" x14ac:dyDescent="0.25">
      <c r="A188" s="515" t="s">
        <v>1343</v>
      </c>
      <c r="B188" s="468" t="s">
        <v>2089</v>
      </c>
      <c r="C188" s="763">
        <v>600</v>
      </c>
      <c r="D188" s="285">
        <f t="shared" si="26"/>
        <v>950</v>
      </c>
      <c r="E188" s="285">
        <f t="shared" si="26"/>
        <v>950</v>
      </c>
      <c r="F188" s="285">
        <f t="shared" si="26"/>
        <v>950</v>
      </c>
      <c r="G188" s="462"/>
    </row>
    <row r="189" spans="1:7" x14ac:dyDescent="0.25">
      <c r="A189" s="515" t="s">
        <v>1344</v>
      </c>
      <c r="B189" s="468" t="s">
        <v>2089</v>
      </c>
      <c r="C189" s="763">
        <v>610</v>
      </c>
      <c r="D189" s="285">
        <f>'Функц. 2021-2023'!F706</f>
        <v>950</v>
      </c>
      <c r="E189" s="285">
        <f>'Функц. 2021-2023'!H706</f>
        <v>950</v>
      </c>
      <c r="F189" s="285">
        <f>'Функц. 2021-2023'!J706</f>
        <v>950</v>
      </c>
      <c r="G189" s="462"/>
    </row>
    <row r="190" spans="1:7" ht="47.25" x14ac:dyDescent="0.25">
      <c r="A190" s="520" t="s">
        <v>2262</v>
      </c>
      <c r="B190" s="468" t="s">
        <v>2223</v>
      </c>
      <c r="C190" s="761"/>
      <c r="D190" s="285">
        <f t="shared" ref="D190:F191" si="27">D191</f>
        <v>854</v>
      </c>
      <c r="E190" s="285">
        <f t="shared" si="27"/>
        <v>0</v>
      </c>
      <c r="F190" s="285">
        <f t="shared" si="27"/>
        <v>0</v>
      </c>
      <c r="G190" s="462"/>
    </row>
    <row r="191" spans="1:7" ht="31.5" x14ac:dyDescent="0.25">
      <c r="A191" s="520" t="s">
        <v>1343</v>
      </c>
      <c r="B191" s="468" t="s">
        <v>2223</v>
      </c>
      <c r="C191" s="761">
        <v>600</v>
      </c>
      <c r="D191" s="285">
        <f t="shared" si="27"/>
        <v>854</v>
      </c>
      <c r="E191" s="285">
        <f t="shared" si="27"/>
        <v>0</v>
      </c>
      <c r="F191" s="285">
        <f t="shared" si="27"/>
        <v>0</v>
      </c>
      <c r="G191" s="462"/>
    </row>
    <row r="192" spans="1:7" x14ac:dyDescent="0.25">
      <c r="A192" s="520" t="s">
        <v>1344</v>
      </c>
      <c r="B192" s="468" t="s">
        <v>2223</v>
      </c>
      <c r="C192" s="761">
        <v>610</v>
      </c>
      <c r="D192" s="285">
        <f>'Функц. 2021-2023'!F878</f>
        <v>854</v>
      </c>
      <c r="E192" s="285">
        <f>'Функц. 2021-2023'!H878</f>
        <v>0</v>
      </c>
      <c r="F192" s="285">
        <f>'Функц. 2021-2023'!J878</f>
        <v>0</v>
      </c>
      <c r="G192" s="462"/>
    </row>
    <row r="193" spans="1:7" x14ac:dyDescent="0.25">
      <c r="A193" s="525" t="s">
        <v>2090</v>
      </c>
      <c r="B193" s="468" t="s">
        <v>2091</v>
      </c>
      <c r="C193" s="761"/>
      <c r="D193" s="285">
        <f t="shared" ref="D193:F194" si="28">D194</f>
        <v>4821.8999999999996</v>
      </c>
      <c r="E193" s="285">
        <f t="shared" si="28"/>
        <v>4821.8999999999996</v>
      </c>
      <c r="F193" s="285">
        <f t="shared" si="28"/>
        <v>4799</v>
      </c>
      <c r="G193" s="462"/>
    </row>
    <row r="194" spans="1:7" ht="31.5" x14ac:dyDescent="0.25">
      <c r="A194" s="526" t="s">
        <v>2092</v>
      </c>
      <c r="B194" s="468" t="s">
        <v>2093</v>
      </c>
      <c r="C194" s="761"/>
      <c r="D194" s="285">
        <f t="shared" si="28"/>
        <v>4821.8999999999996</v>
      </c>
      <c r="E194" s="285">
        <f t="shared" si="28"/>
        <v>4821.8999999999996</v>
      </c>
      <c r="F194" s="285">
        <f t="shared" si="28"/>
        <v>4799</v>
      </c>
      <c r="G194" s="462"/>
    </row>
    <row r="195" spans="1:7" x14ac:dyDescent="0.25">
      <c r="A195" s="526" t="s">
        <v>2094</v>
      </c>
      <c r="B195" s="468" t="s">
        <v>2095</v>
      </c>
      <c r="C195" s="761"/>
      <c r="D195" s="285">
        <f>D196+D203</f>
        <v>4821.8999999999996</v>
      </c>
      <c r="E195" s="285">
        <f>E196+E203</f>
        <v>4821.8999999999996</v>
      </c>
      <c r="F195" s="285">
        <f>F196+F203</f>
        <v>4799</v>
      </c>
      <c r="G195" s="462"/>
    </row>
    <row r="196" spans="1:7" ht="47.25" x14ac:dyDescent="0.25">
      <c r="A196" s="526" t="s">
        <v>2136</v>
      </c>
      <c r="B196" s="468" t="s">
        <v>2137</v>
      </c>
      <c r="C196" s="761"/>
      <c r="D196" s="285">
        <f>D199+D197+D201</f>
        <v>3411.8999999999996</v>
      </c>
      <c r="E196" s="285">
        <f t="shared" ref="E196:F196" si="29">E199+E197+E201</f>
        <v>3411.8999999999996</v>
      </c>
      <c r="F196" s="285">
        <f t="shared" si="29"/>
        <v>3389</v>
      </c>
      <c r="G196" s="462"/>
    </row>
    <row r="197" spans="1:7" s="514" customFormat="1" x14ac:dyDescent="0.25">
      <c r="A197" s="515" t="s">
        <v>1782</v>
      </c>
      <c r="B197" s="468" t="s">
        <v>2137</v>
      </c>
      <c r="C197" s="761">
        <v>200</v>
      </c>
      <c r="D197" s="285">
        <f>D198</f>
        <v>1739.3</v>
      </c>
      <c r="E197" s="285">
        <f>E198</f>
        <v>120</v>
      </c>
      <c r="F197" s="285">
        <f>F198</f>
        <v>120</v>
      </c>
      <c r="G197" s="462"/>
    </row>
    <row r="198" spans="1:7" s="514" customFormat="1" x14ac:dyDescent="0.25">
      <c r="A198" s="515" t="s">
        <v>1274</v>
      </c>
      <c r="B198" s="468" t="s">
        <v>2137</v>
      </c>
      <c r="C198" s="761">
        <v>240</v>
      </c>
      <c r="D198" s="285">
        <f>'Функц. 2021-2023'!F809</f>
        <v>1739.3</v>
      </c>
      <c r="E198" s="285">
        <f>'Функц. 2021-2023'!H809</f>
        <v>120</v>
      </c>
      <c r="F198" s="285">
        <f>'Функц. 2021-2023'!J809</f>
        <v>120</v>
      </c>
      <c r="G198" s="462"/>
    </row>
    <row r="199" spans="1:7" x14ac:dyDescent="0.25">
      <c r="A199" s="515" t="s">
        <v>1755</v>
      </c>
      <c r="B199" s="468" t="s">
        <v>2137</v>
      </c>
      <c r="C199" s="761">
        <v>300</v>
      </c>
      <c r="D199" s="285">
        <f>D200</f>
        <v>286.39999999999964</v>
      </c>
      <c r="E199" s="285">
        <f>E200</f>
        <v>3291.8999999999996</v>
      </c>
      <c r="F199" s="285">
        <f>F200</f>
        <v>3269</v>
      </c>
      <c r="G199" s="462"/>
    </row>
    <row r="200" spans="1:7" x14ac:dyDescent="0.25">
      <c r="A200" s="515" t="s">
        <v>868</v>
      </c>
      <c r="B200" s="468" t="s">
        <v>2137</v>
      </c>
      <c r="C200" s="761">
        <v>320</v>
      </c>
      <c r="D200" s="285">
        <f>'Функц. 2021-2023'!F811</f>
        <v>286.39999999999964</v>
      </c>
      <c r="E200" s="285">
        <f>'Функц. 2021-2023'!H811</f>
        <v>3291.8999999999996</v>
      </c>
      <c r="F200" s="285">
        <f>'Функц. 2021-2023'!J811</f>
        <v>3269</v>
      </c>
      <c r="G200" s="462"/>
    </row>
    <row r="201" spans="1:7" s="514" customFormat="1" ht="31.5" x14ac:dyDescent="0.25">
      <c r="A201" s="515" t="s">
        <v>1343</v>
      </c>
      <c r="B201" s="443" t="s">
        <v>2137</v>
      </c>
      <c r="C201" s="238">
        <v>600</v>
      </c>
      <c r="D201" s="285">
        <f>D202</f>
        <v>1386.2</v>
      </c>
      <c r="E201" s="285">
        <f t="shared" ref="E201:F201" si="30">E202</f>
        <v>0</v>
      </c>
      <c r="F201" s="285">
        <f t="shared" si="30"/>
        <v>0</v>
      </c>
      <c r="G201" s="462"/>
    </row>
    <row r="202" spans="1:7" s="514" customFormat="1" x14ac:dyDescent="0.25">
      <c r="A202" s="515" t="s">
        <v>1344</v>
      </c>
      <c r="B202" s="443" t="s">
        <v>2137</v>
      </c>
      <c r="C202" s="238">
        <v>610</v>
      </c>
      <c r="D202" s="285">
        <f>'Функц. 2021-2023'!F813</f>
        <v>1386.2</v>
      </c>
      <c r="E202" s="285">
        <f>'Функц. 2021-2023'!H813</f>
        <v>0</v>
      </c>
      <c r="F202" s="285">
        <f>'Функц. 2021-2023'!J813</f>
        <v>0</v>
      </c>
      <c r="G202" s="462"/>
    </row>
    <row r="203" spans="1:7" ht="31.5" x14ac:dyDescent="0.25">
      <c r="A203" s="515" t="s">
        <v>2138</v>
      </c>
      <c r="B203" s="468" t="s">
        <v>2139</v>
      </c>
      <c r="C203" s="761"/>
      <c r="D203" s="285">
        <f t="shared" ref="D203:F204" si="31">D204</f>
        <v>1410</v>
      </c>
      <c r="E203" s="285">
        <f t="shared" si="31"/>
        <v>1410</v>
      </c>
      <c r="F203" s="285">
        <f t="shared" si="31"/>
        <v>1410</v>
      </c>
      <c r="G203" s="462"/>
    </row>
    <row r="204" spans="1:7" ht="31.5" x14ac:dyDescent="0.25">
      <c r="A204" s="515" t="s">
        <v>1343</v>
      </c>
      <c r="B204" s="468" t="s">
        <v>2139</v>
      </c>
      <c r="C204" s="763">
        <v>600</v>
      </c>
      <c r="D204" s="285">
        <f t="shared" si="31"/>
        <v>1410</v>
      </c>
      <c r="E204" s="285">
        <f t="shared" si="31"/>
        <v>1410</v>
      </c>
      <c r="F204" s="285">
        <f t="shared" si="31"/>
        <v>1410</v>
      </c>
      <c r="G204" s="462"/>
    </row>
    <row r="205" spans="1:7" x14ac:dyDescent="0.25">
      <c r="A205" s="515" t="s">
        <v>1344</v>
      </c>
      <c r="B205" s="468" t="s">
        <v>2139</v>
      </c>
      <c r="C205" s="763">
        <v>610</v>
      </c>
      <c r="D205" s="285">
        <f>'Функц. 2021-2023'!F816</f>
        <v>1410</v>
      </c>
      <c r="E205" s="285">
        <f>'Функц. 2021-2023'!H816</f>
        <v>1410</v>
      </c>
      <c r="F205" s="285">
        <f>'Функц. 2021-2023'!J816</f>
        <v>1410</v>
      </c>
      <c r="G205" s="462"/>
    </row>
    <row r="206" spans="1:7" ht="31.5" x14ac:dyDescent="0.25">
      <c r="A206" s="549" t="s">
        <v>2239</v>
      </c>
      <c r="B206" s="468" t="s">
        <v>2096</v>
      </c>
      <c r="C206" s="763"/>
      <c r="D206" s="285">
        <f>D207</f>
        <v>140</v>
      </c>
      <c r="E206" s="285">
        <f>E207</f>
        <v>140</v>
      </c>
      <c r="F206" s="285">
        <f>F207</f>
        <v>140</v>
      </c>
      <c r="G206" s="462"/>
    </row>
    <row r="207" spans="1:7" x14ac:dyDescent="0.25">
      <c r="A207" s="526" t="s">
        <v>2097</v>
      </c>
      <c r="B207" s="468" t="s">
        <v>2098</v>
      </c>
      <c r="C207" s="763"/>
      <c r="D207" s="285">
        <f>D208+D211</f>
        <v>140</v>
      </c>
      <c r="E207" s="285">
        <f>E208+E211</f>
        <v>140</v>
      </c>
      <c r="F207" s="285">
        <f>F208+F211</f>
        <v>140</v>
      </c>
      <c r="G207" s="462"/>
    </row>
    <row r="208" spans="1:7" x14ac:dyDescent="0.25">
      <c r="A208" s="527" t="s">
        <v>2100</v>
      </c>
      <c r="B208" s="468" t="s">
        <v>2101</v>
      </c>
      <c r="C208" s="765"/>
      <c r="D208" s="285">
        <f t="shared" ref="D208:F209" si="32">D209</f>
        <v>70</v>
      </c>
      <c r="E208" s="285">
        <f t="shared" si="32"/>
        <v>70</v>
      </c>
      <c r="F208" s="285">
        <f t="shared" si="32"/>
        <v>70</v>
      </c>
      <c r="G208" s="462"/>
    </row>
    <row r="209" spans="1:7" ht="31.5" x14ac:dyDescent="0.25">
      <c r="A209" s="461" t="s">
        <v>1343</v>
      </c>
      <c r="B209" s="468" t="s">
        <v>2101</v>
      </c>
      <c r="C209" s="765">
        <v>600</v>
      </c>
      <c r="D209" s="285">
        <f t="shared" si="32"/>
        <v>70</v>
      </c>
      <c r="E209" s="285">
        <f t="shared" si="32"/>
        <v>70</v>
      </c>
      <c r="F209" s="285">
        <f t="shared" si="32"/>
        <v>70</v>
      </c>
      <c r="G209" s="462"/>
    </row>
    <row r="210" spans="1:7" ht="31.5" x14ac:dyDescent="0.25">
      <c r="A210" s="461" t="s">
        <v>869</v>
      </c>
      <c r="B210" s="468" t="s">
        <v>2101</v>
      </c>
      <c r="C210" s="765">
        <v>630</v>
      </c>
      <c r="D210" s="285">
        <f>'Функц. 2021-2023'!F945</f>
        <v>70</v>
      </c>
      <c r="E210" s="285">
        <f>'Функц. 2021-2023'!H945</f>
        <v>70</v>
      </c>
      <c r="F210" s="285">
        <f>'Функц. 2021-2023'!J945</f>
        <v>70</v>
      </c>
      <c r="G210" s="462"/>
    </row>
    <row r="211" spans="1:7" ht="31.5" x14ac:dyDescent="0.25">
      <c r="A211" s="523" t="s">
        <v>2338</v>
      </c>
      <c r="B211" s="468" t="s">
        <v>2099</v>
      </c>
      <c r="C211" s="763"/>
      <c r="D211" s="285">
        <f t="shared" ref="D211:F212" si="33">D212</f>
        <v>70</v>
      </c>
      <c r="E211" s="285">
        <f t="shared" si="33"/>
        <v>70</v>
      </c>
      <c r="F211" s="285">
        <f t="shared" si="33"/>
        <v>70</v>
      </c>
      <c r="G211" s="462"/>
    </row>
    <row r="212" spans="1:7" ht="31.5" x14ac:dyDescent="0.25">
      <c r="A212" s="461" t="s">
        <v>1343</v>
      </c>
      <c r="B212" s="468" t="s">
        <v>2099</v>
      </c>
      <c r="C212" s="772">
        <v>600</v>
      </c>
      <c r="D212" s="285">
        <f t="shared" si="33"/>
        <v>70</v>
      </c>
      <c r="E212" s="285">
        <f t="shared" si="33"/>
        <v>70</v>
      </c>
      <c r="F212" s="285">
        <f t="shared" si="33"/>
        <v>70</v>
      </c>
      <c r="G212" s="462"/>
    </row>
    <row r="213" spans="1:7" ht="31.5" x14ac:dyDescent="0.25">
      <c r="A213" s="461" t="s">
        <v>869</v>
      </c>
      <c r="B213" s="468" t="s">
        <v>2099</v>
      </c>
      <c r="C213" s="773">
        <v>630</v>
      </c>
      <c r="D213" s="285">
        <f>'Функц. 2021-2023'!F948</f>
        <v>70</v>
      </c>
      <c r="E213" s="285">
        <f>'Функц. 2021-2023'!H948</f>
        <v>70</v>
      </c>
      <c r="F213" s="285">
        <f>'Функц. 2021-2023'!J948</f>
        <v>70</v>
      </c>
      <c r="G213" s="462"/>
    </row>
    <row r="214" spans="1:7" s="437" customFormat="1" x14ac:dyDescent="0.25">
      <c r="A214" s="789" t="s">
        <v>1847</v>
      </c>
      <c r="B214" s="501" t="s">
        <v>1776</v>
      </c>
      <c r="C214" s="762"/>
      <c r="D214" s="289">
        <f>D215+D229</f>
        <v>91881.8</v>
      </c>
      <c r="E214" s="289">
        <f>E215+E229</f>
        <v>83781.8</v>
      </c>
      <c r="F214" s="289">
        <f>F215+F229</f>
        <v>83781.8</v>
      </c>
      <c r="G214" s="462"/>
    </row>
    <row r="215" spans="1:7" s="437" customFormat="1" x14ac:dyDescent="0.25">
      <c r="A215" s="518" t="s">
        <v>1848</v>
      </c>
      <c r="B215" s="468" t="s">
        <v>1781</v>
      </c>
      <c r="C215" s="762"/>
      <c r="D215" s="285">
        <f>D216</f>
        <v>40671.199999999997</v>
      </c>
      <c r="E215" s="285">
        <f>E216</f>
        <v>32571.200000000001</v>
      </c>
      <c r="F215" s="285">
        <f>F216</f>
        <v>32571.200000000001</v>
      </c>
      <c r="G215" s="462"/>
    </row>
    <row r="216" spans="1:7" s="437" customFormat="1" ht="31.5" x14ac:dyDescent="0.25">
      <c r="A216" s="518" t="s">
        <v>1849</v>
      </c>
      <c r="B216" s="468" t="s">
        <v>1800</v>
      </c>
      <c r="C216" s="762"/>
      <c r="D216" s="285">
        <f>D220+D226+D217</f>
        <v>40671.199999999997</v>
      </c>
      <c r="E216" s="285">
        <f>E220+E226+E217</f>
        <v>32571.200000000001</v>
      </c>
      <c r="F216" s="285">
        <f>F220+F226+F217</f>
        <v>32571.200000000001</v>
      </c>
      <c r="G216" s="462"/>
    </row>
    <row r="217" spans="1:7" s="437" customFormat="1" ht="40.9" customHeight="1" x14ac:dyDescent="0.25">
      <c r="A217" s="605" t="s">
        <v>2439</v>
      </c>
      <c r="B217" s="468" t="s">
        <v>2354</v>
      </c>
      <c r="C217" s="774"/>
      <c r="D217" s="285">
        <f t="shared" ref="D217:F218" si="34">D218</f>
        <v>5100</v>
      </c>
      <c r="E217" s="285">
        <f t="shared" si="34"/>
        <v>0</v>
      </c>
      <c r="F217" s="285">
        <f t="shared" si="34"/>
        <v>0</v>
      </c>
      <c r="G217" s="462"/>
    </row>
    <row r="218" spans="1:7" s="437" customFormat="1" x14ac:dyDescent="0.25">
      <c r="A218" s="520" t="s">
        <v>1782</v>
      </c>
      <c r="B218" s="468" t="s">
        <v>2354</v>
      </c>
      <c r="C218" s="761">
        <v>200</v>
      </c>
      <c r="D218" s="497">
        <f t="shared" si="34"/>
        <v>5100</v>
      </c>
      <c r="E218" s="497">
        <f t="shared" si="34"/>
        <v>0</v>
      </c>
      <c r="F218" s="497">
        <f t="shared" si="34"/>
        <v>0</v>
      </c>
      <c r="G218" s="462"/>
    </row>
    <row r="219" spans="1:7" s="437" customFormat="1" x14ac:dyDescent="0.25">
      <c r="A219" s="520" t="s">
        <v>1274</v>
      </c>
      <c r="B219" s="468" t="s">
        <v>2354</v>
      </c>
      <c r="C219" s="761">
        <v>240</v>
      </c>
      <c r="D219" s="285">
        <f>'Функц. 2021-2023'!F963</f>
        <v>5100</v>
      </c>
      <c r="E219" s="285">
        <f>'Функц. 2021-2023'!H963</f>
        <v>0</v>
      </c>
      <c r="F219" s="285">
        <f>'Функц. 2021-2023'!J963</f>
        <v>0</v>
      </c>
      <c r="G219" s="462"/>
    </row>
    <row r="220" spans="1:7" s="437" customFormat="1" ht="31.5" x14ac:dyDescent="0.25">
      <c r="A220" s="529" t="s">
        <v>1852</v>
      </c>
      <c r="B220" s="468" t="s">
        <v>1853</v>
      </c>
      <c r="C220" s="762"/>
      <c r="D220" s="285">
        <f>D221+D223</f>
        <v>3300</v>
      </c>
      <c r="E220" s="285">
        <f>E221+E223</f>
        <v>3300</v>
      </c>
      <c r="F220" s="285">
        <f>F221+F223</f>
        <v>3300</v>
      </c>
      <c r="G220" s="462"/>
    </row>
    <row r="221" spans="1:7" s="437" customFormat="1" x14ac:dyDescent="0.25">
      <c r="A221" s="461" t="s">
        <v>1782</v>
      </c>
      <c r="B221" s="468" t="s">
        <v>1853</v>
      </c>
      <c r="C221" s="774">
        <v>200</v>
      </c>
      <c r="D221" s="285">
        <f>D222</f>
        <v>2544.9</v>
      </c>
      <c r="E221" s="285">
        <f>E222</f>
        <v>3300</v>
      </c>
      <c r="F221" s="285">
        <f>F222</f>
        <v>3300</v>
      </c>
      <c r="G221" s="462"/>
    </row>
    <row r="222" spans="1:7" s="437" customFormat="1" x14ac:dyDescent="0.25">
      <c r="A222" s="461" t="s">
        <v>1274</v>
      </c>
      <c r="B222" s="468" t="s">
        <v>1853</v>
      </c>
      <c r="C222" s="774">
        <v>240</v>
      </c>
      <c r="D222" s="285">
        <f>'Функц. 2021-2023'!F966</f>
        <v>2544.9</v>
      </c>
      <c r="E222" s="285">
        <f>'Функц. 2021-2023'!H966</f>
        <v>3300</v>
      </c>
      <c r="F222" s="285">
        <f>'Функц. 2021-2023'!J966</f>
        <v>3300</v>
      </c>
      <c r="G222" s="462"/>
    </row>
    <row r="223" spans="1:7" s="437" customFormat="1" ht="31.5" x14ac:dyDescent="0.25">
      <c r="A223" s="634" t="s">
        <v>1343</v>
      </c>
      <c r="B223" s="468" t="s">
        <v>1853</v>
      </c>
      <c r="C223" s="774">
        <v>600</v>
      </c>
      <c r="D223" s="285">
        <f>D224+D225</f>
        <v>755.1</v>
      </c>
      <c r="E223" s="285">
        <f>E224+E225</f>
        <v>0</v>
      </c>
      <c r="F223" s="285">
        <f>F224+F225</f>
        <v>0</v>
      </c>
      <c r="G223" s="462"/>
    </row>
    <row r="224" spans="1:7" s="437" customFormat="1" x14ac:dyDescent="0.25">
      <c r="A224" s="629" t="s">
        <v>1344</v>
      </c>
      <c r="B224" s="468" t="s">
        <v>1853</v>
      </c>
      <c r="C224" s="774">
        <v>610</v>
      </c>
      <c r="D224" s="285">
        <f>'Функц. 2021-2023'!F968</f>
        <v>705.1</v>
      </c>
      <c r="E224" s="285">
        <f>'Функц. 2021-2023'!H968</f>
        <v>0</v>
      </c>
      <c r="F224" s="285">
        <f>'Функц. 2021-2023'!J968</f>
        <v>0</v>
      </c>
      <c r="G224" s="462"/>
    </row>
    <row r="225" spans="1:7" s="437" customFormat="1" x14ac:dyDescent="0.25">
      <c r="A225" s="524" t="s">
        <v>1801</v>
      </c>
      <c r="B225" s="468" t="s">
        <v>1853</v>
      </c>
      <c r="C225" s="774">
        <v>620</v>
      </c>
      <c r="D225" s="285">
        <f>'Функц. 2021-2023'!F969</f>
        <v>50</v>
      </c>
      <c r="E225" s="285">
        <f>'Функц. 2021-2023'!H969</f>
        <v>0</v>
      </c>
      <c r="F225" s="285">
        <f>'Функц. 2021-2023'!J969</f>
        <v>0</v>
      </c>
      <c r="G225" s="462"/>
    </row>
    <row r="226" spans="1:7" s="437" customFormat="1" ht="31.5" x14ac:dyDescent="0.25">
      <c r="A226" s="526" t="s">
        <v>1850</v>
      </c>
      <c r="B226" s="468" t="s">
        <v>1851</v>
      </c>
      <c r="C226" s="762"/>
      <c r="D226" s="285">
        <f t="shared" ref="D226:F227" si="35">D227</f>
        <v>32271.200000000001</v>
      </c>
      <c r="E226" s="285">
        <f t="shared" si="35"/>
        <v>29271.200000000001</v>
      </c>
      <c r="F226" s="285">
        <f t="shared" si="35"/>
        <v>29271.200000000001</v>
      </c>
      <c r="G226" s="462"/>
    </row>
    <row r="227" spans="1:7" s="437" customFormat="1" ht="31.5" x14ac:dyDescent="0.25">
      <c r="A227" s="515" t="s">
        <v>1343</v>
      </c>
      <c r="B227" s="468" t="s">
        <v>1851</v>
      </c>
      <c r="C227" s="774">
        <v>600</v>
      </c>
      <c r="D227" s="285">
        <f t="shared" si="35"/>
        <v>32271.200000000001</v>
      </c>
      <c r="E227" s="285">
        <f t="shared" si="35"/>
        <v>29271.200000000001</v>
      </c>
      <c r="F227" s="285">
        <f t="shared" si="35"/>
        <v>29271.200000000001</v>
      </c>
      <c r="G227" s="462"/>
    </row>
    <row r="228" spans="1:7" s="437" customFormat="1" x14ac:dyDescent="0.25">
      <c r="A228" s="515" t="s">
        <v>1801</v>
      </c>
      <c r="B228" s="468" t="s">
        <v>1851</v>
      </c>
      <c r="C228" s="774">
        <v>620</v>
      </c>
      <c r="D228" s="285">
        <f>'Функц. 2021-2023'!F956</f>
        <v>32271.200000000001</v>
      </c>
      <c r="E228" s="285">
        <f>'Функц. 2021-2023'!H956</f>
        <v>29271.200000000001</v>
      </c>
      <c r="F228" s="285">
        <f>'Функц. 2021-2023'!J956</f>
        <v>29271.200000000001</v>
      </c>
      <c r="G228" s="462"/>
    </row>
    <row r="229" spans="1:7" s="437" customFormat="1" x14ac:dyDescent="0.25">
      <c r="A229" s="605" t="s">
        <v>2264</v>
      </c>
      <c r="B229" s="468" t="s">
        <v>2267</v>
      </c>
      <c r="C229" s="761"/>
      <c r="D229" s="285">
        <f t="shared" ref="D229:F230" si="36">D230</f>
        <v>51210.600000000006</v>
      </c>
      <c r="E229" s="285">
        <f t="shared" si="36"/>
        <v>51210.600000000006</v>
      </c>
      <c r="F229" s="285">
        <f t="shared" si="36"/>
        <v>51210.600000000006</v>
      </c>
      <c r="G229" s="462"/>
    </row>
    <row r="230" spans="1:7" s="437" customFormat="1" x14ac:dyDescent="0.25">
      <c r="A230" s="520" t="s">
        <v>2336</v>
      </c>
      <c r="B230" s="468" t="s">
        <v>2268</v>
      </c>
      <c r="C230" s="761"/>
      <c r="D230" s="285">
        <f t="shared" si="36"/>
        <v>51210.600000000006</v>
      </c>
      <c r="E230" s="285">
        <f t="shared" si="36"/>
        <v>51210.600000000006</v>
      </c>
      <c r="F230" s="285">
        <f t="shared" si="36"/>
        <v>51210.600000000006</v>
      </c>
      <c r="G230" s="462"/>
    </row>
    <row r="231" spans="1:7" s="437" customFormat="1" ht="31.5" x14ac:dyDescent="0.25">
      <c r="A231" s="520" t="s">
        <v>2265</v>
      </c>
      <c r="B231" s="468" t="s">
        <v>2266</v>
      </c>
      <c r="C231" s="761"/>
      <c r="D231" s="285">
        <f>D232+D235</f>
        <v>51210.600000000006</v>
      </c>
      <c r="E231" s="285">
        <f>E232+E235</f>
        <v>51210.600000000006</v>
      </c>
      <c r="F231" s="285">
        <f>F232+F235</f>
        <v>51210.600000000006</v>
      </c>
      <c r="G231" s="462"/>
    </row>
    <row r="232" spans="1:7" s="437" customFormat="1" ht="47.25" x14ac:dyDescent="0.25">
      <c r="A232" s="797" t="str">
        <f>'ведом. 2021-2023'!X529</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8" t="s">
        <v>2298</v>
      </c>
      <c r="C232" s="761"/>
      <c r="D232" s="285">
        <f t="shared" ref="D232:F233" si="37">D233</f>
        <v>32762.400000000001</v>
      </c>
      <c r="E232" s="285">
        <f t="shared" si="37"/>
        <v>32762.400000000001</v>
      </c>
      <c r="F232" s="285">
        <f t="shared" si="37"/>
        <v>32762.400000000001</v>
      </c>
      <c r="G232" s="462"/>
    </row>
    <row r="233" spans="1:7" s="437" customFormat="1" ht="31.5" x14ac:dyDescent="0.25">
      <c r="A233" s="797" t="str">
        <f>'ведом. 2021-2023'!X530</f>
        <v>Предоставление субсидий бюджетным, автономным учреждениям и иным некоммерческим организациям</v>
      </c>
      <c r="B233" s="468" t="s">
        <v>2298</v>
      </c>
      <c r="C233" s="761">
        <v>600</v>
      </c>
      <c r="D233" s="285">
        <f t="shared" si="37"/>
        <v>32762.400000000001</v>
      </c>
      <c r="E233" s="285">
        <f t="shared" si="37"/>
        <v>32762.400000000001</v>
      </c>
      <c r="F233" s="285">
        <f t="shared" si="37"/>
        <v>32762.400000000001</v>
      </c>
      <c r="G233" s="462"/>
    </row>
    <row r="234" spans="1:7" s="437" customFormat="1" x14ac:dyDescent="0.25">
      <c r="A234" s="797" t="str">
        <f>'ведом. 2021-2023'!X531</f>
        <v>Субсидии бюджетным учреждениям</v>
      </c>
      <c r="B234" s="468" t="s">
        <v>2298</v>
      </c>
      <c r="C234" s="761">
        <v>610</v>
      </c>
      <c r="D234" s="285">
        <f>'ведом. 2021-2023'!AD531</f>
        <v>32762.400000000001</v>
      </c>
      <c r="E234" s="285">
        <f>'ведом. 2021-2023'!AE531</f>
        <v>32762.400000000001</v>
      </c>
      <c r="F234" s="285">
        <f>'ведом. 2021-2023'!AF531</f>
        <v>32762.400000000001</v>
      </c>
      <c r="G234" s="462"/>
    </row>
    <row r="235" spans="1:7" s="437" customFormat="1" ht="56.45" customHeight="1" x14ac:dyDescent="0.25">
      <c r="A235" s="797" t="s">
        <v>2484</v>
      </c>
      <c r="B235" s="468" t="s">
        <v>2299</v>
      </c>
      <c r="C235" s="761"/>
      <c r="D235" s="285">
        <f t="shared" ref="D235:F236" si="38">D236</f>
        <v>18448.2</v>
      </c>
      <c r="E235" s="285">
        <f t="shared" si="38"/>
        <v>18448.2</v>
      </c>
      <c r="F235" s="285">
        <f t="shared" si="38"/>
        <v>18448.2</v>
      </c>
      <c r="G235" s="462"/>
    </row>
    <row r="236" spans="1:7" s="437" customFormat="1" ht="31.5" x14ac:dyDescent="0.25">
      <c r="A236" s="520" t="s">
        <v>1343</v>
      </c>
      <c r="B236" s="468" t="s">
        <v>2299</v>
      </c>
      <c r="C236" s="761">
        <v>600</v>
      </c>
      <c r="D236" s="285">
        <f t="shared" si="38"/>
        <v>18448.2</v>
      </c>
      <c r="E236" s="285">
        <f t="shared" si="38"/>
        <v>18448.2</v>
      </c>
      <c r="F236" s="285">
        <f t="shared" si="38"/>
        <v>18448.2</v>
      </c>
      <c r="G236" s="462"/>
    </row>
    <row r="237" spans="1:7" s="437" customFormat="1" x14ac:dyDescent="0.25">
      <c r="A237" s="520" t="s">
        <v>1344</v>
      </c>
      <c r="B237" s="468" t="s">
        <v>2299</v>
      </c>
      <c r="C237" s="761">
        <v>610</v>
      </c>
      <c r="D237" s="285">
        <f>'Функц. 2021-2023'!F978</f>
        <v>18448.2</v>
      </c>
      <c r="E237" s="285">
        <f>'Функц. 2021-2023'!H978</f>
        <v>18448.2</v>
      </c>
      <c r="F237" s="285">
        <f>'Функц. 2021-2023'!J978</f>
        <v>18448.2</v>
      </c>
      <c r="G237" s="462"/>
    </row>
    <row r="238" spans="1:7" ht="18.75" x14ac:dyDescent="0.3">
      <c r="A238" s="793" t="s">
        <v>1967</v>
      </c>
      <c r="B238" s="501" t="s">
        <v>1817</v>
      </c>
      <c r="C238" s="775"/>
      <c r="D238" s="289">
        <f t="shared" ref="D238:F240" si="39">D239</f>
        <v>1070</v>
      </c>
      <c r="E238" s="289">
        <f t="shared" si="39"/>
        <v>655</v>
      </c>
      <c r="F238" s="289">
        <f t="shared" si="39"/>
        <v>655</v>
      </c>
      <c r="G238" s="462"/>
    </row>
    <row r="239" spans="1:7" ht="18.75" x14ac:dyDescent="0.3">
      <c r="A239" s="518" t="s">
        <v>1968</v>
      </c>
      <c r="B239" s="468" t="s">
        <v>1969</v>
      </c>
      <c r="C239" s="775"/>
      <c r="D239" s="285">
        <f t="shared" si="39"/>
        <v>1070</v>
      </c>
      <c r="E239" s="285">
        <f t="shared" si="39"/>
        <v>655</v>
      </c>
      <c r="F239" s="285">
        <f t="shared" si="39"/>
        <v>655</v>
      </c>
      <c r="G239" s="462"/>
    </row>
    <row r="240" spans="1:7" ht="47.25" x14ac:dyDescent="0.3">
      <c r="A240" s="518" t="s">
        <v>1970</v>
      </c>
      <c r="B240" s="468" t="s">
        <v>1971</v>
      </c>
      <c r="C240" s="775"/>
      <c r="D240" s="285">
        <f t="shared" si="39"/>
        <v>1070</v>
      </c>
      <c r="E240" s="285">
        <f t="shared" si="39"/>
        <v>655</v>
      </c>
      <c r="F240" s="285">
        <f t="shared" si="39"/>
        <v>655</v>
      </c>
      <c r="G240" s="462"/>
    </row>
    <row r="241" spans="1:7" ht="31.5" x14ac:dyDescent="0.25">
      <c r="A241" s="518" t="s">
        <v>2281</v>
      </c>
      <c r="B241" s="468" t="s">
        <v>1972</v>
      </c>
      <c r="C241" s="761"/>
      <c r="D241" s="285">
        <f>D243</f>
        <v>1070</v>
      </c>
      <c r="E241" s="285">
        <f>E243</f>
        <v>655</v>
      </c>
      <c r="F241" s="285">
        <f>F243</f>
        <v>655</v>
      </c>
      <c r="G241" s="462"/>
    </row>
    <row r="242" spans="1:7" x14ac:dyDescent="0.25">
      <c r="A242" s="515" t="s">
        <v>1782</v>
      </c>
      <c r="B242" s="468" t="s">
        <v>1972</v>
      </c>
      <c r="C242" s="763">
        <v>200</v>
      </c>
      <c r="D242" s="285">
        <f>D243</f>
        <v>1070</v>
      </c>
      <c r="E242" s="285">
        <f>E243</f>
        <v>655</v>
      </c>
      <c r="F242" s="285">
        <f>F243</f>
        <v>655</v>
      </c>
      <c r="G242" s="462"/>
    </row>
    <row r="243" spans="1:7" x14ac:dyDescent="0.25">
      <c r="A243" s="515" t="s">
        <v>1274</v>
      </c>
      <c r="B243" s="468" t="s">
        <v>1972</v>
      </c>
      <c r="C243" s="761">
        <v>240</v>
      </c>
      <c r="D243" s="285">
        <f>'Функц. 2021-2023'!F364</f>
        <v>1070</v>
      </c>
      <c r="E243" s="285">
        <f>'Функц. 2021-2023'!H364</f>
        <v>655</v>
      </c>
      <c r="F243" s="285">
        <f>'Функц. 2021-2023'!J364</f>
        <v>655</v>
      </c>
      <c r="G243" s="462"/>
    </row>
    <row r="244" spans="1:7" s="437" customFormat="1" ht="31.5" x14ac:dyDescent="0.25">
      <c r="A244" s="795" t="s">
        <v>1854</v>
      </c>
      <c r="B244" s="815" t="s">
        <v>1762</v>
      </c>
      <c r="C244" s="762"/>
      <c r="D244" s="289">
        <f>D245+D288+D301+D306+D313+D318</f>
        <v>62131</v>
      </c>
      <c r="E244" s="289">
        <f>E245+E288+E301+E306+E313+E318</f>
        <v>34411.699999999997</v>
      </c>
      <c r="F244" s="289">
        <f>F245+F288+F301+F306+F313+F318</f>
        <v>34411.699999999997</v>
      </c>
      <c r="G244" s="462"/>
    </row>
    <row r="245" spans="1:7" s="437" customFormat="1" x14ac:dyDescent="0.25">
      <c r="A245" s="525" t="s">
        <v>1855</v>
      </c>
      <c r="B245" s="284" t="s">
        <v>1766</v>
      </c>
      <c r="C245" s="763"/>
      <c r="D245" s="285">
        <f>D246+D259+D267+D263+D253+D271</f>
        <v>37431</v>
      </c>
      <c r="E245" s="285">
        <f>E246+E259+E267+E263+E253+E271</f>
        <v>14173.8</v>
      </c>
      <c r="F245" s="285">
        <f>F246+F259+F267+F263+F253+F271</f>
        <v>14173.8</v>
      </c>
      <c r="G245" s="462"/>
    </row>
    <row r="246" spans="1:7" s="437" customFormat="1" ht="47.25" x14ac:dyDescent="0.25">
      <c r="A246" s="515" t="s">
        <v>2255</v>
      </c>
      <c r="B246" s="468" t="s">
        <v>1786</v>
      </c>
      <c r="C246" s="776"/>
      <c r="D246" s="285">
        <f t="shared" ref="D246:F249" si="40">D247</f>
        <v>1283.8</v>
      </c>
      <c r="E246" s="285">
        <f t="shared" si="40"/>
        <v>400</v>
      </c>
      <c r="F246" s="285">
        <f t="shared" si="40"/>
        <v>400</v>
      </c>
      <c r="G246" s="462"/>
    </row>
    <row r="247" spans="1:7" s="437" customFormat="1" ht="31.5" x14ac:dyDescent="0.25">
      <c r="A247" s="525" t="s">
        <v>1856</v>
      </c>
      <c r="B247" s="468" t="s">
        <v>1857</v>
      </c>
      <c r="C247" s="776"/>
      <c r="D247" s="285">
        <f t="shared" si="40"/>
        <v>1283.8</v>
      </c>
      <c r="E247" s="285">
        <f t="shared" si="40"/>
        <v>400</v>
      </c>
      <c r="F247" s="285">
        <f t="shared" si="40"/>
        <v>400</v>
      </c>
      <c r="G247" s="462"/>
    </row>
    <row r="248" spans="1:7" s="437" customFormat="1" ht="47.25" x14ac:dyDescent="0.25">
      <c r="A248" s="525" t="s">
        <v>2250</v>
      </c>
      <c r="B248" s="468" t="s">
        <v>1858</v>
      </c>
      <c r="C248" s="776"/>
      <c r="D248" s="285">
        <f>D249+D251</f>
        <v>1283.8</v>
      </c>
      <c r="E248" s="285">
        <f>E249+E251</f>
        <v>400</v>
      </c>
      <c r="F248" s="285">
        <f>F249+F251</f>
        <v>400</v>
      </c>
      <c r="G248" s="462"/>
    </row>
    <row r="249" spans="1:7" s="437" customFormat="1" x14ac:dyDescent="0.25">
      <c r="A249" s="515" t="s">
        <v>1782</v>
      </c>
      <c r="B249" s="468" t="s">
        <v>1858</v>
      </c>
      <c r="C249" s="763">
        <v>200</v>
      </c>
      <c r="D249" s="285">
        <f t="shared" si="40"/>
        <v>270.99999999999994</v>
      </c>
      <c r="E249" s="285">
        <f t="shared" si="40"/>
        <v>400</v>
      </c>
      <c r="F249" s="285">
        <f t="shared" si="40"/>
        <v>400</v>
      </c>
      <c r="G249" s="462"/>
    </row>
    <row r="250" spans="1:7" s="437" customFormat="1" x14ac:dyDescent="0.25">
      <c r="A250" s="515" t="s">
        <v>1274</v>
      </c>
      <c r="B250" s="468" t="s">
        <v>1858</v>
      </c>
      <c r="C250" s="763">
        <v>240</v>
      </c>
      <c r="D250" s="285">
        <f>'Функц. 2021-2023'!F342</f>
        <v>270.99999999999994</v>
      </c>
      <c r="E250" s="285">
        <f>'Функц. 2021-2023'!H342</f>
        <v>400</v>
      </c>
      <c r="F250" s="285">
        <f>'Функц. 2021-2023'!J342</f>
        <v>400</v>
      </c>
      <c r="G250" s="462"/>
    </row>
    <row r="251" spans="1:7" s="437" customFormat="1" ht="31.5" x14ac:dyDescent="0.25">
      <c r="A251" s="520" t="s">
        <v>1343</v>
      </c>
      <c r="B251" s="468" t="s">
        <v>1858</v>
      </c>
      <c r="C251" s="763">
        <v>600</v>
      </c>
      <c r="D251" s="285">
        <f>D252</f>
        <v>1012.8</v>
      </c>
      <c r="E251" s="285">
        <f>E252</f>
        <v>0</v>
      </c>
      <c r="F251" s="285">
        <f>F252</f>
        <v>0</v>
      </c>
      <c r="G251" s="462"/>
    </row>
    <row r="252" spans="1:7" s="437" customFormat="1" x14ac:dyDescent="0.25">
      <c r="A252" s="520" t="s">
        <v>1344</v>
      </c>
      <c r="B252" s="468" t="s">
        <v>1858</v>
      </c>
      <c r="C252" s="763">
        <v>610</v>
      </c>
      <c r="D252" s="285">
        <f>'Функц. 2021-2023'!F713+'Функц. 2021-2023'!F885</f>
        <v>1012.8</v>
      </c>
      <c r="E252" s="285">
        <f>'Функц. 2021-2023'!G885</f>
        <v>0</v>
      </c>
      <c r="F252" s="285">
        <f>'Функц. 2021-2023'!H885</f>
        <v>0</v>
      </c>
      <c r="G252" s="462"/>
    </row>
    <row r="253" spans="1:7" s="437" customFormat="1" ht="31.5" x14ac:dyDescent="0.25">
      <c r="A253" s="527" t="s">
        <v>1859</v>
      </c>
      <c r="B253" s="468" t="s">
        <v>1787</v>
      </c>
      <c r="C253" s="763"/>
      <c r="D253" s="285">
        <f t="shared" ref="D253:F257" si="41">D254</f>
        <v>267</v>
      </c>
      <c r="E253" s="285">
        <f t="shared" si="41"/>
        <v>267</v>
      </c>
      <c r="F253" s="285">
        <f t="shared" si="41"/>
        <v>267</v>
      </c>
      <c r="G253" s="462"/>
    </row>
    <row r="254" spans="1:7" s="437" customFormat="1" ht="31.5" x14ac:dyDescent="0.25">
      <c r="A254" s="527" t="s">
        <v>1860</v>
      </c>
      <c r="B254" s="468" t="s">
        <v>1861</v>
      </c>
      <c r="C254" s="763"/>
      <c r="D254" s="285">
        <f>D257+D255</f>
        <v>267</v>
      </c>
      <c r="E254" s="285">
        <f t="shared" ref="E254:F254" si="42">E257+E255</f>
        <v>267</v>
      </c>
      <c r="F254" s="285">
        <f t="shared" si="42"/>
        <v>267</v>
      </c>
      <c r="G254" s="462"/>
    </row>
    <row r="255" spans="1:7" s="437" customFormat="1" x14ac:dyDescent="0.25">
      <c r="A255" s="515" t="s">
        <v>1782</v>
      </c>
      <c r="B255" s="468" t="s">
        <v>1861</v>
      </c>
      <c r="C255" s="763">
        <v>200</v>
      </c>
      <c r="D255" s="285">
        <f>D256</f>
        <v>0</v>
      </c>
      <c r="E255" s="285">
        <f t="shared" ref="E255:F255" si="43">E256</f>
        <v>267</v>
      </c>
      <c r="F255" s="285">
        <f t="shared" si="43"/>
        <v>267</v>
      </c>
      <c r="G255" s="462"/>
    </row>
    <row r="256" spans="1:7" s="437" customFormat="1" x14ac:dyDescent="0.25">
      <c r="A256" s="515" t="s">
        <v>1274</v>
      </c>
      <c r="B256" s="468" t="s">
        <v>1861</v>
      </c>
      <c r="C256" s="763">
        <v>240</v>
      </c>
      <c r="D256" s="285">
        <f>'Функц. 2021-2023'!F346</f>
        <v>0</v>
      </c>
      <c r="E256" s="285">
        <f>'Функц. 2021-2023'!H346</f>
        <v>267</v>
      </c>
      <c r="F256" s="285">
        <f>'Функц. 2021-2023'!J346</f>
        <v>267</v>
      </c>
      <c r="G256" s="462"/>
    </row>
    <row r="257" spans="1:7" s="437" customFormat="1" ht="31.5" x14ac:dyDescent="0.25">
      <c r="A257" s="461" t="s">
        <v>1343</v>
      </c>
      <c r="B257" s="468" t="s">
        <v>1861</v>
      </c>
      <c r="C257" s="761">
        <v>600</v>
      </c>
      <c r="D257" s="285">
        <f t="shared" si="41"/>
        <v>267</v>
      </c>
      <c r="E257" s="285">
        <f t="shared" si="41"/>
        <v>0</v>
      </c>
      <c r="F257" s="285">
        <f t="shared" si="41"/>
        <v>0</v>
      </c>
      <c r="G257" s="462"/>
    </row>
    <row r="258" spans="1:7" s="437" customFormat="1" ht="31.5" x14ac:dyDescent="0.25">
      <c r="A258" s="461" t="s">
        <v>869</v>
      </c>
      <c r="B258" s="468" t="s">
        <v>1861</v>
      </c>
      <c r="C258" s="761">
        <v>630</v>
      </c>
      <c r="D258" s="285">
        <f>'Функц. 2021-2023'!F348</f>
        <v>267</v>
      </c>
      <c r="E258" s="285">
        <f>'Функц. 2021-2023'!H348</f>
        <v>0</v>
      </c>
      <c r="F258" s="285">
        <f>'Функц. 2021-2023'!J348</f>
        <v>0</v>
      </c>
      <c r="G258" s="462"/>
    </row>
    <row r="259" spans="1:7" s="437" customFormat="1" ht="47.25" x14ac:dyDescent="0.25">
      <c r="A259" s="527" t="s">
        <v>2256</v>
      </c>
      <c r="B259" s="468" t="s">
        <v>1862</v>
      </c>
      <c r="C259" s="763"/>
      <c r="D259" s="285">
        <f t="shared" ref="D259:F260" si="44">D260</f>
        <v>332</v>
      </c>
      <c r="E259" s="285">
        <f t="shared" si="44"/>
        <v>332</v>
      </c>
      <c r="F259" s="285">
        <f t="shared" si="44"/>
        <v>332</v>
      </c>
      <c r="G259" s="462"/>
    </row>
    <row r="260" spans="1:7" s="437" customFormat="1" ht="31.5" x14ac:dyDescent="0.25">
      <c r="A260" s="525" t="s">
        <v>1856</v>
      </c>
      <c r="B260" s="468" t="s">
        <v>1863</v>
      </c>
      <c r="C260" s="763"/>
      <c r="D260" s="285">
        <f t="shared" si="44"/>
        <v>332</v>
      </c>
      <c r="E260" s="285">
        <f t="shared" si="44"/>
        <v>332</v>
      </c>
      <c r="F260" s="285">
        <f t="shared" si="44"/>
        <v>332</v>
      </c>
      <c r="G260" s="462"/>
    </row>
    <row r="261" spans="1:7" s="437" customFormat="1" x14ac:dyDescent="0.25">
      <c r="A261" s="515" t="s">
        <v>1782</v>
      </c>
      <c r="B261" s="468" t="s">
        <v>1863</v>
      </c>
      <c r="C261" s="761">
        <v>200</v>
      </c>
      <c r="D261" s="285">
        <f>D262</f>
        <v>332</v>
      </c>
      <c r="E261" s="285">
        <f>E262</f>
        <v>332</v>
      </c>
      <c r="F261" s="285">
        <f>F262</f>
        <v>332</v>
      </c>
      <c r="G261" s="462"/>
    </row>
    <row r="262" spans="1:7" s="437" customFormat="1" x14ac:dyDescent="0.25">
      <c r="A262" s="515" t="s">
        <v>1274</v>
      </c>
      <c r="B262" s="468" t="s">
        <v>1863</v>
      </c>
      <c r="C262" s="761">
        <v>240</v>
      </c>
      <c r="D262" s="285">
        <f>'Функц. 2021-2023'!F352+'Функц. 2021-2023'!F766</f>
        <v>332</v>
      </c>
      <c r="E262" s="285">
        <f>'Функц. 2021-2023'!H352+'Функц. 2021-2023'!H766</f>
        <v>332</v>
      </c>
      <c r="F262" s="285">
        <f>'Функц. 2021-2023'!H352+'Функц. 2021-2023'!H766</f>
        <v>332</v>
      </c>
      <c r="G262" s="462"/>
    </row>
    <row r="263" spans="1:7" s="437" customFormat="1" ht="31.5" x14ac:dyDescent="0.25">
      <c r="A263" s="527" t="s">
        <v>1864</v>
      </c>
      <c r="B263" s="468" t="s">
        <v>1865</v>
      </c>
      <c r="C263" s="761"/>
      <c r="D263" s="285">
        <f>D264</f>
        <v>19351.300000000003</v>
      </c>
      <c r="E263" s="285">
        <f>E264</f>
        <v>6491</v>
      </c>
      <c r="F263" s="285">
        <f>F264</f>
        <v>6491</v>
      </c>
      <c r="G263" s="462"/>
    </row>
    <row r="264" spans="1:7" s="437" customFormat="1" x14ac:dyDescent="0.25">
      <c r="A264" s="525" t="s">
        <v>1866</v>
      </c>
      <c r="B264" s="468" t="s">
        <v>1867</v>
      </c>
      <c r="C264" s="761"/>
      <c r="D264" s="285">
        <f t="shared" ref="D264:F265" si="45">D265</f>
        <v>19351.300000000003</v>
      </c>
      <c r="E264" s="285">
        <f t="shared" si="45"/>
        <v>6491</v>
      </c>
      <c r="F264" s="285">
        <f t="shared" si="45"/>
        <v>6491</v>
      </c>
      <c r="G264" s="462"/>
    </row>
    <row r="265" spans="1:7" s="437" customFormat="1" x14ac:dyDescent="0.25">
      <c r="A265" s="515" t="s">
        <v>1782</v>
      </c>
      <c r="B265" s="468" t="s">
        <v>1867</v>
      </c>
      <c r="C265" s="761">
        <v>200</v>
      </c>
      <c r="D265" s="285">
        <f t="shared" si="45"/>
        <v>19351.300000000003</v>
      </c>
      <c r="E265" s="285">
        <f t="shared" si="45"/>
        <v>6491</v>
      </c>
      <c r="F265" s="285">
        <f t="shared" si="45"/>
        <v>6491</v>
      </c>
      <c r="G265" s="462"/>
    </row>
    <row r="266" spans="1:7" s="437" customFormat="1" x14ac:dyDescent="0.25">
      <c r="A266" s="515" t="s">
        <v>1274</v>
      </c>
      <c r="B266" s="468" t="s">
        <v>1867</v>
      </c>
      <c r="C266" s="761">
        <v>240</v>
      </c>
      <c r="D266" s="285">
        <f>'Функц. 2021-2023'!F356</f>
        <v>19351.300000000003</v>
      </c>
      <c r="E266" s="285">
        <f>'Функц. 2021-2023'!H356</f>
        <v>6491</v>
      </c>
      <c r="F266" s="285">
        <f>'Функц. 2021-2023'!J356</f>
        <v>6491</v>
      </c>
      <c r="G266" s="462"/>
    </row>
    <row r="267" spans="1:7" s="437" customFormat="1" ht="78.75" x14ac:dyDescent="0.25">
      <c r="A267" s="515" t="s">
        <v>1868</v>
      </c>
      <c r="B267" s="816" t="s">
        <v>1869</v>
      </c>
      <c r="C267" s="761"/>
      <c r="D267" s="285">
        <f>D268</f>
        <v>63.5</v>
      </c>
      <c r="E267" s="285">
        <f>E268</f>
        <v>63.5</v>
      </c>
      <c r="F267" s="285">
        <f>F268</f>
        <v>63.5</v>
      </c>
      <c r="G267" s="462"/>
    </row>
    <row r="268" spans="1:7" s="437" customFormat="1" ht="63" x14ac:dyDescent="0.25">
      <c r="A268" s="526" t="s">
        <v>1870</v>
      </c>
      <c r="B268" s="468" t="s">
        <v>1871</v>
      </c>
      <c r="C268" s="761"/>
      <c r="D268" s="285">
        <f t="shared" ref="D268:F269" si="46">D269</f>
        <v>63.5</v>
      </c>
      <c r="E268" s="285">
        <f t="shared" si="46"/>
        <v>63.5</v>
      </c>
      <c r="F268" s="285">
        <f t="shared" si="46"/>
        <v>63.5</v>
      </c>
      <c r="G268" s="462"/>
    </row>
    <row r="269" spans="1:7" s="437" customFormat="1" x14ac:dyDescent="0.25">
      <c r="A269" s="515" t="s">
        <v>1782</v>
      </c>
      <c r="B269" s="468" t="s">
        <v>1871</v>
      </c>
      <c r="C269" s="761">
        <v>200</v>
      </c>
      <c r="D269" s="285">
        <f t="shared" si="46"/>
        <v>63.5</v>
      </c>
      <c r="E269" s="285">
        <f t="shared" si="46"/>
        <v>63.5</v>
      </c>
      <c r="F269" s="285">
        <f t="shared" si="46"/>
        <v>63.5</v>
      </c>
      <c r="G269" s="462"/>
    </row>
    <row r="270" spans="1:7" s="437" customFormat="1" x14ac:dyDescent="0.25">
      <c r="A270" s="515" t="s">
        <v>1274</v>
      </c>
      <c r="B270" s="468" t="s">
        <v>1871</v>
      </c>
      <c r="C270" s="761">
        <v>240</v>
      </c>
      <c r="D270" s="285">
        <f>'Функц. 2021-2023'!F770</f>
        <v>63.5</v>
      </c>
      <c r="E270" s="285">
        <f>'Функц. 2021-2023'!H770</f>
        <v>63.5</v>
      </c>
      <c r="F270" s="285">
        <f>'Функц. 2021-2023'!J770</f>
        <v>63.5</v>
      </c>
      <c r="G270" s="462"/>
    </row>
    <row r="271" spans="1:7" s="437" customFormat="1" x14ac:dyDescent="0.25">
      <c r="A271" s="523" t="s">
        <v>2282</v>
      </c>
      <c r="B271" s="284" t="s">
        <v>2206</v>
      </c>
      <c r="C271" s="776"/>
      <c r="D271" s="285">
        <f>D272+D275+D278+D285</f>
        <v>16133.400000000001</v>
      </c>
      <c r="E271" s="285">
        <f>E272+E275+E278+E285</f>
        <v>6620.2999999999993</v>
      </c>
      <c r="F271" s="285">
        <f>F272+F275+F278+F285</f>
        <v>6620.2999999999993</v>
      </c>
      <c r="G271" s="462"/>
    </row>
    <row r="272" spans="1:7" s="437" customFormat="1" x14ac:dyDescent="0.25">
      <c r="A272" s="523" t="s">
        <v>1986</v>
      </c>
      <c r="B272" s="468" t="s">
        <v>2205</v>
      </c>
      <c r="C272" s="763"/>
      <c r="D272" s="285">
        <f t="shared" ref="D272:F273" si="47">D273</f>
        <v>75</v>
      </c>
      <c r="E272" s="285">
        <f t="shared" si="47"/>
        <v>75</v>
      </c>
      <c r="F272" s="285">
        <f t="shared" si="47"/>
        <v>75</v>
      </c>
      <c r="G272" s="462"/>
    </row>
    <row r="273" spans="1:7" s="437" customFormat="1" x14ac:dyDescent="0.25">
      <c r="A273" s="461" t="s">
        <v>1782</v>
      </c>
      <c r="B273" s="468" t="s">
        <v>2205</v>
      </c>
      <c r="C273" s="761">
        <v>200</v>
      </c>
      <c r="D273" s="285">
        <f t="shared" si="47"/>
        <v>75</v>
      </c>
      <c r="E273" s="285">
        <f t="shared" si="47"/>
        <v>75</v>
      </c>
      <c r="F273" s="285">
        <f t="shared" si="47"/>
        <v>75</v>
      </c>
      <c r="G273" s="462"/>
    </row>
    <row r="274" spans="1:7" s="437" customFormat="1" x14ac:dyDescent="0.25">
      <c r="A274" s="461" t="s">
        <v>1274</v>
      </c>
      <c r="B274" s="468" t="s">
        <v>2205</v>
      </c>
      <c r="C274" s="761">
        <v>240</v>
      </c>
      <c r="D274" s="285">
        <f>'Функц. 2021-2023'!F439</f>
        <v>75</v>
      </c>
      <c r="E274" s="285">
        <f>'Функц. 2021-2023'!H439</f>
        <v>75</v>
      </c>
      <c r="F274" s="285">
        <f>'Функц. 2021-2023'!J439</f>
        <v>75</v>
      </c>
      <c r="G274" s="462"/>
    </row>
    <row r="275" spans="1:7" x14ac:dyDescent="0.25">
      <c r="A275" s="527" t="s">
        <v>1988</v>
      </c>
      <c r="B275" s="284" t="s">
        <v>2207</v>
      </c>
      <c r="C275" s="776"/>
      <c r="D275" s="285">
        <f t="shared" ref="D275:F276" si="48">D276</f>
        <v>11098.5</v>
      </c>
      <c r="E275" s="285">
        <f t="shared" si="48"/>
        <v>1585.4</v>
      </c>
      <c r="F275" s="285">
        <f t="shared" si="48"/>
        <v>1585.4</v>
      </c>
      <c r="G275" s="462"/>
    </row>
    <row r="276" spans="1:7" x14ac:dyDescent="0.25">
      <c r="A276" s="515" t="s">
        <v>1782</v>
      </c>
      <c r="B276" s="284" t="s">
        <v>2207</v>
      </c>
      <c r="C276" s="776" t="s">
        <v>821</v>
      </c>
      <c r="D276" s="285">
        <f t="shared" si="48"/>
        <v>11098.5</v>
      </c>
      <c r="E276" s="285">
        <f t="shared" si="48"/>
        <v>1585.4</v>
      </c>
      <c r="F276" s="285">
        <f t="shared" si="48"/>
        <v>1585.4</v>
      </c>
      <c r="G276" s="462"/>
    </row>
    <row r="277" spans="1:7" x14ac:dyDescent="0.25">
      <c r="A277" s="515" t="s">
        <v>1274</v>
      </c>
      <c r="B277" s="284" t="s">
        <v>2207</v>
      </c>
      <c r="C277" s="776" t="s">
        <v>1480</v>
      </c>
      <c r="D277" s="285">
        <f>'Функц. 2021-2023'!F484</f>
        <v>11098.5</v>
      </c>
      <c r="E277" s="285">
        <f>'Функц. 2021-2023'!H484</f>
        <v>1585.4</v>
      </c>
      <c r="F277" s="285">
        <f>'Функц. 2021-2023'!J484</f>
        <v>1585.4</v>
      </c>
      <c r="G277" s="462"/>
    </row>
    <row r="278" spans="1:7" ht="31.5" x14ac:dyDescent="0.25">
      <c r="A278" s="526" t="s">
        <v>1987</v>
      </c>
      <c r="B278" s="284" t="s">
        <v>2208</v>
      </c>
      <c r="C278" s="776"/>
      <c r="D278" s="285">
        <f>D279+D281+D283</f>
        <v>4708.9000000000005</v>
      </c>
      <c r="E278" s="285">
        <f>E279+E281+E283</f>
        <v>4708.8999999999996</v>
      </c>
      <c r="F278" s="285">
        <f>F279+F281+F283</f>
        <v>4708.8999999999996</v>
      </c>
      <c r="G278" s="462"/>
    </row>
    <row r="279" spans="1:7" ht="47.25" x14ac:dyDescent="0.25">
      <c r="A279" s="515" t="s">
        <v>922</v>
      </c>
      <c r="B279" s="284" t="s">
        <v>2208</v>
      </c>
      <c r="C279" s="776" t="s">
        <v>1798</v>
      </c>
      <c r="D279" s="285">
        <f>D280</f>
        <v>3979.7</v>
      </c>
      <c r="E279" s="285">
        <f>E280</f>
        <v>3979.7</v>
      </c>
      <c r="F279" s="285">
        <f>F280</f>
        <v>3979.7</v>
      </c>
      <c r="G279" s="462"/>
    </row>
    <row r="280" spans="1:7" x14ac:dyDescent="0.25">
      <c r="A280" s="515" t="s">
        <v>1569</v>
      </c>
      <c r="B280" s="284" t="s">
        <v>2208</v>
      </c>
      <c r="C280" s="776" t="s">
        <v>1799</v>
      </c>
      <c r="D280" s="285">
        <f>'Функц. 2021-2023'!F487</f>
        <v>3979.7</v>
      </c>
      <c r="E280" s="285">
        <f>'Функц. 2021-2023'!H487</f>
        <v>3979.7</v>
      </c>
      <c r="F280" s="285">
        <f>'Функц. 2021-2023'!J487</f>
        <v>3979.7</v>
      </c>
      <c r="G280" s="462"/>
    </row>
    <row r="281" spans="1:7" x14ac:dyDescent="0.25">
      <c r="A281" s="515" t="s">
        <v>1782</v>
      </c>
      <c r="B281" s="284" t="s">
        <v>2208</v>
      </c>
      <c r="C281" s="776" t="s">
        <v>821</v>
      </c>
      <c r="D281" s="285">
        <f>D282</f>
        <v>727.1</v>
      </c>
      <c r="E281" s="285">
        <f>E282</f>
        <v>729.2</v>
      </c>
      <c r="F281" s="285">
        <f>F282</f>
        <v>729.2</v>
      </c>
      <c r="G281" s="462"/>
    </row>
    <row r="282" spans="1:7" x14ac:dyDescent="0.25">
      <c r="A282" s="515" t="s">
        <v>1274</v>
      </c>
      <c r="B282" s="284" t="s">
        <v>2208</v>
      </c>
      <c r="C282" s="776" t="s">
        <v>1480</v>
      </c>
      <c r="D282" s="290">
        <f>'Функц. 2021-2023'!F489</f>
        <v>727.1</v>
      </c>
      <c r="E282" s="290">
        <f>'Функц. 2021-2023'!H489</f>
        <v>729.2</v>
      </c>
      <c r="F282" s="290">
        <f>'Функц. 2021-2023'!J489</f>
        <v>729.2</v>
      </c>
      <c r="G282" s="462"/>
    </row>
    <row r="283" spans="1:7" s="514" customFormat="1" x14ac:dyDescent="0.25">
      <c r="A283" s="520" t="s">
        <v>924</v>
      </c>
      <c r="B283" s="284" t="s">
        <v>2208</v>
      </c>
      <c r="C283" s="776" t="s">
        <v>2242</v>
      </c>
      <c r="D283" s="290">
        <f>D284</f>
        <v>2.1</v>
      </c>
      <c r="E283" s="290">
        <f>E284</f>
        <v>0</v>
      </c>
      <c r="F283" s="290">
        <f>F284</f>
        <v>0</v>
      </c>
      <c r="G283" s="462"/>
    </row>
    <row r="284" spans="1:7" s="514" customFormat="1" x14ac:dyDescent="0.25">
      <c r="A284" s="520" t="s">
        <v>1320</v>
      </c>
      <c r="B284" s="284" t="s">
        <v>2208</v>
      </c>
      <c r="C284" s="776" t="s">
        <v>2394</v>
      </c>
      <c r="D284" s="290">
        <f>'Функц. 2021-2023'!F491</f>
        <v>2.1</v>
      </c>
      <c r="E284" s="290">
        <f>'Функц. 2021-2023'!H491</f>
        <v>0</v>
      </c>
      <c r="F284" s="290">
        <f>'Функц. 2021-2023'!J491</f>
        <v>0</v>
      </c>
      <c r="G284" s="462"/>
    </row>
    <row r="285" spans="1:7" s="514" customFormat="1" ht="47.25" x14ac:dyDescent="0.25">
      <c r="A285" s="520" t="s">
        <v>2284</v>
      </c>
      <c r="B285" s="284" t="s">
        <v>2283</v>
      </c>
      <c r="C285" s="761"/>
      <c r="D285" s="290">
        <f t="shared" ref="D285:F286" si="49">D286</f>
        <v>251</v>
      </c>
      <c r="E285" s="290">
        <f t="shared" si="49"/>
        <v>251</v>
      </c>
      <c r="F285" s="290">
        <f t="shared" si="49"/>
        <v>251</v>
      </c>
      <c r="G285" s="462"/>
    </row>
    <row r="286" spans="1:7" s="514" customFormat="1" x14ac:dyDescent="0.25">
      <c r="A286" s="515" t="s">
        <v>1782</v>
      </c>
      <c r="B286" s="284" t="s">
        <v>2283</v>
      </c>
      <c r="C286" s="761">
        <v>200</v>
      </c>
      <c r="D286" s="290">
        <f t="shared" si="49"/>
        <v>251</v>
      </c>
      <c r="E286" s="290">
        <f t="shared" si="49"/>
        <v>251</v>
      </c>
      <c r="F286" s="290">
        <f t="shared" si="49"/>
        <v>251</v>
      </c>
      <c r="G286" s="462"/>
    </row>
    <row r="287" spans="1:7" s="514" customFormat="1" x14ac:dyDescent="0.25">
      <c r="A287" s="515" t="s">
        <v>1274</v>
      </c>
      <c r="B287" s="284" t="s">
        <v>2283</v>
      </c>
      <c r="C287" s="761">
        <v>240</v>
      </c>
      <c r="D287" s="290">
        <f>'Функц. 2021-2023'!F442</f>
        <v>251</v>
      </c>
      <c r="E287" s="290">
        <f>'Функц. 2021-2023'!H442</f>
        <v>251</v>
      </c>
      <c r="F287" s="290">
        <f>'Функц. 2021-2023'!J442</f>
        <v>251</v>
      </c>
      <c r="G287" s="462"/>
    </row>
    <row r="288" spans="1:7" s="437" customFormat="1" ht="47.25" x14ac:dyDescent="0.25">
      <c r="A288" s="525" t="s">
        <v>2339</v>
      </c>
      <c r="B288" s="468" t="s">
        <v>1767</v>
      </c>
      <c r="C288" s="776"/>
      <c r="D288" s="285">
        <f>D289+D295</f>
        <v>1450.1</v>
      </c>
      <c r="E288" s="285">
        <f>E289+E295</f>
        <v>780</v>
      </c>
      <c r="F288" s="285">
        <f>F289+F295</f>
        <v>780</v>
      </c>
      <c r="G288" s="462"/>
    </row>
    <row r="289" spans="1:7" s="437" customFormat="1" ht="47.25" x14ac:dyDescent="0.25">
      <c r="A289" s="527" t="s">
        <v>2275</v>
      </c>
      <c r="B289" s="468" t="s">
        <v>1788</v>
      </c>
      <c r="C289" s="776"/>
      <c r="D289" s="285">
        <f>D290</f>
        <v>710</v>
      </c>
      <c r="E289" s="285">
        <f>E290</f>
        <v>710</v>
      </c>
      <c r="F289" s="285">
        <f>F290</f>
        <v>710</v>
      </c>
      <c r="G289" s="462"/>
    </row>
    <row r="290" spans="1:7" s="437" customFormat="1" ht="31.5" x14ac:dyDescent="0.25">
      <c r="A290" s="527" t="s">
        <v>1872</v>
      </c>
      <c r="B290" s="468" t="s">
        <v>1873</v>
      </c>
      <c r="C290" s="776"/>
      <c r="D290" s="285">
        <f>D291+D293</f>
        <v>710</v>
      </c>
      <c r="E290" s="285">
        <f t="shared" ref="D290:F291" si="50">E291</f>
        <v>710</v>
      </c>
      <c r="F290" s="285">
        <f t="shared" si="50"/>
        <v>710</v>
      </c>
      <c r="G290" s="462"/>
    </row>
    <row r="291" spans="1:7" s="437" customFormat="1" x14ac:dyDescent="0.25">
      <c r="A291" s="461" t="s">
        <v>1782</v>
      </c>
      <c r="B291" s="468" t="s">
        <v>1873</v>
      </c>
      <c r="C291" s="777" t="s">
        <v>821</v>
      </c>
      <c r="D291" s="285">
        <f t="shared" si="50"/>
        <v>644</v>
      </c>
      <c r="E291" s="285">
        <f t="shared" si="50"/>
        <v>710</v>
      </c>
      <c r="F291" s="285">
        <f t="shared" si="50"/>
        <v>710</v>
      </c>
      <c r="G291" s="462"/>
    </row>
    <row r="292" spans="1:7" s="437" customFormat="1" x14ac:dyDescent="0.25">
      <c r="A292" s="461" t="s">
        <v>1274</v>
      </c>
      <c r="B292" s="468" t="s">
        <v>1873</v>
      </c>
      <c r="C292" s="777" t="s">
        <v>1480</v>
      </c>
      <c r="D292" s="285">
        <f>'Функц. 2021-2023'!F306</f>
        <v>644</v>
      </c>
      <c r="E292" s="285">
        <f>'Функц. 2021-2023'!H306</f>
        <v>710</v>
      </c>
      <c r="F292" s="285">
        <f>'Функц. 2021-2023'!J306</f>
        <v>710</v>
      </c>
      <c r="G292" s="462"/>
    </row>
    <row r="293" spans="1:7" s="437" customFormat="1" ht="31.5" x14ac:dyDescent="0.25">
      <c r="A293" s="520" t="s">
        <v>1343</v>
      </c>
      <c r="B293" s="468" t="s">
        <v>1873</v>
      </c>
      <c r="C293" s="777" t="s">
        <v>2397</v>
      </c>
      <c r="D293" s="285">
        <f>D294</f>
        <v>66</v>
      </c>
      <c r="E293" s="285">
        <f t="shared" ref="E293:F293" si="51">E294</f>
        <v>0</v>
      </c>
      <c r="F293" s="285">
        <f t="shared" si="51"/>
        <v>0</v>
      </c>
      <c r="G293" s="462"/>
    </row>
    <row r="294" spans="1:7" s="437" customFormat="1" x14ac:dyDescent="0.25">
      <c r="A294" s="520" t="s">
        <v>1344</v>
      </c>
      <c r="B294" s="468" t="s">
        <v>1873</v>
      </c>
      <c r="C294" s="777" t="s">
        <v>2398</v>
      </c>
      <c r="D294" s="285">
        <f>'Функц. 2021-2023'!F308</f>
        <v>66</v>
      </c>
      <c r="E294" s="285">
        <v>0</v>
      </c>
      <c r="F294" s="285">
        <f>'Функц. 2021-2023'!J308</f>
        <v>0</v>
      </c>
      <c r="G294" s="462"/>
    </row>
    <row r="295" spans="1:7" s="437" customFormat="1" ht="31.5" x14ac:dyDescent="0.25">
      <c r="A295" s="530" t="s">
        <v>2274</v>
      </c>
      <c r="B295" s="468" t="s">
        <v>1874</v>
      </c>
      <c r="C295" s="761"/>
      <c r="D295" s="285">
        <f>D296</f>
        <v>740.1</v>
      </c>
      <c r="E295" s="285">
        <f>E296</f>
        <v>70</v>
      </c>
      <c r="F295" s="285">
        <f>F296</f>
        <v>70</v>
      </c>
      <c r="G295" s="462"/>
    </row>
    <row r="296" spans="1:7" s="437" customFormat="1" ht="31.5" x14ac:dyDescent="0.25">
      <c r="A296" s="527" t="s">
        <v>1875</v>
      </c>
      <c r="B296" s="468" t="s">
        <v>1876</v>
      </c>
      <c r="C296" s="761"/>
      <c r="D296" s="285">
        <f>D297+D299</f>
        <v>740.1</v>
      </c>
      <c r="E296" s="285">
        <f>E297+E299</f>
        <v>70</v>
      </c>
      <c r="F296" s="285">
        <f>F297+F299</f>
        <v>70</v>
      </c>
      <c r="G296" s="462"/>
    </row>
    <row r="297" spans="1:7" s="437" customFormat="1" x14ac:dyDescent="0.25">
      <c r="A297" s="515" t="s">
        <v>1782</v>
      </c>
      <c r="B297" s="468" t="s">
        <v>1876</v>
      </c>
      <c r="C297" s="776" t="s">
        <v>821</v>
      </c>
      <c r="D297" s="285">
        <f>D298</f>
        <v>40.1</v>
      </c>
      <c r="E297" s="285">
        <f>E298</f>
        <v>70</v>
      </c>
      <c r="F297" s="285">
        <f>F298</f>
        <v>70</v>
      </c>
      <c r="G297" s="462"/>
    </row>
    <row r="298" spans="1:7" s="437" customFormat="1" x14ac:dyDescent="0.25">
      <c r="A298" s="515" t="s">
        <v>1274</v>
      </c>
      <c r="B298" s="468" t="s">
        <v>1876</v>
      </c>
      <c r="C298" s="776" t="s">
        <v>1480</v>
      </c>
      <c r="D298" s="285">
        <f>'Функц. 2021-2023'!F312</f>
        <v>40.1</v>
      </c>
      <c r="E298" s="285">
        <f>'Функц. 2021-2023'!H312</f>
        <v>70</v>
      </c>
      <c r="F298" s="285">
        <f>'Функц. 2021-2023'!J312</f>
        <v>70</v>
      </c>
      <c r="G298" s="462"/>
    </row>
    <row r="299" spans="1:7" s="437" customFormat="1" ht="31.5" x14ac:dyDescent="0.25">
      <c r="A299" s="520" t="s">
        <v>1343</v>
      </c>
      <c r="B299" s="468" t="s">
        <v>1876</v>
      </c>
      <c r="C299" s="776" t="s">
        <v>2397</v>
      </c>
      <c r="D299" s="285">
        <f>D300</f>
        <v>700</v>
      </c>
      <c r="E299" s="285">
        <f>E300</f>
        <v>0</v>
      </c>
      <c r="F299" s="285">
        <f>F300</f>
        <v>0</v>
      </c>
      <c r="G299" s="462"/>
    </row>
    <row r="300" spans="1:7" s="437" customFormat="1" x14ac:dyDescent="0.25">
      <c r="A300" s="520" t="s">
        <v>1344</v>
      </c>
      <c r="B300" s="468" t="s">
        <v>1876</v>
      </c>
      <c r="C300" s="776" t="s">
        <v>2398</v>
      </c>
      <c r="D300" s="285">
        <f>'Функц. 2021-2023'!F314</f>
        <v>700</v>
      </c>
      <c r="E300" s="285">
        <f>'Функц. 2021-2023'!H314</f>
        <v>0</v>
      </c>
      <c r="F300" s="285">
        <f>'Функц. 2021-2023'!J314</f>
        <v>0</v>
      </c>
      <c r="G300" s="462"/>
    </row>
    <row r="301" spans="1:7" s="437" customFormat="1" ht="31.5" x14ac:dyDescent="0.25">
      <c r="A301" s="525" t="s">
        <v>2276</v>
      </c>
      <c r="B301" s="468" t="s">
        <v>1763</v>
      </c>
      <c r="C301" s="763"/>
      <c r="D301" s="285">
        <f t="shared" ref="D301:F304" si="52">D302</f>
        <v>807.9</v>
      </c>
      <c r="E301" s="285">
        <f t="shared" si="52"/>
        <v>593</v>
      </c>
      <c r="F301" s="285">
        <f t="shared" si="52"/>
        <v>593</v>
      </c>
      <c r="G301" s="462"/>
    </row>
    <row r="302" spans="1:7" s="437" customFormat="1" ht="63" x14ac:dyDescent="0.25">
      <c r="A302" s="527" t="s">
        <v>2279</v>
      </c>
      <c r="B302" s="468" t="s">
        <v>1789</v>
      </c>
      <c r="C302" s="763"/>
      <c r="D302" s="285">
        <f t="shared" si="52"/>
        <v>807.9</v>
      </c>
      <c r="E302" s="285">
        <f t="shared" si="52"/>
        <v>593</v>
      </c>
      <c r="F302" s="285">
        <f t="shared" si="52"/>
        <v>593</v>
      </c>
      <c r="G302" s="462"/>
    </row>
    <row r="303" spans="1:7" s="437" customFormat="1" ht="31.5" x14ac:dyDescent="0.25">
      <c r="A303" s="527" t="s">
        <v>1879</v>
      </c>
      <c r="B303" s="468" t="s">
        <v>1880</v>
      </c>
      <c r="C303" s="763"/>
      <c r="D303" s="285">
        <f t="shared" si="52"/>
        <v>807.9</v>
      </c>
      <c r="E303" s="285">
        <f t="shared" si="52"/>
        <v>593</v>
      </c>
      <c r="F303" s="285">
        <f t="shared" si="52"/>
        <v>593</v>
      </c>
      <c r="G303" s="462"/>
    </row>
    <row r="304" spans="1:7" s="437" customFormat="1" x14ac:dyDescent="0.25">
      <c r="A304" s="515" t="s">
        <v>1782</v>
      </c>
      <c r="B304" s="468" t="s">
        <v>1880</v>
      </c>
      <c r="C304" s="763">
        <v>200</v>
      </c>
      <c r="D304" s="285">
        <f t="shared" si="52"/>
        <v>807.9</v>
      </c>
      <c r="E304" s="285">
        <f t="shared" si="52"/>
        <v>593</v>
      </c>
      <c r="F304" s="285">
        <f t="shared" si="52"/>
        <v>593</v>
      </c>
      <c r="G304" s="462"/>
    </row>
    <row r="305" spans="1:7" s="437" customFormat="1" x14ac:dyDescent="0.25">
      <c r="A305" s="515" t="s">
        <v>1274</v>
      </c>
      <c r="B305" s="468" t="s">
        <v>1880</v>
      </c>
      <c r="C305" s="763">
        <v>240</v>
      </c>
      <c r="D305" s="285">
        <f>'Функц. 2021-2023'!F294</f>
        <v>807.9</v>
      </c>
      <c r="E305" s="285">
        <f>'Функц. 2021-2023'!H294</f>
        <v>593</v>
      </c>
      <c r="F305" s="285">
        <f>'Функц. 2021-2023'!J294</f>
        <v>593</v>
      </c>
      <c r="G305" s="462"/>
    </row>
    <row r="306" spans="1:7" s="437" customFormat="1" ht="31.5" x14ac:dyDescent="0.25">
      <c r="A306" s="521" t="s">
        <v>2277</v>
      </c>
      <c r="B306" s="468" t="s">
        <v>1764</v>
      </c>
      <c r="C306" s="761"/>
      <c r="D306" s="285">
        <f t="shared" ref="D306:F309" si="53">D307</f>
        <v>1733</v>
      </c>
      <c r="E306" s="285">
        <f t="shared" si="53"/>
        <v>656</v>
      </c>
      <c r="F306" s="285">
        <f t="shared" si="53"/>
        <v>656</v>
      </c>
      <c r="G306" s="462"/>
    </row>
    <row r="307" spans="1:7" s="437" customFormat="1" x14ac:dyDescent="0.25">
      <c r="A307" s="527" t="s">
        <v>1881</v>
      </c>
      <c r="B307" s="468" t="s">
        <v>1790</v>
      </c>
      <c r="C307" s="776"/>
      <c r="D307" s="285">
        <f t="shared" si="53"/>
        <v>1733</v>
      </c>
      <c r="E307" s="285">
        <f t="shared" si="53"/>
        <v>656</v>
      </c>
      <c r="F307" s="285">
        <f t="shared" si="53"/>
        <v>656</v>
      </c>
      <c r="G307" s="462"/>
    </row>
    <row r="308" spans="1:7" s="437" customFormat="1" x14ac:dyDescent="0.25">
      <c r="A308" s="515" t="s">
        <v>1877</v>
      </c>
      <c r="B308" s="468" t="s">
        <v>1878</v>
      </c>
      <c r="C308" s="761"/>
      <c r="D308" s="285">
        <f>D309+D311</f>
        <v>1733</v>
      </c>
      <c r="E308" s="285">
        <f>E309+E311</f>
        <v>656</v>
      </c>
      <c r="F308" s="285">
        <f>F309+F311</f>
        <v>656</v>
      </c>
      <c r="G308" s="462"/>
    </row>
    <row r="309" spans="1:7" s="437" customFormat="1" x14ac:dyDescent="0.25">
      <c r="A309" s="515" t="s">
        <v>1782</v>
      </c>
      <c r="B309" s="468" t="s">
        <v>1878</v>
      </c>
      <c r="C309" s="776" t="s">
        <v>821</v>
      </c>
      <c r="D309" s="285">
        <f t="shared" si="53"/>
        <v>478.3</v>
      </c>
      <c r="E309" s="285">
        <f t="shared" si="53"/>
        <v>656</v>
      </c>
      <c r="F309" s="285">
        <f t="shared" si="53"/>
        <v>656</v>
      </c>
      <c r="G309" s="462"/>
    </row>
    <row r="310" spans="1:7" s="437" customFormat="1" x14ac:dyDescent="0.25">
      <c r="A310" s="515" t="s">
        <v>1274</v>
      </c>
      <c r="B310" s="468" t="s">
        <v>1878</v>
      </c>
      <c r="C310" s="776" t="s">
        <v>1480</v>
      </c>
      <c r="D310" s="285">
        <f>'Функц. 2021-2023'!F319</f>
        <v>478.3</v>
      </c>
      <c r="E310" s="285">
        <f>'Функц. 2021-2023'!H319</f>
        <v>656</v>
      </c>
      <c r="F310" s="285">
        <f>'Функц. 2021-2023'!J319</f>
        <v>656</v>
      </c>
      <c r="G310" s="462"/>
    </row>
    <row r="311" spans="1:7" s="437" customFormat="1" ht="31.5" x14ac:dyDescent="0.25">
      <c r="A311" s="520" t="s">
        <v>1343</v>
      </c>
      <c r="B311" s="468" t="s">
        <v>1878</v>
      </c>
      <c r="C311" s="776" t="s">
        <v>2397</v>
      </c>
      <c r="D311" s="285">
        <f>D312</f>
        <v>1254.7</v>
      </c>
      <c r="E311" s="285">
        <f>E312</f>
        <v>0</v>
      </c>
      <c r="F311" s="285">
        <f>F312</f>
        <v>0</v>
      </c>
      <c r="G311" s="462"/>
    </row>
    <row r="312" spans="1:7" s="437" customFormat="1" x14ac:dyDescent="0.25">
      <c r="A312" s="520" t="s">
        <v>1344</v>
      </c>
      <c r="B312" s="468" t="s">
        <v>1878</v>
      </c>
      <c r="C312" s="776" t="s">
        <v>2398</v>
      </c>
      <c r="D312" s="285">
        <f>'Функц. 2021-2023'!F890+'Функц. 2021-2023'!F759</f>
        <v>1254.7</v>
      </c>
      <c r="E312" s="285">
        <f>'Функц. 2021-2023'!G890+'Функц. 2021-2023'!G759</f>
        <v>0</v>
      </c>
      <c r="F312" s="285">
        <f>'Функц. 2021-2023'!H890+'Функц. 2021-2023'!H759</f>
        <v>0</v>
      </c>
      <c r="G312" s="462"/>
    </row>
    <row r="313" spans="1:7" s="437" customFormat="1" ht="31.5" x14ac:dyDescent="0.25">
      <c r="A313" s="525" t="s">
        <v>2278</v>
      </c>
      <c r="B313" s="468" t="s">
        <v>1768</v>
      </c>
      <c r="C313" s="776"/>
      <c r="D313" s="285">
        <f t="shared" ref="D313:F316" si="54">D314</f>
        <v>512</v>
      </c>
      <c r="E313" s="285">
        <f t="shared" si="54"/>
        <v>697</v>
      </c>
      <c r="F313" s="285">
        <f t="shared" si="54"/>
        <v>697</v>
      </c>
      <c r="G313" s="462"/>
    </row>
    <row r="314" spans="1:7" s="437" customFormat="1" ht="31.5" x14ac:dyDescent="0.25">
      <c r="A314" s="527" t="s">
        <v>1882</v>
      </c>
      <c r="B314" s="468" t="s">
        <v>1791</v>
      </c>
      <c r="C314" s="776"/>
      <c r="D314" s="285">
        <f t="shared" si="54"/>
        <v>512</v>
      </c>
      <c r="E314" s="285">
        <f t="shared" si="54"/>
        <v>697</v>
      </c>
      <c r="F314" s="285">
        <f t="shared" si="54"/>
        <v>697</v>
      </c>
      <c r="G314" s="462"/>
    </row>
    <row r="315" spans="1:7" s="437" customFormat="1" ht="31.5" x14ac:dyDescent="0.25">
      <c r="A315" s="526" t="s">
        <v>1883</v>
      </c>
      <c r="B315" s="468" t="s">
        <v>1884</v>
      </c>
      <c r="C315" s="776"/>
      <c r="D315" s="285">
        <f t="shared" si="54"/>
        <v>512</v>
      </c>
      <c r="E315" s="285">
        <f t="shared" si="54"/>
        <v>697</v>
      </c>
      <c r="F315" s="285">
        <f t="shared" si="54"/>
        <v>697</v>
      </c>
      <c r="G315" s="462"/>
    </row>
    <row r="316" spans="1:7" s="437" customFormat="1" x14ac:dyDescent="0.25">
      <c r="A316" s="515" t="s">
        <v>1782</v>
      </c>
      <c r="B316" s="468" t="s">
        <v>1884</v>
      </c>
      <c r="C316" s="776" t="s">
        <v>821</v>
      </c>
      <c r="D316" s="285">
        <f t="shared" si="54"/>
        <v>512</v>
      </c>
      <c r="E316" s="285">
        <f t="shared" si="54"/>
        <v>697</v>
      </c>
      <c r="F316" s="285">
        <f t="shared" si="54"/>
        <v>697</v>
      </c>
      <c r="G316" s="462"/>
    </row>
    <row r="317" spans="1:7" s="437" customFormat="1" x14ac:dyDescent="0.25">
      <c r="A317" s="515" t="s">
        <v>1274</v>
      </c>
      <c r="B317" s="468" t="s">
        <v>1884</v>
      </c>
      <c r="C317" s="776" t="s">
        <v>1480</v>
      </c>
      <c r="D317" s="285">
        <f>'Функц. 2021-2023'!F299</f>
        <v>512</v>
      </c>
      <c r="E317" s="285">
        <f>'Функц. 2021-2023'!H299</f>
        <v>697</v>
      </c>
      <c r="F317" s="285">
        <f>'Функц. 2021-2023'!J299</f>
        <v>697</v>
      </c>
      <c r="G317" s="462"/>
    </row>
    <row r="318" spans="1:7" s="437" customFormat="1" x14ac:dyDescent="0.25">
      <c r="A318" s="527" t="s">
        <v>1161</v>
      </c>
      <c r="B318" s="468" t="s">
        <v>1765</v>
      </c>
      <c r="C318" s="776"/>
      <c r="D318" s="285">
        <f t="shared" ref="D318:F319" si="55">D319</f>
        <v>20196.999999999996</v>
      </c>
      <c r="E318" s="285">
        <f t="shared" si="55"/>
        <v>17511.900000000001</v>
      </c>
      <c r="F318" s="285">
        <f t="shared" si="55"/>
        <v>17511.900000000001</v>
      </c>
      <c r="G318" s="462"/>
    </row>
    <row r="319" spans="1:7" s="437" customFormat="1" ht="31.5" x14ac:dyDescent="0.25">
      <c r="A319" s="527" t="s">
        <v>2043</v>
      </c>
      <c r="B319" s="468" t="s">
        <v>2248</v>
      </c>
      <c r="C319" s="776"/>
      <c r="D319" s="285">
        <f t="shared" si="55"/>
        <v>20196.999999999996</v>
      </c>
      <c r="E319" s="285">
        <f t="shared" si="55"/>
        <v>17511.900000000001</v>
      </c>
      <c r="F319" s="285">
        <f t="shared" si="55"/>
        <v>17511.900000000001</v>
      </c>
      <c r="G319" s="462"/>
    </row>
    <row r="320" spans="1:7" s="437" customFormat="1" x14ac:dyDescent="0.25">
      <c r="A320" s="527" t="s">
        <v>1885</v>
      </c>
      <c r="B320" s="468" t="s">
        <v>1886</v>
      </c>
      <c r="C320" s="776"/>
      <c r="D320" s="285">
        <f>D321+D323+D325</f>
        <v>20196.999999999996</v>
      </c>
      <c r="E320" s="285">
        <f>E321+E323+E325</f>
        <v>17511.900000000001</v>
      </c>
      <c r="F320" s="285">
        <f>F321+F323+F325</f>
        <v>17511.900000000001</v>
      </c>
      <c r="G320" s="462"/>
    </row>
    <row r="321" spans="1:7" s="437" customFormat="1" ht="47.25" x14ac:dyDescent="0.25">
      <c r="A321" s="515" t="s">
        <v>1834</v>
      </c>
      <c r="B321" s="468" t="s">
        <v>1886</v>
      </c>
      <c r="C321" s="776" t="s">
        <v>1798</v>
      </c>
      <c r="D321" s="285">
        <f>D322</f>
        <v>17768.899999999998</v>
      </c>
      <c r="E321" s="285">
        <f>E322</f>
        <v>15082.9</v>
      </c>
      <c r="F321" s="285">
        <f>F322</f>
        <v>15082.9</v>
      </c>
      <c r="G321" s="462"/>
    </row>
    <row r="322" spans="1:7" s="437" customFormat="1" x14ac:dyDescent="0.25">
      <c r="A322" s="515" t="s">
        <v>1569</v>
      </c>
      <c r="B322" s="468" t="s">
        <v>1886</v>
      </c>
      <c r="C322" s="776" t="s">
        <v>1799</v>
      </c>
      <c r="D322" s="285">
        <f>'Функц. 2021-2023'!F324</f>
        <v>17768.899999999998</v>
      </c>
      <c r="E322" s="285">
        <f>'Функц. 2021-2023'!H324</f>
        <v>15082.9</v>
      </c>
      <c r="F322" s="285">
        <f>'Функц. 2021-2023'!J324</f>
        <v>15082.9</v>
      </c>
      <c r="G322" s="462"/>
    </row>
    <row r="323" spans="1:7" s="437" customFormat="1" x14ac:dyDescent="0.25">
      <c r="A323" s="515" t="s">
        <v>1782</v>
      </c>
      <c r="B323" s="468" t="s">
        <v>1886</v>
      </c>
      <c r="C323" s="776" t="s">
        <v>821</v>
      </c>
      <c r="D323" s="285">
        <f>D324</f>
        <v>2428</v>
      </c>
      <c r="E323" s="285">
        <f>E324</f>
        <v>2429</v>
      </c>
      <c r="F323" s="285">
        <f>F324</f>
        <v>2429</v>
      </c>
      <c r="G323" s="462"/>
    </row>
    <row r="324" spans="1:7" s="437" customFormat="1" x14ac:dyDescent="0.25">
      <c r="A324" s="515" t="s">
        <v>1274</v>
      </c>
      <c r="B324" s="468" t="s">
        <v>1886</v>
      </c>
      <c r="C324" s="776" t="s">
        <v>1480</v>
      </c>
      <c r="D324" s="285">
        <f>'Функц. 2021-2023'!F326</f>
        <v>2428</v>
      </c>
      <c r="E324" s="285">
        <f>'Функц. 2021-2023'!H326</f>
        <v>2429</v>
      </c>
      <c r="F324" s="285">
        <f>'Функц. 2021-2023'!J326</f>
        <v>2429</v>
      </c>
      <c r="G324" s="462"/>
    </row>
    <row r="325" spans="1:7" s="437" customFormat="1" x14ac:dyDescent="0.25">
      <c r="A325" s="520" t="s">
        <v>924</v>
      </c>
      <c r="B325" s="468" t="s">
        <v>1886</v>
      </c>
      <c r="C325" s="776" t="s">
        <v>2242</v>
      </c>
      <c r="D325" s="285">
        <f>D326</f>
        <v>0.1</v>
      </c>
      <c r="E325" s="285">
        <f>E326</f>
        <v>0</v>
      </c>
      <c r="F325" s="285">
        <f>F326</f>
        <v>0</v>
      </c>
      <c r="G325" s="462"/>
    </row>
    <row r="326" spans="1:7" s="437" customFormat="1" x14ac:dyDescent="0.25">
      <c r="A326" s="520" t="s">
        <v>1320</v>
      </c>
      <c r="B326" s="468" t="s">
        <v>1886</v>
      </c>
      <c r="C326" s="776" t="s">
        <v>2394</v>
      </c>
      <c r="D326" s="285">
        <f>'Функц. 2021-2023'!F328</f>
        <v>0.1</v>
      </c>
      <c r="E326" s="285">
        <f>'Функц. 2021-2023'!H328</f>
        <v>0</v>
      </c>
      <c r="F326" s="285">
        <f>'Функц. 2021-2023'!J328</f>
        <v>0</v>
      </c>
      <c r="G326" s="462"/>
    </row>
    <row r="327" spans="1:7" s="437" customFormat="1" x14ac:dyDescent="0.25">
      <c r="A327" s="795" t="s">
        <v>1891</v>
      </c>
      <c r="B327" s="501" t="s">
        <v>1777</v>
      </c>
      <c r="C327" s="771"/>
      <c r="D327" s="289">
        <f>D328+D336</f>
        <v>60141.3</v>
      </c>
      <c r="E327" s="289">
        <f>E328+E336</f>
        <v>29372</v>
      </c>
      <c r="F327" s="289">
        <f>F328+F336</f>
        <v>19469</v>
      </c>
      <c r="G327" s="462"/>
    </row>
    <row r="328" spans="1:7" x14ac:dyDescent="0.25">
      <c r="A328" s="525" t="s">
        <v>1890</v>
      </c>
      <c r="B328" s="468" t="s">
        <v>1825</v>
      </c>
      <c r="C328" s="761"/>
      <c r="D328" s="285">
        <f>D329</f>
        <v>11104.3</v>
      </c>
      <c r="E328" s="285">
        <f>E329</f>
        <v>9559</v>
      </c>
      <c r="F328" s="285">
        <f>F329</f>
        <v>9562</v>
      </c>
      <c r="G328" s="462"/>
    </row>
    <row r="329" spans="1:7" ht="47.25" x14ac:dyDescent="0.25">
      <c r="A329" s="525" t="s">
        <v>1887</v>
      </c>
      <c r="B329" s="468" t="s">
        <v>1824</v>
      </c>
      <c r="C329" s="761"/>
      <c r="D329" s="285">
        <f>D333+D330</f>
        <v>11104.3</v>
      </c>
      <c r="E329" s="285">
        <f>E333+E330</f>
        <v>9559</v>
      </c>
      <c r="F329" s="285">
        <f>F333+F330</f>
        <v>9562</v>
      </c>
      <c r="G329" s="462"/>
    </row>
    <row r="330" spans="1:7" s="514" customFormat="1" x14ac:dyDescent="0.25">
      <c r="A330" s="798" t="s">
        <v>2359</v>
      </c>
      <c r="B330" s="468" t="s">
        <v>2360</v>
      </c>
      <c r="C330" s="761"/>
      <c r="D330" s="285">
        <f t="shared" ref="D330:F331" si="56">D331</f>
        <v>1352.3999999999999</v>
      </c>
      <c r="E330" s="285">
        <f t="shared" si="56"/>
        <v>0</v>
      </c>
      <c r="F330" s="285">
        <f t="shared" si="56"/>
        <v>0</v>
      </c>
      <c r="G330" s="462"/>
    </row>
    <row r="331" spans="1:7" s="514" customFormat="1" x14ac:dyDescent="0.25">
      <c r="A331" s="520" t="s">
        <v>1755</v>
      </c>
      <c r="B331" s="468" t="s">
        <v>2360</v>
      </c>
      <c r="C331" s="761">
        <v>300</v>
      </c>
      <c r="D331" s="285">
        <f t="shared" si="56"/>
        <v>1352.3999999999999</v>
      </c>
      <c r="E331" s="285">
        <f t="shared" si="56"/>
        <v>0</v>
      </c>
      <c r="F331" s="285">
        <f t="shared" si="56"/>
        <v>0</v>
      </c>
      <c r="G331" s="462"/>
    </row>
    <row r="332" spans="1:7" s="514" customFormat="1" x14ac:dyDescent="0.25">
      <c r="A332" s="520" t="s">
        <v>444</v>
      </c>
      <c r="B332" s="468" t="s">
        <v>2360</v>
      </c>
      <c r="C332" s="761">
        <v>320</v>
      </c>
      <c r="D332" s="285">
        <f>'Функц. 2021-2023'!F930</f>
        <v>1352.3999999999999</v>
      </c>
      <c r="E332" s="285">
        <f>'Функц. 2021-2023'!H930</f>
        <v>0</v>
      </c>
      <c r="F332" s="285">
        <f>'Функц. 2021-2023'!J930</f>
        <v>0</v>
      </c>
      <c r="G332" s="462"/>
    </row>
    <row r="333" spans="1:7" x14ac:dyDescent="0.25">
      <c r="A333" s="525" t="s">
        <v>1888</v>
      </c>
      <c r="B333" s="468" t="s">
        <v>1889</v>
      </c>
      <c r="C333" s="761"/>
      <c r="D333" s="285">
        <f t="shared" ref="D333:F334" si="57">D334</f>
        <v>9751.9</v>
      </c>
      <c r="E333" s="285">
        <f t="shared" si="57"/>
        <v>9559</v>
      </c>
      <c r="F333" s="285">
        <f t="shared" si="57"/>
        <v>9562</v>
      </c>
      <c r="G333" s="462"/>
    </row>
    <row r="334" spans="1:7" x14ac:dyDescent="0.25">
      <c r="A334" s="515" t="s">
        <v>1755</v>
      </c>
      <c r="B334" s="468" t="s">
        <v>1889</v>
      </c>
      <c r="C334" s="761">
        <v>300</v>
      </c>
      <c r="D334" s="285">
        <f t="shared" si="57"/>
        <v>9751.9</v>
      </c>
      <c r="E334" s="285">
        <f t="shared" si="57"/>
        <v>9559</v>
      </c>
      <c r="F334" s="285">
        <f t="shared" si="57"/>
        <v>9562</v>
      </c>
      <c r="G334" s="462"/>
    </row>
    <row r="335" spans="1:7" x14ac:dyDescent="0.25">
      <c r="A335" s="515" t="s">
        <v>444</v>
      </c>
      <c r="B335" s="468" t="s">
        <v>1889</v>
      </c>
      <c r="C335" s="761">
        <v>320</v>
      </c>
      <c r="D335" s="285">
        <f>'Функц. 2021-2023'!F933</f>
        <v>9751.9</v>
      </c>
      <c r="E335" s="285">
        <f>'Функц. 2021-2023'!H933</f>
        <v>9559</v>
      </c>
      <c r="F335" s="285">
        <f>'Функц. 2021-2023'!J933</f>
        <v>9562</v>
      </c>
      <c r="G335" s="462"/>
    </row>
    <row r="336" spans="1:7" ht="31.5" x14ac:dyDescent="0.25">
      <c r="A336" s="525" t="s">
        <v>1892</v>
      </c>
      <c r="B336" s="468" t="s">
        <v>1828</v>
      </c>
      <c r="C336" s="778"/>
      <c r="D336" s="285">
        <f>D338</f>
        <v>49037</v>
      </c>
      <c r="E336" s="285">
        <f>E338</f>
        <v>19813</v>
      </c>
      <c r="F336" s="285">
        <f>F338</f>
        <v>9907</v>
      </c>
      <c r="G336" s="462"/>
    </row>
    <row r="337" spans="1:7" ht="47.25" x14ac:dyDescent="0.25">
      <c r="A337" s="549" t="s">
        <v>2322</v>
      </c>
      <c r="B337" s="468" t="s">
        <v>1827</v>
      </c>
      <c r="C337" s="761"/>
      <c r="D337" s="285">
        <f>D338</f>
        <v>49037</v>
      </c>
      <c r="E337" s="285">
        <f>E338</f>
        <v>19813</v>
      </c>
      <c r="F337" s="285">
        <f>F338</f>
        <v>9907</v>
      </c>
      <c r="G337" s="462"/>
    </row>
    <row r="338" spans="1:7" ht="47.25" x14ac:dyDescent="0.25">
      <c r="A338" s="525" t="s">
        <v>1893</v>
      </c>
      <c r="B338" s="468" t="s">
        <v>1826</v>
      </c>
      <c r="C338" s="761"/>
      <c r="D338" s="285">
        <f t="shared" ref="D338:F339" si="58">D339</f>
        <v>49037</v>
      </c>
      <c r="E338" s="285">
        <f t="shared" si="58"/>
        <v>19813</v>
      </c>
      <c r="F338" s="285">
        <f t="shared" si="58"/>
        <v>9907</v>
      </c>
      <c r="G338" s="462"/>
    </row>
    <row r="339" spans="1:7" x14ac:dyDescent="0.25">
      <c r="A339" s="799" t="s">
        <v>418</v>
      </c>
      <c r="B339" s="817" t="s">
        <v>1826</v>
      </c>
      <c r="C339" s="761">
        <v>400</v>
      </c>
      <c r="D339" s="285">
        <f t="shared" si="58"/>
        <v>49037</v>
      </c>
      <c r="E339" s="285">
        <f t="shared" si="58"/>
        <v>19813</v>
      </c>
      <c r="F339" s="285">
        <f t="shared" si="58"/>
        <v>9907</v>
      </c>
      <c r="G339" s="462"/>
    </row>
    <row r="340" spans="1:7" x14ac:dyDescent="0.25">
      <c r="A340" s="515" t="s">
        <v>232</v>
      </c>
      <c r="B340" s="817" t="s">
        <v>1826</v>
      </c>
      <c r="C340" s="761">
        <v>410</v>
      </c>
      <c r="D340" s="285">
        <f>'Функц. 2021-2023'!F938</f>
        <v>49037</v>
      </c>
      <c r="E340" s="285">
        <f>'Функц. 2021-2023'!H938</f>
        <v>19813</v>
      </c>
      <c r="F340" s="285">
        <f>'Функц. 2021-2023'!J938</f>
        <v>9907</v>
      </c>
      <c r="G340" s="462"/>
    </row>
    <row r="341" spans="1:7" s="437" customFormat="1" ht="23.45" customHeight="1" x14ac:dyDescent="0.25">
      <c r="A341" s="800" t="s">
        <v>1949</v>
      </c>
      <c r="B341" s="501" t="s">
        <v>1771</v>
      </c>
      <c r="C341" s="761"/>
      <c r="D341" s="289">
        <f>D342+D361+D352</f>
        <v>1724697.9000000001</v>
      </c>
      <c r="E341" s="289">
        <f>E342+E361+E352</f>
        <v>661408.29999999993</v>
      </c>
      <c r="F341" s="289">
        <f>F342+F361+F352</f>
        <v>672</v>
      </c>
      <c r="G341" s="462"/>
    </row>
    <row r="342" spans="1:7" s="437" customFormat="1" x14ac:dyDescent="0.25">
      <c r="A342" s="521" t="s">
        <v>2307</v>
      </c>
      <c r="B342" s="468" t="s">
        <v>2308</v>
      </c>
      <c r="C342" s="761"/>
      <c r="D342" s="285">
        <f>D347+D343</f>
        <v>1712885.9000000001</v>
      </c>
      <c r="E342" s="285">
        <f t="shared" ref="E342:F342" si="59">E347+E343</f>
        <v>651397.6</v>
      </c>
      <c r="F342" s="285">
        <f t="shared" si="59"/>
        <v>10</v>
      </c>
      <c r="G342" s="462"/>
    </row>
    <row r="343" spans="1:7" s="437" customFormat="1" ht="47.25" x14ac:dyDescent="0.25">
      <c r="A343" s="622" t="s">
        <v>2430</v>
      </c>
      <c r="B343" s="443" t="s">
        <v>2432</v>
      </c>
      <c r="C343" s="238"/>
      <c r="D343" s="285">
        <f>D344</f>
        <v>10</v>
      </c>
      <c r="E343" s="285">
        <f t="shared" ref="E343:F343" si="60">E344</f>
        <v>0</v>
      </c>
      <c r="F343" s="285">
        <f t="shared" si="60"/>
        <v>10</v>
      </c>
      <c r="G343" s="462"/>
    </row>
    <row r="344" spans="1:7" s="437" customFormat="1" ht="31.5" x14ac:dyDescent="0.25">
      <c r="A344" s="622" t="s">
        <v>2431</v>
      </c>
      <c r="B344" s="443" t="s">
        <v>2433</v>
      </c>
      <c r="C344" s="238"/>
      <c r="D344" s="285">
        <f>D345</f>
        <v>10</v>
      </c>
      <c r="E344" s="285">
        <f t="shared" ref="E344:F344" si="61">E345</f>
        <v>0</v>
      </c>
      <c r="F344" s="285">
        <f t="shared" si="61"/>
        <v>10</v>
      </c>
      <c r="G344" s="462"/>
    </row>
    <row r="345" spans="1:7" s="437" customFormat="1" x14ac:dyDescent="0.25">
      <c r="A345" s="520" t="s">
        <v>1782</v>
      </c>
      <c r="B345" s="443" t="s">
        <v>2433</v>
      </c>
      <c r="C345" s="238">
        <v>200</v>
      </c>
      <c r="D345" s="285">
        <f>D346</f>
        <v>10</v>
      </c>
      <c r="E345" s="285">
        <f t="shared" ref="E345:F345" si="62">E346</f>
        <v>0</v>
      </c>
      <c r="F345" s="285">
        <f t="shared" si="62"/>
        <v>10</v>
      </c>
      <c r="G345" s="462"/>
    </row>
    <row r="346" spans="1:7" s="437" customFormat="1" x14ac:dyDescent="0.25">
      <c r="A346" s="520" t="s">
        <v>1274</v>
      </c>
      <c r="B346" s="443" t="s">
        <v>2433</v>
      </c>
      <c r="C346" s="238">
        <v>240</v>
      </c>
      <c r="D346" s="285">
        <f>'Функц. 2021-2023'!F648</f>
        <v>10</v>
      </c>
      <c r="E346" s="285">
        <f>'Функц. 2021-2023'!H648</f>
        <v>0</v>
      </c>
      <c r="F346" s="285">
        <f>'Функц. 2021-2023'!J648</f>
        <v>10</v>
      </c>
      <c r="G346" s="462"/>
    </row>
    <row r="347" spans="1:7" s="437" customFormat="1" x14ac:dyDescent="0.25">
      <c r="A347" s="522" t="s">
        <v>2309</v>
      </c>
      <c r="B347" s="468" t="s">
        <v>2310</v>
      </c>
      <c r="C347" s="776"/>
      <c r="D347" s="285">
        <f>D348</f>
        <v>1712875.9000000001</v>
      </c>
      <c r="E347" s="285">
        <f t="shared" ref="E347:F350" si="63">E348</f>
        <v>651397.6</v>
      </c>
      <c r="F347" s="285">
        <f t="shared" si="63"/>
        <v>0</v>
      </c>
      <c r="G347" s="462"/>
    </row>
    <row r="348" spans="1:7" s="437" customFormat="1" x14ac:dyDescent="0.25">
      <c r="A348" s="522" t="s">
        <v>2311</v>
      </c>
      <c r="B348" s="468" t="s">
        <v>2312</v>
      </c>
      <c r="C348" s="776"/>
      <c r="D348" s="285">
        <f>D349</f>
        <v>1712875.9000000001</v>
      </c>
      <c r="E348" s="285">
        <f t="shared" si="63"/>
        <v>651397.6</v>
      </c>
      <c r="F348" s="285">
        <f t="shared" si="63"/>
        <v>0</v>
      </c>
      <c r="G348" s="462"/>
    </row>
    <row r="349" spans="1:7" s="437" customFormat="1" ht="31.5" x14ac:dyDescent="0.25">
      <c r="A349" s="522" t="s">
        <v>2313</v>
      </c>
      <c r="B349" s="468" t="s">
        <v>2314</v>
      </c>
      <c r="C349" s="776"/>
      <c r="D349" s="285">
        <f>D350</f>
        <v>1712875.9000000001</v>
      </c>
      <c r="E349" s="285">
        <f t="shared" si="63"/>
        <v>651397.6</v>
      </c>
      <c r="F349" s="285">
        <f t="shared" si="63"/>
        <v>0</v>
      </c>
      <c r="G349" s="462"/>
    </row>
    <row r="350" spans="1:7" s="437" customFormat="1" x14ac:dyDescent="0.25">
      <c r="A350" s="531" t="s">
        <v>1837</v>
      </c>
      <c r="B350" s="468" t="s">
        <v>2314</v>
      </c>
      <c r="C350" s="776" t="s">
        <v>1838</v>
      </c>
      <c r="D350" s="285">
        <f>D351</f>
        <v>1712875.9000000001</v>
      </c>
      <c r="E350" s="285">
        <f t="shared" si="63"/>
        <v>651397.6</v>
      </c>
      <c r="F350" s="285">
        <f t="shared" si="63"/>
        <v>0</v>
      </c>
      <c r="G350" s="462"/>
    </row>
    <row r="351" spans="1:7" s="437" customFormat="1" x14ac:dyDescent="0.25">
      <c r="A351" s="520" t="s">
        <v>232</v>
      </c>
      <c r="B351" s="468" t="s">
        <v>2314</v>
      </c>
      <c r="C351" s="776" t="s">
        <v>1839</v>
      </c>
      <c r="D351" s="285">
        <f>'Функц. 2021-2023'!F653</f>
        <v>1712875.9000000001</v>
      </c>
      <c r="E351" s="285">
        <f>'Функц. 2021-2023'!H653</f>
        <v>651397.6</v>
      </c>
      <c r="F351" s="285">
        <f>'Функц. 2021-2023'!J653</f>
        <v>0</v>
      </c>
      <c r="G351" s="462"/>
    </row>
    <row r="352" spans="1:7" s="437" customFormat="1" x14ac:dyDescent="0.25">
      <c r="A352" s="543" t="s">
        <v>2401</v>
      </c>
      <c r="B352" s="468" t="s">
        <v>2402</v>
      </c>
      <c r="C352" s="779"/>
      <c r="D352" s="285">
        <f t="shared" ref="D352:F359" si="64">D353</f>
        <v>11150</v>
      </c>
      <c r="E352" s="285">
        <f t="shared" si="64"/>
        <v>9348.7000000000007</v>
      </c>
      <c r="F352" s="285">
        <f t="shared" si="64"/>
        <v>0</v>
      </c>
      <c r="G352" s="462"/>
    </row>
    <row r="353" spans="1:7" s="437" customFormat="1" ht="31.5" x14ac:dyDescent="0.25">
      <c r="A353" s="543" t="s">
        <v>2414</v>
      </c>
      <c r="B353" s="468" t="s">
        <v>2403</v>
      </c>
      <c r="C353" s="779"/>
      <c r="D353" s="285">
        <f>D357++D354</f>
        <v>11150</v>
      </c>
      <c r="E353" s="285">
        <f t="shared" ref="E353:F353" si="65">E357++E354</f>
        <v>9348.7000000000007</v>
      </c>
      <c r="F353" s="285">
        <f t="shared" si="65"/>
        <v>0</v>
      </c>
      <c r="G353" s="462"/>
    </row>
    <row r="354" spans="1:7" s="437" customFormat="1" ht="47.25" x14ac:dyDescent="0.25">
      <c r="A354" s="520" t="s">
        <v>2485</v>
      </c>
      <c r="B354" s="443" t="s">
        <v>2486</v>
      </c>
      <c r="C354" s="591"/>
      <c r="D354" s="285">
        <f>D355</f>
        <v>150</v>
      </c>
      <c r="E354" s="285">
        <f t="shared" ref="E354:F354" si="66">E355</f>
        <v>0</v>
      </c>
      <c r="F354" s="285">
        <f t="shared" si="66"/>
        <v>0</v>
      </c>
      <c r="G354" s="462"/>
    </row>
    <row r="355" spans="1:7" s="437" customFormat="1" x14ac:dyDescent="0.25">
      <c r="A355" s="520" t="s">
        <v>924</v>
      </c>
      <c r="B355" s="443" t="s">
        <v>2486</v>
      </c>
      <c r="C355" s="580" t="s">
        <v>821</v>
      </c>
      <c r="D355" s="285">
        <f>D356</f>
        <v>150</v>
      </c>
      <c r="E355" s="285">
        <f>'Функц. 2021-2023'!H473</f>
        <v>0</v>
      </c>
      <c r="F355" s="285">
        <f>'Функц. 2021-2023'!J473</f>
        <v>0</v>
      </c>
      <c r="G355" s="462"/>
    </row>
    <row r="356" spans="1:7" s="437" customFormat="1" ht="31.5" x14ac:dyDescent="0.25">
      <c r="A356" s="520" t="s">
        <v>1783</v>
      </c>
      <c r="B356" s="443" t="s">
        <v>2486</v>
      </c>
      <c r="C356" s="580" t="s">
        <v>1480</v>
      </c>
      <c r="D356" s="285">
        <f>'Функц. 2021-2023'!F473</f>
        <v>150</v>
      </c>
      <c r="E356" s="285">
        <f>'Функц. 2021-2023'!H473</f>
        <v>0</v>
      </c>
      <c r="F356" s="285">
        <f>'Функц. 2021-2023'!J473</f>
        <v>0</v>
      </c>
      <c r="G356" s="462"/>
    </row>
    <row r="357" spans="1:7" s="437" customFormat="1" ht="31.5" x14ac:dyDescent="0.25">
      <c r="A357" s="543" t="s">
        <v>2415</v>
      </c>
      <c r="B357" s="468" t="s">
        <v>2404</v>
      </c>
      <c r="C357" s="779"/>
      <c r="D357" s="285">
        <f t="shared" si="64"/>
        <v>11000</v>
      </c>
      <c r="E357" s="285">
        <f t="shared" si="64"/>
        <v>9348.7000000000007</v>
      </c>
      <c r="F357" s="285">
        <f t="shared" si="64"/>
        <v>0</v>
      </c>
      <c r="G357" s="462"/>
    </row>
    <row r="358" spans="1:7" s="437" customFormat="1" ht="34.9" customHeight="1" x14ac:dyDescent="0.25">
      <c r="A358" s="742" t="s">
        <v>2416</v>
      </c>
      <c r="B358" s="468" t="s">
        <v>2405</v>
      </c>
      <c r="C358" s="779"/>
      <c r="D358" s="285">
        <f t="shared" si="64"/>
        <v>11000</v>
      </c>
      <c r="E358" s="285">
        <f t="shared" si="64"/>
        <v>9348.7000000000007</v>
      </c>
      <c r="F358" s="285">
        <f t="shared" si="64"/>
        <v>0</v>
      </c>
      <c r="G358" s="462"/>
    </row>
    <row r="359" spans="1:7" s="437" customFormat="1" x14ac:dyDescent="0.25">
      <c r="A359" s="515" t="s">
        <v>1782</v>
      </c>
      <c r="B359" s="468" t="s">
        <v>2405</v>
      </c>
      <c r="C359" s="776" t="s">
        <v>821</v>
      </c>
      <c r="D359" s="285">
        <f t="shared" si="64"/>
        <v>11000</v>
      </c>
      <c r="E359" s="285">
        <f t="shared" si="64"/>
        <v>9348.7000000000007</v>
      </c>
      <c r="F359" s="285">
        <f t="shared" si="64"/>
        <v>0</v>
      </c>
      <c r="G359" s="462"/>
    </row>
    <row r="360" spans="1:7" s="437" customFormat="1" x14ac:dyDescent="0.25">
      <c r="A360" s="515" t="s">
        <v>1274</v>
      </c>
      <c r="B360" s="468" t="s">
        <v>2405</v>
      </c>
      <c r="C360" s="776" t="s">
        <v>1480</v>
      </c>
      <c r="D360" s="285">
        <f>'Функц. 2021-2023'!F477</f>
        <v>11000</v>
      </c>
      <c r="E360" s="285">
        <f>'Функц. 2021-2023'!H477</f>
        <v>9348.7000000000007</v>
      </c>
      <c r="F360" s="285">
        <f>'Функц. 2021-2023'!J477</f>
        <v>0</v>
      </c>
      <c r="G360" s="462"/>
    </row>
    <row r="361" spans="1:7" x14ac:dyDescent="0.25">
      <c r="A361" s="515" t="s">
        <v>1161</v>
      </c>
      <c r="B361" s="468" t="s">
        <v>2170</v>
      </c>
      <c r="C361" s="761"/>
      <c r="D361" s="285">
        <f t="shared" ref="D361:F362" si="67">D362</f>
        <v>662</v>
      </c>
      <c r="E361" s="285">
        <f t="shared" si="67"/>
        <v>662</v>
      </c>
      <c r="F361" s="285">
        <f t="shared" si="67"/>
        <v>662</v>
      </c>
      <c r="G361" s="462"/>
    </row>
    <row r="362" spans="1:7" ht="31.5" x14ac:dyDescent="0.25">
      <c r="A362" s="515" t="s">
        <v>2171</v>
      </c>
      <c r="B362" s="468" t="s">
        <v>2172</v>
      </c>
      <c r="C362" s="761"/>
      <c r="D362" s="285">
        <f t="shared" si="67"/>
        <v>662</v>
      </c>
      <c r="E362" s="285">
        <f t="shared" si="67"/>
        <v>662</v>
      </c>
      <c r="F362" s="285">
        <f t="shared" si="67"/>
        <v>662</v>
      </c>
      <c r="G362" s="462"/>
    </row>
    <row r="363" spans="1:7" ht="31.5" x14ac:dyDescent="0.25">
      <c r="A363" s="515" t="s">
        <v>2173</v>
      </c>
      <c r="B363" s="468" t="s">
        <v>2174</v>
      </c>
      <c r="C363" s="761"/>
      <c r="D363" s="285">
        <f>D364+D366</f>
        <v>662</v>
      </c>
      <c r="E363" s="285">
        <f>E364+E366</f>
        <v>662</v>
      </c>
      <c r="F363" s="285">
        <f>F364+F366</f>
        <v>662</v>
      </c>
      <c r="G363" s="462"/>
    </row>
    <row r="364" spans="1:7" ht="47.25" x14ac:dyDescent="0.25">
      <c r="A364" s="515" t="s">
        <v>922</v>
      </c>
      <c r="B364" s="468" t="s">
        <v>2174</v>
      </c>
      <c r="C364" s="761">
        <v>100</v>
      </c>
      <c r="D364" s="285">
        <f>D365</f>
        <v>609.1</v>
      </c>
      <c r="E364" s="285">
        <f>E365</f>
        <v>609.1</v>
      </c>
      <c r="F364" s="285">
        <f>F365</f>
        <v>609.1</v>
      </c>
      <c r="G364" s="462"/>
    </row>
    <row r="365" spans="1:7" x14ac:dyDescent="0.25">
      <c r="A365" s="515" t="s">
        <v>1748</v>
      </c>
      <c r="B365" s="468" t="s">
        <v>2174</v>
      </c>
      <c r="C365" s="761">
        <v>120</v>
      </c>
      <c r="D365" s="285">
        <f>'Функц. 2021-2023'!F597</f>
        <v>609.1</v>
      </c>
      <c r="E365" s="285">
        <f>'Функц. 2021-2023'!H597</f>
        <v>609.1</v>
      </c>
      <c r="F365" s="285">
        <f>'Функц. 2021-2023'!J597</f>
        <v>609.1</v>
      </c>
      <c r="G365" s="462"/>
    </row>
    <row r="366" spans="1:7" x14ac:dyDescent="0.25">
      <c r="A366" s="515" t="s">
        <v>1782</v>
      </c>
      <c r="B366" s="468" t="s">
        <v>2174</v>
      </c>
      <c r="C366" s="761">
        <v>200</v>
      </c>
      <c r="D366" s="285">
        <f>D367</f>
        <v>52.9</v>
      </c>
      <c r="E366" s="285">
        <f>E367</f>
        <v>52.9</v>
      </c>
      <c r="F366" s="285">
        <f>F367</f>
        <v>52.9</v>
      </c>
      <c r="G366" s="462"/>
    </row>
    <row r="367" spans="1:7" x14ac:dyDescent="0.25">
      <c r="A367" s="515" t="s">
        <v>1274</v>
      </c>
      <c r="B367" s="468" t="s">
        <v>2174</v>
      </c>
      <c r="C367" s="761">
        <v>240</v>
      </c>
      <c r="D367" s="285">
        <f>'Функц. 2021-2023'!F599</f>
        <v>52.9</v>
      </c>
      <c r="E367" s="285">
        <f>'Функц. 2021-2023'!H599</f>
        <v>52.9</v>
      </c>
      <c r="F367" s="285">
        <f>'Функц. 2021-2023'!J599</f>
        <v>52.9</v>
      </c>
      <c r="G367" s="462"/>
    </row>
    <row r="368" spans="1:7" s="437" customFormat="1" x14ac:dyDescent="0.25">
      <c r="A368" s="559" t="s">
        <v>2476</v>
      </c>
      <c r="B368" s="271" t="s">
        <v>2483</v>
      </c>
      <c r="C368" s="589"/>
      <c r="D368" s="289">
        <f>D369</f>
        <v>300</v>
      </c>
      <c r="E368" s="289">
        <f t="shared" ref="E368:F371" si="68">E369</f>
        <v>0</v>
      </c>
      <c r="F368" s="289">
        <f t="shared" si="68"/>
        <v>0</v>
      </c>
      <c r="G368" s="843"/>
    </row>
    <row r="369" spans="1:7" s="514" customFormat="1" x14ac:dyDescent="0.25">
      <c r="A369" s="520" t="s">
        <v>2481</v>
      </c>
      <c r="B369" s="249" t="s">
        <v>2482</v>
      </c>
      <c r="C369" s="238"/>
      <c r="D369" s="285">
        <f>D370</f>
        <v>300</v>
      </c>
      <c r="E369" s="285">
        <f t="shared" si="68"/>
        <v>0</v>
      </c>
      <c r="F369" s="285">
        <f t="shared" si="68"/>
        <v>0</v>
      </c>
      <c r="G369" s="462"/>
    </row>
    <row r="370" spans="1:7" s="514" customFormat="1" ht="31.5" x14ac:dyDescent="0.25">
      <c r="A370" s="520" t="s">
        <v>2477</v>
      </c>
      <c r="B370" s="249" t="s">
        <v>2480</v>
      </c>
      <c r="C370" s="238"/>
      <c r="D370" s="285">
        <f>D371</f>
        <v>300</v>
      </c>
      <c r="E370" s="285">
        <f t="shared" si="68"/>
        <v>0</v>
      </c>
      <c r="F370" s="285">
        <f t="shared" si="68"/>
        <v>0</v>
      </c>
      <c r="G370" s="462"/>
    </row>
    <row r="371" spans="1:7" s="514" customFormat="1" x14ac:dyDescent="0.25">
      <c r="A371" s="520" t="s">
        <v>2478</v>
      </c>
      <c r="B371" s="249" t="s">
        <v>2479</v>
      </c>
      <c r="C371" s="238"/>
      <c r="D371" s="285">
        <f>D372</f>
        <v>300</v>
      </c>
      <c r="E371" s="285">
        <f t="shared" si="68"/>
        <v>0</v>
      </c>
      <c r="F371" s="285">
        <f t="shared" si="68"/>
        <v>0</v>
      </c>
      <c r="G371" s="462"/>
    </row>
    <row r="372" spans="1:7" s="514" customFormat="1" x14ac:dyDescent="0.25">
      <c r="A372" s="842" t="s">
        <v>924</v>
      </c>
      <c r="B372" s="249" t="s">
        <v>2479</v>
      </c>
      <c r="C372" s="238">
        <v>800</v>
      </c>
      <c r="D372" s="285">
        <f>D373</f>
        <v>300</v>
      </c>
      <c r="E372" s="285">
        <f t="shared" ref="E372:F372" si="69">E373</f>
        <v>0</v>
      </c>
      <c r="F372" s="285">
        <f t="shared" si="69"/>
        <v>0</v>
      </c>
      <c r="G372" s="462"/>
    </row>
    <row r="373" spans="1:7" s="514" customFormat="1" ht="31.5" x14ac:dyDescent="0.25">
      <c r="A373" s="623" t="s">
        <v>1783</v>
      </c>
      <c r="B373" s="249" t="s">
        <v>2479</v>
      </c>
      <c r="C373" s="238">
        <v>810</v>
      </c>
      <c r="D373" s="285">
        <f>'Функц. 2021-2023'!F448</f>
        <v>300</v>
      </c>
      <c r="E373" s="285">
        <f>'Функц. 2021-2023'!H448</f>
        <v>0</v>
      </c>
      <c r="F373" s="285">
        <f>'Функц. 2021-2023'!J448</f>
        <v>0</v>
      </c>
      <c r="G373" s="462"/>
    </row>
    <row r="374" spans="1:7" s="437" customFormat="1" x14ac:dyDescent="0.25">
      <c r="A374" s="795" t="s">
        <v>1899</v>
      </c>
      <c r="B374" s="818" t="s">
        <v>1772</v>
      </c>
      <c r="C374" s="769"/>
      <c r="D374" s="289">
        <f>D375+D414+D409</f>
        <v>242180.3</v>
      </c>
      <c r="E374" s="289">
        <f>E375+E414+E409</f>
        <v>212895.5</v>
      </c>
      <c r="F374" s="289">
        <f>F375+F414+F409</f>
        <v>205800.1</v>
      </c>
      <c r="G374" s="462"/>
    </row>
    <row r="375" spans="1:7" x14ac:dyDescent="0.25">
      <c r="A375" s="525" t="s">
        <v>1894</v>
      </c>
      <c r="B375" s="468" t="s">
        <v>1773</v>
      </c>
      <c r="C375" s="761"/>
      <c r="D375" s="285">
        <f>D376+D388+D394</f>
        <v>56797.8</v>
      </c>
      <c r="E375" s="285">
        <f>E376+E388+E394</f>
        <v>36512.399999999994</v>
      </c>
      <c r="F375" s="285">
        <f>F376+F388+F394</f>
        <v>39417</v>
      </c>
      <c r="G375" s="462"/>
    </row>
    <row r="376" spans="1:7" ht="31.5" x14ac:dyDescent="0.25">
      <c r="A376" s="527" t="s">
        <v>1895</v>
      </c>
      <c r="B376" s="468" t="s">
        <v>1896</v>
      </c>
      <c r="C376" s="761"/>
      <c r="D376" s="285">
        <f>D377+D385</f>
        <v>39536.700000000004</v>
      </c>
      <c r="E376" s="285">
        <f>E377+E385</f>
        <v>19354.099999999999</v>
      </c>
      <c r="F376" s="285">
        <f>F377+F385</f>
        <v>22258.7</v>
      </c>
      <c r="G376" s="462"/>
    </row>
    <row r="377" spans="1:7" ht="31.5" x14ac:dyDescent="0.25">
      <c r="A377" s="526" t="s">
        <v>1897</v>
      </c>
      <c r="B377" s="468" t="s">
        <v>1898</v>
      </c>
      <c r="C377" s="763"/>
      <c r="D377" s="285">
        <f>D378+D380+D383</f>
        <v>31519.600000000002</v>
      </c>
      <c r="E377" s="285">
        <f>E378+E380+E383</f>
        <v>9352</v>
      </c>
      <c r="F377" s="285">
        <f>F378+F380+F383</f>
        <v>12256.6</v>
      </c>
      <c r="G377" s="462"/>
    </row>
    <row r="378" spans="1:7" x14ac:dyDescent="0.25">
      <c r="A378" s="515" t="s">
        <v>1782</v>
      </c>
      <c r="B378" s="468" t="s">
        <v>1898</v>
      </c>
      <c r="C378" s="761">
        <v>200</v>
      </c>
      <c r="D378" s="285">
        <f>D379</f>
        <v>23687.200000000001</v>
      </c>
      <c r="E378" s="285">
        <f>E379</f>
        <v>2060</v>
      </c>
      <c r="F378" s="285">
        <f>F379</f>
        <v>2260</v>
      </c>
      <c r="G378" s="462"/>
    </row>
    <row r="379" spans="1:7" x14ac:dyDescent="0.25">
      <c r="A379" s="515" t="s">
        <v>1274</v>
      </c>
      <c r="B379" s="468" t="s">
        <v>1898</v>
      </c>
      <c r="C379" s="761">
        <v>240</v>
      </c>
      <c r="D379" s="285">
        <f>'Функц. 2021-2023'!F182</f>
        <v>23687.200000000001</v>
      </c>
      <c r="E379" s="285">
        <f>'Функц. 2021-2023'!H182</f>
        <v>2060</v>
      </c>
      <c r="F379" s="285">
        <f>'Функц. 2021-2023'!J182</f>
        <v>2260</v>
      </c>
      <c r="G379" s="462"/>
    </row>
    <row r="380" spans="1:7" s="514" customFormat="1" x14ac:dyDescent="0.25">
      <c r="A380" s="520" t="s">
        <v>1755</v>
      </c>
      <c r="B380" s="468" t="s">
        <v>1898</v>
      </c>
      <c r="C380" s="761">
        <v>300</v>
      </c>
      <c r="D380" s="285">
        <f>D381+D382</f>
        <v>2832.4</v>
      </c>
      <c r="E380" s="285">
        <f>E381+E382</f>
        <v>2292</v>
      </c>
      <c r="F380" s="285">
        <f>F381+F382</f>
        <v>2292</v>
      </c>
      <c r="G380" s="462"/>
    </row>
    <row r="381" spans="1:7" s="514" customFormat="1" x14ac:dyDescent="0.25">
      <c r="A381" s="520" t="s">
        <v>1805</v>
      </c>
      <c r="B381" s="468" t="s">
        <v>1898</v>
      </c>
      <c r="C381" s="761">
        <v>310</v>
      </c>
      <c r="D381" s="285">
        <f>'Функц. 2021-2023'!F184</f>
        <v>2652.4</v>
      </c>
      <c r="E381" s="285">
        <f>'Функц. 2021-2023'!H184</f>
        <v>2112</v>
      </c>
      <c r="F381" s="285">
        <f>'Функц. 2021-2023'!J184</f>
        <v>2112</v>
      </c>
      <c r="G381" s="462"/>
    </row>
    <row r="382" spans="1:7" s="514" customFormat="1" x14ac:dyDescent="0.25">
      <c r="A382" s="520" t="s">
        <v>868</v>
      </c>
      <c r="B382" s="468" t="s">
        <v>1898</v>
      </c>
      <c r="C382" s="761">
        <v>320</v>
      </c>
      <c r="D382" s="285">
        <f>'Функц. 2021-2023'!F185</f>
        <v>180</v>
      </c>
      <c r="E382" s="285">
        <f>'Функц. 2021-2023'!H185</f>
        <v>180</v>
      </c>
      <c r="F382" s="285">
        <f>'Функц. 2021-2023'!J185</f>
        <v>180</v>
      </c>
      <c r="G382" s="462"/>
    </row>
    <row r="383" spans="1:7" s="514" customFormat="1" ht="31.5" x14ac:dyDescent="0.25">
      <c r="A383" s="524" t="s">
        <v>1343</v>
      </c>
      <c r="B383" s="468" t="s">
        <v>1898</v>
      </c>
      <c r="C383" s="761">
        <v>600</v>
      </c>
      <c r="D383" s="285">
        <f>D384</f>
        <v>5000</v>
      </c>
      <c r="E383" s="285">
        <f>E384</f>
        <v>5000</v>
      </c>
      <c r="F383" s="285">
        <f>F384</f>
        <v>7704.6</v>
      </c>
      <c r="G383" s="462"/>
    </row>
    <row r="384" spans="1:7" s="514" customFormat="1" x14ac:dyDescent="0.25">
      <c r="A384" s="524" t="s">
        <v>1344</v>
      </c>
      <c r="B384" s="468" t="s">
        <v>1898</v>
      </c>
      <c r="C384" s="761">
        <v>610</v>
      </c>
      <c r="D384" s="285">
        <f>'Функц. 2021-2023'!F187</f>
        <v>5000</v>
      </c>
      <c r="E384" s="285">
        <f>'Функц. 2021-2023'!H187</f>
        <v>5000</v>
      </c>
      <c r="F384" s="285">
        <f>'Функц. 2021-2023'!J187</f>
        <v>7704.6</v>
      </c>
      <c r="G384" s="462"/>
    </row>
    <row r="385" spans="1:7" s="514" customFormat="1" x14ac:dyDescent="0.25">
      <c r="A385" s="532" t="s">
        <v>2396</v>
      </c>
      <c r="B385" s="468" t="s">
        <v>2395</v>
      </c>
      <c r="C385" s="761"/>
      <c r="D385" s="285">
        <f t="shared" ref="D385:F386" si="70">D386</f>
        <v>8017.1</v>
      </c>
      <c r="E385" s="285">
        <f t="shared" si="70"/>
        <v>10002.1</v>
      </c>
      <c r="F385" s="285">
        <f t="shared" si="70"/>
        <v>10002.1</v>
      </c>
      <c r="G385" s="462"/>
    </row>
    <row r="386" spans="1:7" x14ac:dyDescent="0.25">
      <c r="A386" s="515" t="s">
        <v>1782</v>
      </c>
      <c r="B386" s="468" t="s">
        <v>2395</v>
      </c>
      <c r="C386" s="780">
        <v>200</v>
      </c>
      <c r="D386" s="285">
        <f t="shared" si="70"/>
        <v>8017.1</v>
      </c>
      <c r="E386" s="285">
        <f t="shared" si="70"/>
        <v>10002.1</v>
      </c>
      <c r="F386" s="285">
        <f t="shared" si="70"/>
        <v>10002.1</v>
      </c>
      <c r="G386" s="462"/>
    </row>
    <row r="387" spans="1:7" x14ac:dyDescent="0.25">
      <c r="A387" s="515" t="s">
        <v>1274</v>
      </c>
      <c r="B387" s="468" t="s">
        <v>2395</v>
      </c>
      <c r="C387" s="780">
        <v>240</v>
      </c>
      <c r="D387" s="285">
        <f>'Функц. 2021-2023'!F456</f>
        <v>8017.1</v>
      </c>
      <c r="E387" s="285">
        <f>'Функц. 2021-2023'!H456</f>
        <v>10002.1</v>
      </c>
      <c r="F387" s="285">
        <f>'Функц. 2021-2023'!J456</f>
        <v>10002.1</v>
      </c>
      <c r="G387" s="462"/>
    </row>
    <row r="388" spans="1:7" ht="31.5" x14ac:dyDescent="0.25">
      <c r="A388" s="527" t="s">
        <v>1900</v>
      </c>
      <c r="B388" s="468" t="s">
        <v>1901</v>
      </c>
      <c r="C388" s="773"/>
      <c r="D388" s="285">
        <f>D389</f>
        <v>492</v>
      </c>
      <c r="E388" s="285">
        <f>E389</f>
        <v>492</v>
      </c>
      <c r="F388" s="285">
        <f>F389</f>
        <v>492</v>
      </c>
      <c r="G388" s="462"/>
    </row>
    <row r="389" spans="1:7" ht="31.5" x14ac:dyDescent="0.25">
      <c r="A389" s="527" t="s">
        <v>1823</v>
      </c>
      <c r="B389" s="468" t="s">
        <v>1902</v>
      </c>
      <c r="C389" s="773"/>
      <c r="D389" s="285">
        <f>D391+D392</f>
        <v>492</v>
      </c>
      <c r="E389" s="285">
        <f>E391+E392</f>
        <v>492</v>
      </c>
      <c r="F389" s="285">
        <f>F391+F392</f>
        <v>492</v>
      </c>
      <c r="G389" s="462"/>
    </row>
    <row r="390" spans="1:7" ht="47.25" x14ac:dyDescent="0.25">
      <c r="A390" s="515" t="s">
        <v>922</v>
      </c>
      <c r="B390" s="468" t="s">
        <v>1902</v>
      </c>
      <c r="C390" s="773">
        <v>100</v>
      </c>
      <c r="D390" s="285">
        <f>D391</f>
        <v>423.6</v>
      </c>
      <c r="E390" s="285">
        <f>E391</f>
        <v>423.6</v>
      </c>
      <c r="F390" s="285">
        <f>F391</f>
        <v>423.6</v>
      </c>
      <c r="G390" s="462"/>
    </row>
    <row r="391" spans="1:7" x14ac:dyDescent="0.25">
      <c r="A391" s="461" t="s">
        <v>1748</v>
      </c>
      <c r="B391" s="468" t="s">
        <v>1902</v>
      </c>
      <c r="C391" s="773">
        <v>120</v>
      </c>
      <c r="D391" s="285">
        <f>'Функц. 2021-2023'!F191</f>
        <v>423.6</v>
      </c>
      <c r="E391" s="285">
        <f>'Функц. 2021-2023'!H191</f>
        <v>423.6</v>
      </c>
      <c r="F391" s="285">
        <f>'Функц. 2021-2023'!J191</f>
        <v>423.6</v>
      </c>
      <c r="G391" s="462"/>
    </row>
    <row r="392" spans="1:7" x14ac:dyDescent="0.25">
      <c r="A392" s="461" t="s">
        <v>1782</v>
      </c>
      <c r="B392" s="468" t="s">
        <v>1902</v>
      </c>
      <c r="C392" s="773">
        <v>200</v>
      </c>
      <c r="D392" s="285">
        <f>D393</f>
        <v>68.400000000000006</v>
      </c>
      <c r="E392" s="285">
        <f>E393</f>
        <v>68.400000000000006</v>
      </c>
      <c r="F392" s="285">
        <f>F393</f>
        <v>68.400000000000006</v>
      </c>
      <c r="G392" s="462"/>
    </row>
    <row r="393" spans="1:7" x14ac:dyDescent="0.25">
      <c r="A393" s="461" t="s">
        <v>1274</v>
      </c>
      <c r="B393" s="468" t="s">
        <v>1902</v>
      </c>
      <c r="C393" s="773">
        <v>240</v>
      </c>
      <c r="D393" s="285">
        <f>'Функц. 2021-2023'!F193</f>
        <v>68.400000000000006</v>
      </c>
      <c r="E393" s="285">
        <f>'Функц. 2021-2023'!H193</f>
        <v>68.400000000000006</v>
      </c>
      <c r="F393" s="285">
        <f>'Функц. 2021-2023'!J193</f>
        <v>68.400000000000006</v>
      </c>
      <c r="G393" s="462"/>
    </row>
    <row r="394" spans="1:7" ht="31.5" x14ac:dyDescent="0.25">
      <c r="A394" s="525" t="s">
        <v>2171</v>
      </c>
      <c r="B394" s="468" t="s">
        <v>2179</v>
      </c>
      <c r="C394" s="773"/>
      <c r="D394" s="285">
        <f>D395</f>
        <v>16769.099999999999</v>
      </c>
      <c r="E394" s="285">
        <f>E395</f>
        <v>16666.3</v>
      </c>
      <c r="F394" s="285">
        <f>F395</f>
        <v>16666.3</v>
      </c>
      <c r="G394" s="462"/>
    </row>
    <row r="395" spans="1:7" x14ac:dyDescent="0.25">
      <c r="A395" s="525" t="s">
        <v>1924</v>
      </c>
      <c r="B395" s="468" t="s">
        <v>2180</v>
      </c>
      <c r="C395" s="761"/>
      <c r="D395" s="285">
        <f>D396+D403+D406</f>
        <v>16769.099999999999</v>
      </c>
      <c r="E395" s="285">
        <f>E396+E403+E406</f>
        <v>16666.3</v>
      </c>
      <c r="F395" s="285">
        <f>F396+F403+F406</f>
        <v>16666.3</v>
      </c>
      <c r="G395" s="462"/>
    </row>
    <row r="396" spans="1:7" ht="31.5" x14ac:dyDescent="0.25">
      <c r="A396" s="525" t="s">
        <v>1925</v>
      </c>
      <c r="B396" s="468" t="s">
        <v>2181</v>
      </c>
      <c r="C396" s="761"/>
      <c r="D396" s="285">
        <f>D397+D401+D399</f>
        <v>1607.8999999999999</v>
      </c>
      <c r="E396" s="285">
        <f t="shared" ref="E396:F396" si="71">E397+E401+E399</f>
        <v>1419</v>
      </c>
      <c r="F396" s="285">
        <f t="shared" si="71"/>
        <v>1419</v>
      </c>
      <c r="G396" s="462"/>
    </row>
    <row r="397" spans="1:7" x14ac:dyDescent="0.25">
      <c r="A397" s="515" t="s">
        <v>1782</v>
      </c>
      <c r="B397" s="468" t="s">
        <v>2181</v>
      </c>
      <c r="C397" s="761">
        <v>200</v>
      </c>
      <c r="D397" s="285">
        <f>D398</f>
        <v>1521.7</v>
      </c>
      <c r="E397" s="285">
        <f>E398</f>
        <v>1419</v>
      </c>
      <c r="F397" s="285">
        <f>F398</f>
        <v>1419</v>
      </c>
      <c r="G397" s="462"/>
    </row>
    <row r="398" spans="1:7" x14ac:dyDescent="0.25">
      <c r="A398" s="515" t="s">
        <v>1274</v>
      </c>
      <c r="B398" s="468" t="s">
        <v>2181</v>
      </c>
      <c r="C398" s="761">
        <v>240</v>
      </c>
      <c r="D398" s="285">
        <f>'Функц. 2021-2023'!F198</f>
        <v>1521.7</v>
      </c>
      <c r="E398" s="285">
        <f>'Функц. 2021-2023'!H198</f>
        <v>1419</v>
      </c>
      <c r="F398" s="285">
        <f>'Функц. 2021-2023'!J198</f>
        <v>1419</v>
      </c>
      <c r="G398" s="462"/>
    </row>
    <row r="399" spans="1:7" s="514" customFormat="1" x14ac:dyDescent="0.25">
      <c r="A399" s="520" t="s">
        <v>1755</v>
      </c>
      <c r="B399" s="468" t="s">
        <v>2181</v>
      </c>
      <c r="C399" s="761">
        <v>300</v>
      </c>
      <c r="D399" s="285">
        <f>D400</f>
        <v>86.1</v>
      </c>
      <c r="E399" s="285">
        <f t="shared" ref="E399:F399" si="72">E400</f>
        <v>0</v>
      </c>
      <c r="F399" s="285">
        <f t="shared" si="72"/>
        <v>0</v>
      </c>
      <c r="G399" s="462"/>
    </row>
    <row r="400" spans="1:7" s="514" customFormat="1" x14ac:dyDescent="0.25">
      <c r="A400" s="520" t="s">
        <v>868</v>
      </c>
      <c r="B400" s="468" t="s">
        <v>2181</v>
      </c>
      <c r="C400" s="761">
        <v>320</v>
      </c>
      <c r="D400" s="285">
        <f>'Функц. 2021-2023'!F200</f>
        <v>86.1</v>
      </c>
      <c r="E400" s="285">
        <v>0</v>
      </c>
      <c r="F400" s="285">
        <v>0</v>
      </c>
      <c r="G400" s="462"/>
    </row>
    <row r="401" spans="1:7" s="514" customFormat="1" x14ac:dyDescent="0.25">
      <c r="A401" s="520" t="s">
        <v>924</v>
      </c>
      <c r="B401" s="468" t="s">
        <v>2181</v>
      </c>
      <c r="C401" s="761">
        <v>800</v>
      </c>
      <c r="D401" s="285">
        <f>D402</f>
        <v>0.1</v>
      </c>
      <c r="E401" s="285">
        <f>E402</f>
        <v>0</v>
      </c>
      <c r="F401" s="285">
        <f>F402</f>
        <v>0</v>
      </c>
      <c r="G401" s="462"/>
    </row>
    <row r="402" spans="1:7" s="514" customFormat="1" x14ac:dyDescent="0.25">
      <c r="A402" s="520" t="s">
        <v>1320</v>
      </c>
      <c r="B402" s="468" t="s">
        <v>2181</v>
      </c>
      <c r="C402" s="761">
        <v>850</v>
      </c>
      <c r="D402" s="285">
        <f>'Функц. 2021-2023'!F202</f>
        <v>0.1</v>
      </c>
      <c r="E402" s="285">
        <f>'Функц. 2021-2023'!H202</f>
        <v>0</v>
      </c>
      <c r="F402" s="285">
        <f>'Функц. 2021-2023'!J202</f>
        <v>0</v>
      </c>
      <c r="G402" s="462"/>
    </row>
    <row r="403" spans="1:7" ht="31.5" x14ac:dyDescent="0.25">
      <c r="A403" s="515" t="s">
        <v>1926</v>
      </c>
      <c r="B403" s="284" t="str">
        <f>B404</f>
        <v>12 1 07 00132</v>
      </c>
      <c r="C403" s="761"/>
      <c r="D403" s="285">
        <f>D404</f>
        <v>5461.7</v>
      </c>
      <c r="E403" s="285">
        <f t="shared" ref="E403:F403" si="73">E404</f>
        <v>5547.8</v>
      </c>
      <c r="F403" s="285">
        <f t="shared" si="73"/>
        <v>5547.8</v>
      </c>
      <c r="G403" s="462"/>
    </row>
    <row r="404" spans="1:7" ht="47.25" x14ac:dyDescent="0.25">
      <c r="A404" s="515" t="s">
        <v>922</v>
      </c>
      <c r="B404" s="284" t="str">
        <f>B405</f>
        <v>12 1 07 00132</v>
      </c>
      <c r="C404" s="761">
        <v>100</v>
      </c>
      <c r="D404" s="285">
        <f t="shared" ref="D404:F404" si="74">D405</f>
        <v>5461.7</v>
      </c>
      <c r="E404" s="285">
        <f t="shared" si="74"/>
        <v>5547.8</v>
      </c>
      <c r="F404" s="285">
        <f t="shared" si="74"/>
        <v>5547.8</v>
      </c>
      <c r="G404" s="462"/>
    </row>
    <row r="405" spans="1:7" x14ac:dyDescent="0.25">
      <c r="A405" s="515" t="s">
        <v>1748</v>
      </c>
      <c r="B405" s="468" t="s">
        <v>2183</v>
      </c>
      <c r="C405" s="761">
        <v>120</v>
      </c>
      <c r="D405" s="285">
        <f>'Функц. 2021-2023'!F205</f>
        <v>5461.7</v>
      </c>
      <c r="E405" s="285">
        <f>'Функц. 2021-2023'!H205</f>
        <v>5547.8</v>
      </c>
      <c r="F405" s="285">
        <f>'Функц. 2021-2023'!J205</f>
        <v>5547.8</v>
      </c>
      <c r="G405" s="462"/>
    </row>
    <row r="406" spans="1:7" ht="31.5" x14ac:dyDescent="0.25">
      <c r="A406" s="515" t="s">
        <v>1927</v>
      </c>
      <c r="B406" s="284" t="str">
        <f>B407</f>
        <v>12 1 07 00133</v>
      </c>
      <c r="C406" s="761"/>
      <c r="D406" s="285">
        <f t="shared" ref="D406:F407" si="75">D407</f>
        <v>9699.5</v>
      </c>
      <c r="E406" s="285">
        <f t="shared" si="75"/>
        <v>9699.5</v>
      </c>
      <c r="F406" s="285">
        <f t="shared" si="75"/>
        <v>9699.5</v>
      </c>
      <c r="G406" s="462"/>
    </row>
    <row r="407" spans="1:7" ht="47.25" x14ac:dyDescent="0.25">
      <c r="A407" s="515" t="s">
        <v>922</v>
      </c>
      <c r="B407" s="284" t="str">
        <f>B408</f>
        <v>12 1 07 00133</v>
      </c>
      <c r="C407" s="761">
        <v>100</v>
      </c>
      <c r="D407" s="285">
        <f t="shared" si="75"/>
        <v>9699.5</v>
      </c>
      <c r="E407" s="285">
        <f t="shared" si="75"/>
        <v>9699.5</v>
      </c>
      <c r="F407" s="285">
        <f t="shared" si="75"/>
        <v>9699.5</v>
      </c>
      <c r="G407" s="462"/>
    </row>
    <row r="408" spans="1:7" x14ac:dyDescent="0.25">
      <c r="A408" s="515" t="s">
        <v>1748</v>
      </c>
      <c r="B408" s="468" t="s">
        <v>2184</v>
      </c>
      <c r="C408" s="761">
        <v>120</v>
      </c>
      <c r="D408" s="285">
        <f>'Функц. 2021-2023'!F208</f>
        <v>9699.5</v>
      </c>
      <c r="E408" s="285">
        <f>'Функц. 2021-2023'!H208</f>
        <v>9699.5</v>
      </c>
      <c r="F408" s="285">
        <f>'Функц. 2021-2023'!J208</f>
        <v>9699.5</v>
      </c>
      <c r="G408" s="462"/>
    </row>
    <row r="409" spans="1:7" x14ac:dyDescent="0.25">
      <c r="A409" s="525" t="s">
        <v>1903</v>
      </c>
      <c r="B409" s="468" t="s">
        <v>1808</v>
      </c>
      <c r="C409" s="761"/>
      <c r="D409" s="285">
        <f t="shared" ref="D409:F412" si="76">D410</f>
        <v>15332.500000000002</v>
      </c>
      <c r="E409" s="285">
        <f t="shared" si="76"/>
        <v>25000</v>
      </c>
      <c r="F409" s="285">
        <f t="shared" si="76"/>
        <v>25000</v>
      </c>
      <c r="G409" s="462"/>
    </row>
    <row r="410" spans="1:7" x14ac:dyDescent="0.25">
      <c r="A410" s="527" t="s">
        <v>1904</v>
      </c>
      <c r="B410" s="468" t="s">
        <v>1905</v>
      </c>
      <c r="C410" s="761"/>
      <c r="D410" s="285">
        <f t="shared" si="76"/>
        <v>15332.500000000002</v>
      </c>
      <c r="E410" s="285">
        <f t="shared" si="76"/>
        <v>25000</v>
      </c>
      <c r="F410" s="285">
        <f t="shared" si="76"/>
        <v>25000</v>
      </c>
      <c r="G410" s="462"/>
    </row>
    <row r="411" spans="1:7" x14ac:dyDescent="0.25">
      <c r="A411" s="525" t="s">
        <v>1906</v>
      </c>
      <c r="B411" s="468" t="s">
        <v>1907</v>
      </c>
      <c r="C411" s="761"/>
      <c r="D411" s="285">
        <f t="shared" si="76"/>
        <v>15332.500000000002</v>
      </c>
      <c r="E411" s="285">
        <f t="shared" si="76"/>
        <v>25000</v>
      </c>
      <c r="F411" s="285">
        <f t="shared" si="76"/>
        <v>25000</v>
      </c>
      <c r="G411" s="462"/>
    </row>
    <row r="412" spans="1:7" x14ac:dyDescent="0.25">
      <c r="A412" s="515" t="s">
        <v>1568</v>
      </c>
      <c r="B412" s="468" t="s">
        <v>1907</v>
      </c>
      <c r="C412" s="761">
        <v>700</v>
      </c>
      <c r="D412" s="285">
        <f t="shared" si="76"/>
        <v>15332.500000000002</v>
      </c>
      <c r="E412" s="285">
        <f t="shared" si="76"/>
        <v>25000</v>
      </c>
      <c r="F412" s="285">
        <f t="shared" si="76"/>
        <v>25000</v>
      </c>
      <c r="G412" s="462"/>
    </row>
    <row r="413" spans="1:7" x14ac:dyDescent="0.25">
      <c r="A413" s="801" t="s">
        <v>2257</v>
      </c>
      <c r="B413" s="468" t="s">
        <v>1907</v>
      </c>
      <c r="C413" s="781">
        <v>730</v>
      </c>
      <c r="D413" s="285">
        <f>'Функц. 2021-2023'!F986</f>
        <v>15332.500000000002</v>
      </c>
      <c r="E413" s="285">
        <f>'Функц. 2021-2023'!H986</f>
        <v>25000</v>
      </c>
      <c r="F413" s="285">
        <f>'Функц. 2021-2023'!J986</f>
        <v>25000</v>
      </c>
      <c r="G413" s="462"/>
    </row>
    <row r="414" spans="1:7" x14ac:dyDescent="0.25">
      <c r="A414" s="525" t="s">
        <v>1908</v>
      </c>
      <c r="B414" s="468" t="s">
        <v>1909</v>
      </c>
      <c r="C414" s="763"/>
      <c r="D414" s="285">
        <f>D415</f>
        <v>170049.99999999997</v>
      </c>
      <c r="E414" s="285">
        <f>E415</f>
        <v>151383.1</v>
      </c>
      <c r="F414" s="285">
        <f>F415</f>
        <v>141383.1</v>
      </c>
      <c r="G414" s="462"/>
    </row>
    <row r="415" spans="1:7" ht="31.5" x14ac:dyDescent="0.25">
      <c r="A415" s="525" t="s">
        <v>1910</v>
      </c>
      <c r="B415" s="468" t="s">
        <v>1911</v>
      </c>
      <c r="C415" s="763"/>
      <c r="D415" s="285">
        <f>D416+D419+D445+D448+D451+D454+D433</f>
        <v>170049.99999999997</v>
      </c>
      <c r="E415" s="285">
        <f>E416+E419+E445+E448+E451+E454+E433</f>
        <v>151383.1</v>
      </c>
      <c r="F415" s="285">
        <f>F416+F419+F445+F448+F451+F454+F433</f>
        <v>141383.1</v>
      </c>
      <c r="G415" s="462"/>
    </row>
    <row r="416" spans="1:7" x14ac:dyDescent="0.25">
      <c r="A416" s="525" t="s">
        <v>1912</v>
      </c>
      <c r="B416" s="468" t="s">
        <v>1913</v>
      </c>
      <c r="C416" s="763"/>
      <c r="D416" s="285">
        <f t="shared" ref="D416:F417" si="77">D417</f>
        <v>2587.8000000000002</v>
      </c>
      <c r="E416" s="285">
        <f t="shared" si="77"/>
        <v>2587.8000000000002</v>
      </c>
      <c r="F416" s="285">
        <f t="shared" si="77"/>
        <v>2587.8000000000002</v>
      </c>
      <c r="G416" s="462"/>
    </row>
    <row r="417" spans="1:7" ht="47.25" x14ac:dyDescent="0.25">
      <c r="A417" s="515" t="s">
        <v>922</v>
      </c>
      <c r="B417" s="468" t="s">
        <v>1913</v>
      </c>
      <c r="C417" s="763">
        <v>100</v>
      </c>
      <c r="D417" s="285">
        <f t="shared" si="77"/>
        <v>2587.8000000000002</v>
      </c>
      <c r="E417" s="285">
        <f t="shared" si="77"/>
        <v>2587.8000000000002</v>
      </c>
      <c r="F417" s="285">
        <f t="shared" si="77"/>
        <v>2587.8000000000002</v>
      </c>
      <c r="G417" s="462"/>
    </row>
    <row r="418" spans="1:7" x14ac:dyDescent="0.25">
      <c r="A418" s="515" t="s">
        <v>1748</v>
      </c>
      <c r="B418" s="468" t="s">
        <v>1913</v>
      </c>
      <c r="C418" s="763">
        <v>120</v>
      </c>
      <c r="D418" s="285">
        <f>'Функц. 2021-2023'!F22</f>
        <v>2587.8000000000002</v>
      </c>
      <c r="E418" s="285">
        <f>'Функц. 2021-2023'!H22</f>
        <v>2587.8000000000002</v>
      </c>
      <c r="F418" s="285">
        <f>'Функц. 2021-2023'!J22</f>
        <v>2587.8000000000002</v>
      </c>
      <c r="G418" s="462"/>
    </row>
    <row r="419" spans="1:7" x14ac:dyDescent="0.25">
      <c r="A419" s="525" t="s">
        <v>1914</v>
      </c>
      <c r="B419" s="468" t="s">
        <v>1915</v>
      </c>
      <c r="C419" s="761"/>
      <c r="D419" s="285">
        <f>D420+D427+D430</f>
        <v>51993.3</v>
      </c>
      <c r="E419" s="285">
        <f>E420+E427+E430</f>
        <v>51993.3</v>
      </c>
      <c r="F419" s="285">
        <f>F420+F427+F430</f>
        <v>51993.3</v>
      </c>
      <c r="G419" s="462"/>
    </row>
    <row r="420" spans="1:7" ht="31.5" x14ac:dyDescent="0.25">
      <c r="A420" s="802" t="s">
        <v>1916</v>
      </c>
      <c r="B420" s="468" t="s">
        <v>1917</v>
      </c>
      <c r="C420" s="761"/>
      <c r="D420" s="285">
        <f>D423+D425+D421</f>
        <v>6330.2999999999993</v>
      </c>
      <c r="E420" s="285">
        <f t="shared" ref="E420:F420" si="78">E423+E425+E421</f>
        <v>6330.3</v>
      </c>
      <c r="F420" s="285">
        <f t="shared" si="78"/>
        <v>6330.3</v>
      </c>
      <c r="G420" s="462"/>
    </row>
    <row r="421" spans="1:7" s="514" customFormat="1" ht="47.25" x14ac:dyDescent="0.25">
      <c r="A421" s="520" t="s">
        <v>922</v>
      </c>
      <c r="B421" s="468" t="s">
        <v>1917</v>
      </c>
      <c r="C421" s="763">
        <v>100</v>
      </c>
      <c r="D421" s="285">
        <f>D422</f>
        <v>0.4</v>
      </c>
      <c r="E421" s="285">
        <f t="shared" ref="E421:F421" si="79">E422</f>
        <v>0</v>
      </c>
      <c r="F421" s="285">
        <f t="shared" si="79"/>
        <v>0</v>
      </c>
      <c r="G421" s="462"/>
    </row>
    <row r="422" spans="1:7" s="514" customFormat="1" x14ac:dyDescent="0.25">
      <c r="A422" s="520" t="s">
        <v>1748</v>
      </c>
      <c r="B422" s="468" t="s">
        <v>1917</v>
      </c>
      <c r="C422" s="763">
        <v>120</v>
      </c>
      <c r="D422" s="285">
        <f>'Функц. 2021-2023'!F83</f>
        <v>0.4</v>
      </c>
      <c r="E422" s="285">
        <f>'Функц. 2021-2023'!H83</f>
        <v>0</v>
      </c>
      <c r="F422" s="285">
        <f>'Функц. 2021-2023'!J83</f>
        <v>0</v>
      </c>
      <c r="G422" s="462"/>
    </row>
    <row r="423" spans="1:7" x14ac:dyDescent="0.25">
      <c r="A423" s="515" t="s">
        <v>1782</v>
      </c>
      <c r="B423" s="468" t="s">
        <v>1917</v>
      </c>
      <c r="C423" s="761">
        <v>200</v>
      </c>
      <c r="D423" s="285">
        <f>D424</f>
        <v>6326.5</v>
      </c>
      <c r="E423" s="285">
        <f>E424</f>
        <v>6330.3</v>
      </c>
      <c r="F423" s="285">
        <f>F424</f>
        <v>6330.3</v>
      </c>
      <c r="G423" s="462"/>
    </row>
    <row r="424" spans="1:7" x14ac:dyDescent="0.25">
      <c r="A424" s="515" t="s">
        <v>1274</v>
      </c>
      <c r="B424" s="468" t="s">
        <v>1917</v>
      </c>
      <c r="C424" s="761">
        <v>240</v>
      </c>
      <c r="D424" s="285">
        <f>'Функц. 2021-2023'!F85</f>
        <v>6326.5</v>
      </c>
      <c r="E424" s="285">
        <f>'Функц. 2021-2023'!H85</f>
        <v>6330.3</v>
      </c>
      <c r="F424" s="285">
        <f>'Функц. 2021-2023'!J85</f>
        <v>6330.3</v>
      </c>
      <c r="G424" s="462"/>
    </row>
    <row r="425" spans="1:7" s="514" customFormat="1" x14ac:dyDescent="0.25">
      <c r="A425" s="520" t="s">
        <v>924</v>
      </c>
      <c r="B425" s="468" t="s">
        <v>1917</v>
      </c>
      <c r="C425" s="761">
        <v>800</v>
      </c>
      <c r="D425" s="285">
        <f>D426</f>
        <v>3.4</v>
      </c>
      <c r="E425" s="285">
        <f>E426</f>
        <v>0</v>
      </c>
      <c r="F425" s="285">
        <f>F426</f>
        <v>0</v>
      </c>
      <c r="G425" s="462"/>
    </row>
    <row r="426" spans="1:7" s="514" customFormat="1" x14ac:dyDescent="0.25">
      <c r="A426" s="520" t="s">
        <v>1320</v>
      </c>
      <c r="B426" s="468" t="s">
        <v>1917</v>
      </c>
      <c r="C426" s="761">
        <v>850</v>
      </c>
      <c r="D426" s="285">
        <f>'Функц. 2021-2023'!F87</f>
        <v>3.4</v>
      </c>
      <c r="E426" s="285">
        <f>'Функц. 2021-2023'!H87</f>
        <v>0</v>
      </c>
      <c r="F426" s="285">
        <f>'Функц. 2021-2023'!J87</f>
        <v>0</v>
      </c>
      <c r="G426" s="462"/>
    </row>
    <row r="427" spans="1:7" ht="31.5" x14ac:dyDescent="0.25">
      <c r="A427" s="515" t="s">
        <v>1918</v>
      </c>
      <c r="B427" s="468" t="s">
        <v>1919</v>
      </c>
      <c r="C427" s="763"/>
      <c r="D427" s="285">
        <f t="shared" ref="D427:F428" si="80">D428</f>
        <v>15039.3</v>
      </c>
      <c r="E427" s="285">
        <f t="shared" si="80"/>
        <v>15039.3</v>
      </c>
      <c r="F427" s="285">
        <f t="shared" si="80"/>
        <v>15039.3</v>
      </c>
      <c r="G427" s="462"/>
    </row>
    <row r="428" spans="1:7" ht="47.25" x14ac:dyDescent="0.25">
      <c r="A428" s="515" t="s">
        <v>922</v>
      </c>
      <c r="B428" s="468" t="s">
        <v>1919</v>
      </c>
      <c r="C428" s="763">
        <v>100</v>
      </c>
      <c r="D428" s="285">
        <f t="shared" si="80"/>
        <v>15039.3</v>
      </c>
      <c r="E428" s="285">
        <f t="shared" si="80"/>
        <v>15039.3</v>
      </c>
      <c r="F428" s="285">
        <f t="shared" si="80"/>
        <v>15039.3</v>
      </c>
      <c r="G428" s="462"/>
    </row>
    <row r="429" spans="1:7" x14ac:dyDescent="0.25">
      <c r="A429" s="515" t="s">
        <v>1748</v>
      </c>
      <c r="B429" s="468" t="s">
        <v>1919</v>
      </c>
      <c r="C429" s="761">
        <v>120</v>
      </c>
      <c r="D429" s="285">
        <f>'Функц. 2021-2023'!F90</f>
        <v>15039.3</v>
      </c>
      <c r="E429" s="285">
        <f>'Функц. 2021-2023'!H90</f>
        <v>15039.3</v>
      </c>
      <c r="F429" s="285">
        <f>'Функц. 2021-2023'!J90</f>
        <v>15039.3</v>
      </c>
      <c r="G429" s="462"/>
    </row>
    <row r="430" spans="1:7" ht="31.5" x14ac:dyDescent="0.25">
      <c r="A430" s="515" t="s">
        <v>1920</v>
      </c>
      <c r="B430" s="468" t="s">
        <v>1921</v>
      </c>
      <c r="C430" s="763"/>
      <c r="D430" s="285">
        <f t="shared" ref="D430:F431" si="81">D431</f>
        <v>30623.7</v>
      </c>
      <c r="E430" s="285">
        <f t="shared" si="81"/>
        <v>30623.7</v>
      </c>
      <c r="F430" s="285">
        <f t="shared" si="81"/>
        <v>30623.7</v>
      </c>
      <c r="G430" s="462"/>
    </row>
    <row r="431" spans="1:7" ht="47.25" x14ac:dyDescent="0.25">
      <c r="A431" s="515" t="s">
        <v>922</v>
      </c>
      <c r="B431" s="468" t="s">
        <v>1921</v>
      </c>
      <c r="C431" s="763">
        <v>100</v>
      </c>
      <c r="D431" s="285">
        <f t="shared" si="81"/>
        <v>30623.7</v>
      </c>
      <c r="E431" s="285">
        <f t="shared" si="81"/>
        <v>30623.7</v>
      </c>
      <c r="F431" s="285">
        <f t="shared" si="81"/>
        <v>30623.7</v>
      </c>
      <c r="G431" s="462"/>
    </row>
    <row r="432" spans="1:7" x14ac:dyDescent="0.25">
      <c r="A432" s="515" t="s">
        <v>1748</v>
      </c>
      <c r="B432" s="468" t="s">
        <v>1921</v>
      </c>
      <c r="C432" s="761">
        <v>120</v>
      </c>
      <c r="D432" s="285">
        <f>'Функц. 2021-2023'!F93</f>
        <v>30623.7</v>
      </c>
      <c r="E432" s="285">
        <f>'Функц. 2021-2023'!H93</f>
        <v>30623.7</v>
      </c>
      <c r="F432" s="285">
        <f>'Функц. 2021-2023'!J93</f>
        <v>30623.7</v>
      </c>
      <c r="G432" s="462"/>
    </row>
    <row r="433" spans="1:7" x14ac:dyDescent="0.25">
      <c r="A433" s="526" t="s">
        <v>1928</v>
      </c>
      <c r="B433" s="819" t="s">
        <v>1929</v>
      </c>
      <c r="C433" s="761"/>
      <c r="D433" s="285">
        <f>D434+D439+D442</f>
        <v>17046.900000000001</v>
      </c>
      <c r="E433" s="285">
        <f>E434+E439+E442</f>
        <v>17046.900000000001</v>
      </c>
      <c r="F433" s="285">
        <f>F434+F439+F442</f>
        <v>17046.900000000001</v>
      </c>
      <c r="G433" s="462"/>
    </row>
    <row r="434" spans="1:7" ht="31.5" x14ac:dyDescent="0.25">
      <c r="A434" s="515" t="s">
        <v>1930</v>
      </c>
      <c r="B434" s="819" t="s">
        <v>1931</v>
      </c>
      <c r="C434" s="761"/>
      <c r="D434" s="285">
        <f>D435+D437</f>
        <v>3263.4</v>
      </c>
      <c r="E434" s="285">
        <f>E435</f>
        <v>3263.4</v>
      </c>
      <c r="F434" s="285">
        <f>F435</f>
        <v>3263.4</v>
      </c>
      <c r="G434" s="462"/>
    </row>
    <row r="435" spans="1:7" x14ac:dyDescent="0.25">
      <c r="A435" s="515" t="s">
        <v>1782</v>
      </c>
      <c r="B435" s="819" t="s">
        <v>1931</v>
      </c>
      <c r="C435" s="761">
        <v>200</v>
      </c>
      <c r="D435" s="285">
        <f>D436</f>
        <v>3263.3</v>
      </c>
      <c r="E435" s="285">
        <f>E436</f>
        <v>3263.4</v>
      </c>
      <c r="F435" s="285">
        <f>F436</f>
        <v>3263.4</v>
      </c>
      <c r="G435" s="462"/>
    </row>
    <row r="436" spans="1:7" x14ac:dyDescent="0.25">
      <c r="A436" s="515" t="s">
        <v>1274</v>
      </c>
      <c r="B436" s="819" t="s">
        <v>1931</v>
      </c>
      <c r="C436" s="761">
        <v>240</v>
      </c>
      <c r="D436" s="285">
        <f>'Функц. 2021-2023'!F113</f>
        <v>3263.3</v>
      </c>
      <c r="E436" s="285">
        <f>'Функц. 2021-2023'!H113</f>
        <v>3263.4</v>
      </c>
      <c r="F436" s="285">
        <f>'Функц. 2021-2023'!J113</f>
        <v>3263.4</v>
      </c>
      <c r="G436" s="462"/>
    </row>
    <row r="437" spans="1:7" s="514" customFormat="1" x14ac:dyDescent="0.25">
      <c r="A437" s="520" t="s">
        <v>924</v>
      </c>
      <c r="B437" s="819" t="s">
        <v>1931</v>
      </c>
      <c r="C437" s="761">
        <v>800</v>
      </c>
      <c r="D437" s="285">
        <f>D438</f>
        <v>0.1</v>
      </c>
      <c r="E437" s="285">
        <f>E438</f>
        <v>0</v>
      </c>
      <c r="F437" s="285">
        <f>F438</f>
        <v>0</v>
      </c>
      <c r="G437" s="462"/>
    </row>
    <row r="438" spans="1:7" s="514" customFormat="1" x14ac:dyDescent="0.25">
      <c r="A438" s="520" t="s">
        <v>1320</v>
      </c>
      <c r="B438" s="819" t="s">
        <v>1931</v>
      </c>
      <c r="C438" s="761">
        <v>850</v>
      </c>
      <c r="D438" s="285">
        <f>'Функц. 2021-2023'!F115</f>
        <v>0.1</v>
      </c>
      <c r="E438" s="285">
        <f>'Функц. 2021-2023'!H115</f>
        <v>0</v>
      </c>
      <c r="F438" s="285">
        <f>'Функц. 2021-2023'!J115</f>
        <v>0</v>
      </c>
      <c r="G438" s="462"/>
    </row>
    <row r="439" spans="1:7" ht="31.5" x14ac:dyDescent="0.25">
      <c r="A439" s="515" t="s">
        <v>1935</v>
      </c>
      <c r="B439" s="284" t="str">
        <f>B440</f>
        <v>12 5 01 00162</v>
      </c>
      <c r="C439" s="761"/>
      <c r="D439" s="285">
        <f t="shared" ref="D439:F440" si="82">D440</f>
        <v>7844.7</v>
      </c>
      <c r="E439" s="285">
        <f t="shared" si="82"/>
        <v>7844.7</v>
      </c>
      <c r="F439" s="285">
        <f t="shared" si="82"/>
        <v>7844.7</v>
      </c>
      <c r="G439" s="462"/>
    </row>
    <row r="440" spans="1:7" ht="47.25" x14ac:dyDescent="0.25">
      <c r="A440" s="515" t="s">
        <v>922</v>
      </c>
      <c r="B440" s="284" t="str">
        <f>B441</f>
        <v>12 5 01 00162</v>
      </c>
      <c r="C440" s="761">
        <v>100</v>
      </c>
      <c r="D440" s="285">
        <f t="shared" si="82"/>
        <v>7844.7</v>
      </c>
      <c r="E440" s="285">
        <f t="shared" si="82"/>
        <v>7844.7</v>
      </c>
      <c r="F440" s="285">
        <f t="shared" si="82"/>
        <v>7844.7</v>
      </c>
      <c r="G440" s="462"/>
    </row>
    <row r="441" spans="1:7" x14ac:dyDescent="0.25">
      <c r="A441" s="515" t="s">
        <v>1748</v>
      </c>
      <c r="B441" s="819" t="s">
        <v>1932</v>
      </c>
      <c r="C441" s="761">
        <v>120</v>
      </c>
      <c r="D441" s="285">
        <f>'Функц. 2021-2023'!F118</f>
        <v>7844.7</v>
      </c>
      <c r="E441" s="285">
        <f>'Функц. 2021-2023'!H118</f>
        <v>7844.7</v>
      </c>
      <c r="F441" s="285">
        <f>'Функц. 2021-2023'!J118</f>
        <v>7844.7</v>
      </c>
      <c r="G441" s="462"/>
    </row>
    <row r="442" spans="1:7" ht="31.5" x14ac:dyDescent="0.25">
      <c r="A442" s="515" t="s">
        <v>1934</v>
      </c>
      <c r="B442" s="284" t="str">
        <f>B443</f>
        <v>12 5 01 00163</v>
      </c>
      <c r="C442" s="761"/>
      <c r="D442" s="285">
        <f t="shared" ref="D442:F443" si="83">D443</f>
        <v>5938.8</v>
      </c>
      <c r="E442" s="285">
        <f t="shared" si="83"/>
        <v>5938.8</v>
      </c>
      <c r="F442" s="285">
        <f t="shared" si="83"/>
        <v>5938.8</v>
      </c>
      <c r="G442" s="462"/>
    </row>
    <row r="443" spans="1:7" ht="47.25" x14ac:dyDescent="0.25">
      <c r="A443" s="515" t="s">
        <v>922</v>
      </c>
      <c r="B443" s="284" t="str">
        <f>B444</f>
        <v>12 5 01 00163</v>
      </c>
      <c r="C443" s="761">
        <v>100</v>
      </c>
      <c r="D443" s="285">
        <f t="shared" si="83"/>
        <v>5938.8</v>
      </c>
      <c r="E443" s="285">
        <f t="shared" si="83"/>
        <v>5938.8</v>
      </c>
      <c r="F443" s="285">
        <f t="shared" si="83"/>
        <v>5938.8</v>
      </c>
      <c r="G443" s="462"/>
    </row>
    <row r="444" spans="1:7" x14ac:dyDescent="0.25">
      <c r="A444" s="515" t="s">
        <v>1748</v>
      </c>
      <c r="B444" s="819" t="s">
        <v>1933</v>
      </c>
      <c r="C444" s="761">
        <v>120</v>
      </c>
      <c r="D444" s="285">
        <f>'Функц. 2021-2023'!F121</f>
        <v>5938.8</v>
      </c>
      <c r="E444" s="285">
        <f>'Функц. 2021-2023'!H121</f>
        <v>5938.8</v>
      </c>
      <c r="F444" s="285">
        <f>'Функц. 2021-2023'!J121</f>
        <v>5938.8</v>
      </c>
      <c r="G444" s="462"/>
    </row>
    <row r="445" spans="1:7" x14ac:dyDescent="0.25">
      <c r="A445" s="526" t="s">
        <v>1942</v>
      </c>
      <c r="B445" s="819" t="s">
        <v>1943</v>
      </c>
      <c r="C445" s="762"/>
      <c r="D445" s="285">
        <f t="shared" ref="D445:F446" si="84">D446</f>
        <v>305.7</v>
      </c>
      <c r="E445" s="285">
        <f t="shared" si="84"/>
        <v>200</v>
      </c>
      <c r="F445" s="285">
        <f t="shared" si="84"/>
        <v>200</v>
      </c>
      <c r="G445" s="462"/>
    </row>
    <row r="446" spans="1:7" x14ac:dyDescent="0.25">
      <c r="A446" s="515" t="s">
        <v>1782</v>
      </c>
      <c r="B446" s="819" t="s">
        <v>1943</v>
      </c>
      <c r="C446" s="774">
        <v>200</v>
      </c>
      <c r="D446" s="285">
        <f t="shared" si="84"/>
        <v>305.7</v>
      </c>
      <c r="E446" s="285">
        <f t="shared" si="84"/>
        <v>200</v>
      </c>
      <c r="F446" s="285">
        <f t="shared" si="84"/>
        <v>200</v>
      </c>
      <c r="G446" s="462"/>
    </row>
    <row r="447" spans="1:7" x14ac:dyDescent="0.25">
      <c r="A447" s="515" t="s">
        <v>1274</v>
      </c>
      <c r="B447" s="819" t="s">
        <v>1943</v>
      </c>
      <c r="C447" s="774">
        <v>240</v>
      </c>
      <c r="D447" s="285">
        <f>'Функц. 2021-2023'!F286</f>
        <v>305.7</v>
      </c>
      <c r="E447" s="285">
        <f>'Функц. 2021-2023'!H286</f>
        <v>200</v>
      </c>
      <c r="F447" s="285">
        <f>'Функц. 2021-2023'!J286</f>
        <v>200</v>
      </c>
      <c r="G447" s="462"/>
    </row>
    <row r="448" spans="1:7" x14ac:dyDescent="0.25">
      <c r="A448" s="526" t="s">
        <v>1944</v>
      </c>
      <c r="B448" s="819" t="s">
        <v>1945</v>
      </c>
      <c r="C448" s="761"/>
      <c r="D448" s="285">
        <f t="shared" ref="D448:F449" si="85">D449</f>
        <v>125</v>
      </c>
      <c r="E448" s="285">
        <f t="shared" si="85"/>
        <v>125</v>
      </c>
      <c r="F448" s="285">
        <f t="shared" si="85"/>
        <v>125</v>
      </c>
      <c r="G448" s="462"/>
    </row>
    <row r="449" spans="1:7" x14ac:dyDescent="0.25">
      <c r="A449" s="515" t="s">
        <v>924</v>
      </c>
      <c r="B449" s="819" t="s">
        <v>1945</v>
      </c>
      <c r="C449" s="761">
        <v>800</v>
      </c>
      <c r="D449" s="285">
        <f t="shared" si="85"/>
        <v>125</v>
      </c>
      <c r="E449" s="285">
        <f t="shared" si="85"/>
        <v>125</v>
      </c>
      <c r="F449" s="285">
        <f t="shared" si="85"/>
        <v>125</v>
      </c>
      <c r="G449" s="462"/>
    </row>
    <row r="450" spans="1:7" x14ac:dyDescent="0.25">
      <c r="A450" s="515" t="s">
        <v>1320</v>
      </c>
      <c r="B450" s="819" t="s">
        <v>1945</v>
      </c>
      <c r="C450" s="761">
        <v>850</v>
      </c>
      <c r="D450" s="285">
        <f>'Функц. 2021-2023'!F213</f>
        <v>125</v>
      </c>
      <c r="E450" s="285">
        <f>'Функц. 2021-2023'!H213</f>
        <v>125</v>
      </c>
      <c r="F450" s="285">
        <f>'Функц. 2021-2023'!J213</f>
        <v>125</v>
      </c>
      <c r="G450" s="462"/>
    </row>
    <row r="451" spans="1:7" ht="31.5" x14ac:dyDescent="0.25">
      <c r="A451" s="526" t="s">
        <v>1936</v>
      </c>
      <c r="B451" s="819" t="s">
        <v>1937</v>
      </c>
      <c r="C451" s="763"/>
      <c r="D451" s="285">
        <f t="shared" ref="D451:F452" si="86">D452</f>
        <v>18022</v>
      </c>
      <c r="E451" s="285">
        <f t="shared" si="86"/>
        <v>18022</v>
      </c>
      <c r="F451" s="285">
        <f t="shared" si="86"/>
        <v>18022</v>
      </c>
      <c r="G451" s="462"/>
    </row>
    <row r="452" spans="1:7" ht="31.5" x14ac:dyDescent="0.25">
      <c r="A452" s="515" t="s">
        <v>1343</v>
      </c>
      <c r="B452" s="819" t="s">
        <v>1937</v>
      </c>
      <c r="C452" s="782">
        <v>600</v>
      </c>
      <c r="D452" s="285">
        <f t="shared" si="86"/>
        <v>18022</v>
      </c>
      <c r="E452" s="285">
        <f t="shared" si="86"/>
        <v>18022</v>
      </c>
      <c r="F452" s="285">
        <f t="shared" si="86"/>
        <v>18022</v>
      </c>
      <c r="G452" s="462"/>
    </row>
    <row r="453" spans="1:7" x14ac:dyDescent="0.25">
      <c r="A453" s="515" t="s">
        <v>1344</v>
      </c>
      <c r="B453" s="819" t="s">
        <v>1937</v>
      </c>
      <c r="C453" s="782">
        <v>610</v>
      </c>
      <c r="D453" s="285">
        <f>'Функц. 2021-2023'!F216</f>
        <v>18022</v>
      </c>
      <c r="E453" s="285">
        <f>'Функц. 2021-2023'!H216</f>
        <v>18022</v>
      </c>
      <c r="F453" s="285">
        <f>'Функц. 2021-2023'!J216</f>
        <v>18022</v>
      </c>
      <c r="G453" s="462"/>
    </row>
    <row r="454" spans="1:7" ht="31.5" x14ac:dyDescent="0.25">
      <c r="A454" s="526" t="s">
        <v>1922</v>
      </c>
      <c r="B454" s="819" t="s">
        <v>1923</v>
      </c>
      <c r="C454" s="761"/>
      <c r="D454" s="285">
        <f>D455+D460+D476+D469</f>
        <v>79969.299999999988</v>
      </c>
      <c r="E454" s="285">
        <f>E455+E460+E476+E469</f>
        <v>61408.1</v>
      </c>
      <c r="F454" s="285">
        <f>F455+F460+F476+F469</f>
        <v>51408.1</v>
      </c>
      <c r="G454" s="462"/>
    </row>
    <row r="455" spans="1:7" ht="47.25" x14ac:dyDescent="0.25">
      <c r="A455" s="526" t="s">
        <v>1938</v>
      </c>
      <c r="B455" s="819" t="s">
        <v>1939</v>
      </c>
      <c r="C455" s="761"/>
      <c r="D455" s="285">
        <f>D456+D458</f>
        <v>8775.0999999999985</v>
      </c>
      <c r="E455" s="285">
        <f>E456+E458</f>
        <v>6396.2</v>
      </c>
      <c r="F455" s="285">
        <f>F456+F458</f>
        <v>4951.2</v>
      </c>
      <c r="G455" s="462"/>
    </row>
    <row r="456" spans="1:7" ht="47.25" x14ac:dyDescent="0.25">
      <c r="A456" s="515" t="s">
        <v>922</v>
      </c>
      <c r="B456" s="819" t="s">
        <v>1939</v>
      </c>
      <c r="C456" s="776" t="s">
        <v>1798</v>
      </c>
      <c r="D456" s="285">
        <f>D457</f>
        <v>7964.7999999999993</v>
      </c>
      <c r="E456" s="285">
        <f>E457</f>
        <v>5585.9</v>
      </c>
      <c r="F456" s="285">
        <f>F457</f>
        <v>4140.8999999999996</v>
      </c>
      <c r="G456" s="462"/>
    </row>
    <row r="457" spans="1:7" x14ac:dyDescent="0.25">
      <c r="A457" s="515" t="s">
        <v>1569</v>
      </c>
      <c r="B457" s="819" t="s">
        <v>1939</v>
      </c>
      <c r="C457" s="776" t="s">
        <v>1799</v>
      </c>
      <c r="D457" s="285">
        <f>'Функц. 2021-2023'!F220</f>
        <v>7964.7999999999993</v>
      </c>
      <c r="E457" s="285">
        <f>'Функц. 2021-2023'!H220</f>
        <v>5585.9</v>
      </c>
      <c r="F457" s="285">
        <f>'Функц. 2021-2023'!J220</f>
        <v>4140.8999999999996</v>
      </c>
      <c r="G457" s="462"/>
    </row>
    <row r="458" spans="1:7" x14ac:dyDescent="0.25">
      <c r="A458" s="515" t="s">
        <v>1782</v>
      </c>
      <c r="B458" s="819" t="s">
        <v>1939</v>
      </c>
      <c r="C458" s="776" t="s">
        <v>821</v>
      </c>
      <c r="D458" s="285">
        <f>D459</f>
        <v>810.3</v>
      </c>
      <c r="E458" s="285">
        <f>E459</f>
        <v>810.3</v>
      </c>
      <c r="F458" s="285">
        <f>F459</f>
        <v>810.3</v>
      </c>
      <c r="G458" s="462"/>
    </row>
    <row r="459" spans="1:7" x14ac:dyDescent="0.25">
      <c r="A459" s="515" t="s">
        <v>1274</v>
      </c>
      <c r="B459" s="819" t="s">
        <v>1939</v>
      </c>
      <c r="C459" s="776" t="s">
        <v>1480</v>
      </c>
      <c r="D459" s="285">
        <f>'Функц. 2021-2023'!F222</f>
        <v>810.3</v>
      </c>
      <c r="E459" s="285">
        <f>'Функц. 2021-2023'!H222</f>
        <v>810.3</v>
      </c>
      <c r="F459" s="285">
        <f>'Функц. 2021-2023'!J222</f>
        <v>810.3</v>
      </c>
      <c r="G459" s="462"/>
    </row>
    <row r="460" spans="1:7" ht="47.25" x14ac:dyDescent="0.25">
      <c r="A460" s="515" t="s">
        <v>1940</v>
      </c>
      <c r="B460" s="819" t="s">
        <v>1941</v>
      </c>
      <c r="C460" s="776"/>
      <c r="D460" s="285">
        <f>D461+D463+D467+D465</f>
        <v>39597.4</v>
      </c>
      <c r="E460" s="285">
        <f t="shared" ref="E460:F460" si="87">E461+E463+E467+E465</f>
        <v>26212.2</v>
      </c>
      <c r="F460" s="285">
        <f t="shared" si="87"/>
        <v>19567.2</v>
      </c>
      <c r="G460" s="462"/>
    </row>
    <row r="461" spans="1:7" ht="47.25" x14ac:dyDescent="0.25">
      <c r="A461" s="515" t="s">
        <v>922</v>
      </c>
      <c r="B461" s="819" t="s">
        <v>1941</v>
      </c>
      <c r="C461" s="776" t="s">
        <v>1798</v>
      </c>
      <c r="D461" s="285">
        <f>D462</f>
        <v>38951.299999999996</v>
      </c>
      <c r="E461" s="285">
        <f>E462</f>
        <v>25611.5</v>
      </c>
      <c r="F461" s="285">
        <f>F462</f>
        <v>18966.5</v>
      </c>
      <c r="G461" s="462"/>
    </row>
    <row r="462" spans="1:7" x14ac:dyDescent="0.25">
      <c r="A462" s="515" t="s">
        <v>1569</v>
      </c>
      <c r="B462" s="819" t="s">
        <v>1941</v>
      </c>
      <c r="C462" s="776" t="s">
        <v>1799</v>
      </c>
      <c r="D462" s="285">
        <f>'Функц. 2021-2023'!F225</f>
        <v>38951.299999999996</v>
      </c>
      <c r="E462" s="285">
        <f>'Функц. 2021-2023'!H225</f>
        <v>25611.5</v>
      </c>
      <c r="F462" s="285">
        <f>'Функц. 2021-2023'!J225</f>
        <v>18966.5</v>
      </c>
      <c r="G462" s="462"/>
    </row>
    <row r="463" spans="1:7" x14ac:dyDescent="0.25">
      <c r="A463" s="515" t="s">
        <v>1782</v>
      </c>
      <c r="B463" s="819" t="s">
        <v>1941</v>
      </c>
      <c r="C463" s="776" t="s">
        <v>821</v>
      </c>
      <c r="D463" s="285">
        <f>D464</f>
        <v>562.80000000000007</v>
      </c>
      <c r="E463" s="285">
        <f>E464</f>
        <v>600.70000000000005</v>
      </c>
      <c r="F463" s="285">
        <f>F464</f>
        <v>600.70000000000005</v>
      </c>
      <c r="G463" s="462"/>
    </row>
    <row r="464" spans="1:7" x14ac:dyDescent="0.25">
      <c r="A464" s="515" t="s">
        <v>1274</v>
      </c>
      <c r="B464" s="819" t="s">
        <v>1941</v>
      </c>
      <c r="C464" s="776" t="s">
        <v>1480</v>
      </c>
      <c r="D464" s="291">
        <f>'Функц. 2021-2023'!F227</f>
        <v>562.80000000000007</v>
      </c>
      <c r="E464" s="291">
        <f>'Функц. 2021-2023'!H227</f>
        <v>600.70000000000005</v>
      </c>
      <c r="F464" s="291">
        <f>'Функц. 2021-2023'!J227</f>
        <v>600.70000000000005</v>
      </c>
      <c r="G464" s="462"/>
    </row>
    <row r="465" spans="1:7" s="514" customFormat="1" x14ac:dyDescent="0.25">
      <c r="A465" s="520" t="s">
        <v>1755</v>
      </c>
      <c r="B465" s="819" t="s">
        <v>1941</v>
      </c>
      <c r="C465" s="776" t="s">
        <v>2435</v>
      </c>
      <c r="D465" s="291">
        <f>D466</f>
        <v>3</v>
      </c>
      <c r="E465" s="291">
        <f t="shared" ref="E465:F465" si="88">E466</f>
        <v>0</v>
      </c>
      <c r="F465" s="291">
        <f t="shared" si="88"/>
        <v>0</v>
      </c>
      <c r="G465" s="462"/>
    </row>
    <row r="466" spans="1:7" s="514" customFormat="1" x14ac:dyDescent="0.25">
      <c r="A466" s="520" t="s">
        <v>868</v>
      </c>
      <c r="B466" s="819" t="s">
        <v>1941</v>
      </c>
      <c r="C466" s="776" t="s">
        <v>2436</v>
      </c>
      <c r="D466" s="291">
        <f>'Функц. 2021-2023'!F229</f>
        <v>3</v>
      </c>
      <c r="E466" s="291">
        <f>'Функц. 2021-2023'!H229</f>
        <v>0</v>
      </c>
      <c r="F466" s="291">
        <f>'Функц. 2021-2023'!J229</f>
        <v>0</v>
      </c>
      <c r="G466" s="462"/>
    </row>
    <row r="467" spans="1:7" s="514" customFormat="1" x14ac:dyDescent="0.25">
      <c r="A467" s="520" t="s">
        <v>924</v>
      </c>
      <c r="B467" s="819" t="s">
        <v>1941</v>
      </c>
      <c r="C467" s="776" t="s">
        <v>2242</v>
      </c>
      <c r="D467" s="291">
        <f>D468</f>
        <v>80.3</v>
      </c>
      <c r="E467" s="291">
        <f>E468</f>
        <v>0</v>
      </c>
      <c r="F467" s="291">
        <f>F468</f>
        <v>0</v>
      </c>
      <c r="G467" s="462"/>
    </row>
    <row r="468" spans="1:7" s="514" customFormat="1" x14ac:dyDescent="0.25">
      <c r="A468" s="520" t="s">
        <v>1320</v>
      </c>
      <c r="B468" s="819" t="s">
        <v>1941</v>
      </c>
      <c r="C468" s="776" t="s">
        <v>2394</v>
      </c>
      <c r="D468" s="291">
        <f>'Функц. 2021-2023'!F231</f>
        <v>80.3</v>
      </c>
      <c r="E468" s="291">
        <f>'Функц. 2021-2023'!H231</f>
        <v>0</v>
      </c>
      <c r="F468" s="291">
        <f>'Функц. 2021-2023'!J231</f>
        <v>0</v>
      </c>
      <c r="G468" s="462"/>
    </row>
    <row r="469" spans="1:7" s="514" customFormat="1" ht="47.25" x14ac:dyDescent="0.25">
      <c r="A469" s="515" t="s">
        <v>2384</v>
      </c>
      <c r="B469" s="819" t="s">
        <v>2385</v>
      </c>
      <c r="C469" s="776"/>
      <c r="D469" s="285">
        <f>D470+D472+D474</f>
        <v>10374.9</v>
      </c>
      <c r="E469" s="285">
        <f t="shared" ref="E469:F469" si="89">E470+E472+E474</f>
        <v>7958.9000000000005</v>
      </c>
      <c r="F469" s="285">
        <f t="shared" si="89"/>
        <v>6048.9000000000005</v>
      </c>
      <c r="G469" s="462"/>
    </row>
    <row r="470" spans="1:7" s="514" customFormat="1" ht="47.25" x14ac:dyDescent="0.25">
      <c r="A470" s="515" t="s">
        <v>922</v>
      </c>
      <c r="B470" s="819" t="s">
        <v>2385</v>
      </c>
      <c r="C470" s="776" t="s">
        <v>1798</v>
      </c>
      <c r="D470" s="285">
        <f>D471</f>
        <v>9775.6</v>
      </c>
      <c r="E470" s="285">
        <f>E471</f>
        <v>7359.6</v>
      </c>
      <c r="F470" s="285">
        <f>F471</f>
        <v>5449.6</v>
      </c>
      <c r="G470" s="462"/>
    </row>
    <row r="471" spans="1:7" s="514" customFormat="1" x14ac:dyDescent="0.25">
      <c r="A471" s="515" t="s">
        <v>1569</v>
      </c>
      <c r="B471" s="819" t="s">
        <v>2385</v>
      </c>
      <c r="C471" s="776" t="s">
        <v>1799</v>
      </c>
      <c r="D471" s="285">
        <f>'Функц. 2021-2023'!F234</f>
        <v>9775.6</v>
      </c>
      <c r="E471" s="285">
        <f>'Функц. 2021-2023'!H234</f>
        <v>7359.6</v>
      </c>
      <c r="F471" s="285">
        <f>'Функц. 2021-2023'!J234</f>
        <v>5449.6</v>
      </c>
      <c r="G471" s="462"/>
    </row>
    <row r="472" spans="1:7" s="514" customFormat="1" x14ac:dyDescent="0.25">
      <c r="A472" s="515" t="s">
        <v>1782</v>
      </c>
      <c r="B472" s="819" t="s">
        <v>2385</v>
      </c>
      <c r="C472" s="776" t="s">
        <v>821</v>
      </c>
      <c r="D472" s="285">
        <f>D473</f>
        <v>549.29999999999995</v>
      </c>
      <c r="E472" s="285">
        <f>E473</f>
        <v>599.29999999999995</v>
      </c>
      <c r="F472" s="285">
        <f>F473</f>
        <v>599.29999999999995</v>
      </c>
      <c r="G472" s="462"/>
    </row>
    <row r="473" spans="1:7" s="514" customFormat="1" x14ac:dyDescent="0.25">
      <c r="A473" s="515" t="s">
        <v>1274</v>
      </c>
      <c r="B473" s="819" t="s">
        <v>2385</v>
      </c>
      <c r="C473" s="776" t="s">
        <v>1480</v>
      </c>
      <c r="D473" s="285">
        <f>'Функц. 2021-2023'!F236</f>
        <v>549.29999999999995</v>
      </c>
      <c r="E473" s="285">
        <f>'Функц. 2021-2023'!H236</f>
        <v>599.29999999999995</v>
      </c>
      <c r="F473" s="285">
        <f>'Функц. 2021-2023'!J236</f>
        <v>599.29999999999995</v>
      </c>
      <c r="G473" s="462"/>
    </row>
    <row r="474" spans="1:7" s="514" customFormat="1" x14ac:dyDescent="0.25">
      <c r="A474" s="520" t="s">
        <v>924</v>
      </c>
      <c r="B474" s="819" t="s">
        <v>2385</v>
      </c>
      <c r="C474" s="776" t="s">
        <v>2242</v>
      </c>
      <c r="D474" s="285">
        <f>D475</f>
        <v>50</v>
      </c>
      <c r="E474" s="285">
        <f t="shared" ref="E474:F474" si="90">E475</f>
        <v>0</v>
      </c>
      <c r="F474" s="285">
        <f t="shared" si="90"/>
        <v>0</v>
      </c>
      <c r="G474" s="462"/>
    </row>
    <row r="475" spans="1:7" s="514" customFormat="1" x14ac:dyDescent="0.25">
      <c r="A475" s="520" t="s">
        <v>1320</v>
      </c>
      <c r="B475" s="819" t="s">
        <v>2385</v>
      </c>
      <c r="C475" s="776" t="s">
        <v>2394</v>
      </c>
      <c r="D475" s="285">
        <f>'Функц. 2021-2023'!F238</f>
        <v>50</v>
      </c>
      <c r="E475" s="285">
        <f>'Функц. 2021-2023'!H238</f>
        <v>0</v>
      </c>
      <c r="F475" s="285">
        <f>'Функц. 2021-2023'!J238</f>
        <v>0</v>
      </c>
      <c r="G475" s="462"/>
    </row>
    <row r="476" spans="1:7" ht="47.25" x14ac:dyDescent="0.25">
      <c r="A476" s="532" t="s">
        <v>2333</v>
      </c>
      <c r="B476" s="819" t="s">
        <v>2135</v>
      </c>
      <c r="C476" s="773"/>
      <c r="D476" s="285">
        <f t="shared" ref="D476:F477" si="91">D477</f>
        <v>21221.9</v>
      </c>
      <c r="E476" s="285">
        <f t="shared" si="91"/>
        <v>20840.8</v>
      </c>
      <c r="F476" s="285">
        <f t="shared" si="91"/>
        <v>20840.8</v>
      </c>
      <c r="G476" s="462"/>
    </row>
    <row r="477" spans="1:7" ht="31.5" x14ac:dyDescent="0.25">
      <c r="A477" s="461" t="s">
        <v>1343</v>
      </c>
      <c r="B477" s="819" t="s">
        <v>2135</v>
      </c>
      <c r="C477" s="773">
        <v>600</v>
      </c>
      <c r="D477" s="285">
        <f t="shared" si="91"/>
        <v>21221.9</v>
      </c>
      <c r="E477" s="285">
        <f t="shared" si="91"/>
        <v>20840.8</v>
      </c>
      <c r="F477" s="285">
        <f t="shared" si="91"/>
        <v>20840.8</v>
      </c>
      <c r="G477" s="462"/>
    </row>
    <row r="478" spans="1:7" x14ac:dyDescent="0.25">
      <c r="A478" s="461" t="s">
        <v>1344</v>
      </c>
      <c r="B478" s="819" t="s">
        <v>2135</v>
      </c>
      <c r="C478" s="773">
        <v>610</v>
      </c>
      <c r="D478" s="285">
        <f>'Функц. 2021-2023'!F372</f>
        <v>21221.9</v>
      </c>
      <c r="E478" s="285">
        <f>'Функц. 2021-2023'!H372</f>
        <v>20840.8</v>
      </c>
      <c r="F478" s="285">
        <f>'Функц. 2021-2023'!J372</f>
        <v>20840.8</v>
      </c>
      <c r="G478" s="462"/>
    </row>
    <row r="479" spans="1:7" ht="31.5" x14ac:dyDescent="0.25">
      <c r="A479" s="789" t="s">
        <v>2104</v>
      </c>
      <c r="B479" s="501" t="s">
        <v>1806</v>
      </c>
      <c r="C479" s="771"/>
      <c r="D479" s="289">
        <f>D480+D537+D544+D489</f>
        <v>23944.5</v>
      </c>
      <c r="E479" s="289">
        <f>E480+E537+E544+E489</f>
        <v>9368</v>
      </c>
      <c r="F479" s="289">
        <f>F480+F537+F544+F489</f>
        <v>8984</v>
      </c>
      <c r="G479" s="462"/>
    </row>
    <row r="480" spans="1:7" ht="47.25" x14ac:dyDescent="0.25">
      <c r="A480" s="518" t="s">
        <v>2105</v>
      </c>
      <c r="B480" s="468" t="s">
        <v>2106</v>
      </c>
      <c r="C480" s="761"/>
      <c r="D480" s="285">
        <f>D481+D485</f>
        <v>9358.9</v>
      </c>
      <c r="E480" s="285">
        <f>E481+E485</f>
        <v>3906</v>
      </c>
      <c r="F480" s="285">
        <f>F481+F485</f>
        <v>3906</v>
      </c>
      <c r="G480" s="462"/>
    </row>
    <row r="481" spans="1:7" ht="31.5" x14ac:dyDescent="0.25">
      <c r="A481" s="519" t="s">
        <v>2107</v>
      </c>
      <c r="B481" s="468" t="s">
        <v>2108</v>
      </c>
      <c r="C481" s="761"/>
      <c r="D481" s="285">
        <f t="shared" ref="D481:F483" si="92">D482</f>
        <v>8392</v>
      </c>
      <c r="E481" s="285">
        <f t="shared" si="92"/>
        <v>3392.5</v>
      </c>
      <c r="F481" s="285">
        <f t="shared" si="92"/>
        <v>3392.5</v>
      </c>
      <c r="G481" s="462"/>
    </row>
    <row r="482" spans="1:7" ht="94.5" x14ac:dyDescent="0.25">
      <c r="A482" s="529" t="s">
        <v>2244</v>
      </c>
      <c r="B482" s="819" t="s">
        <v>2109</v>
      </c>
      <c r="C482" s="761"/>
      <c r="D482" s="285">
        <f t="shared" si="92"/>
        <v>8392</v>
      </c>
      <c r="E482" s="285">
        <f t="shared" si="92"/>
        <v>3392.5</v>
      </c>
      <c r="F482" s="285">
        <f t="shared" si="92"/>
        <v>3392.5</v>
      </c>
      <c r="G482" s="462"/>
    </row>
    <row r="483" spans="1:7" x14ac:dyDescent="0.25">
      <c r="A483" s="515" t="s">
        <v>1782</v>
      </c>
      <c r="B483" s="819" t="s">
        <v>2109</v>
      </c>
      <c r="C483" s="761">
        <v>200</v>
      </c>
      <c r="D483" s="285">
        <f t="shared" si="92"/>
        <v>8392</v>
      </c>
      <c r="E483" s="285">
        <f t="shared" si="92"/>
        <v>3392.5</v>
      </c>
      <c r="F483" s="285">
        <f t="shared" si="92"/>
        <v>3392.5</v>
      </c>
      <c r="G483" s="462"/>
    </row>
    <row r="484" spans="1:7" x14ac:dyDescent="0.25">
      <c r="A484" s="515" t="s">
        <v>1274</v>
      </c>
      <c r="B484" s="819" t="s">
        <v>2109</v>
      </c>
      <c r="C484" s="761">
        <v>240</v>
      </c>
      <c r="D484" s="285">
        <f>'Функц. 2021-2023'!F99+'Функц. 2021-2023'!F127+'Функц. 2021-2023'!F150+'Функц. 2021-2023'!F244+'Функц. 2021-2023'!F605+'Функц. 2021-2023'!F822+'Функц. 2021-2023'!F36+'Функц. 2021-2023'!F334</f>
        <v>8392</v>
      </c>
      <c r="E484" s="285">
        <f>'Функц. 2021-2023'!H99+'Функц. 2021-2023'!H127+'Функц. 2021-2023'!H150+'Функц. 2021-2023'!H244+'Функц. 2021-2023'!H605+'Функц. 2021-2023'!H822+'Функц. 2021-2023'!H36+'Функц. 2021-2023'!H334</f>
        <v>3392.5</v>
      </c>
      <c r="F484" s="285">
        <f>'Функц. 2021-2023'!J99+'Функц. 2021-2023'!J127+'Функц. 2021-2023'!J150+'Функц. 2021-2023'!J244+'Функц. 2021-2023'!J605+'Функц. 2021-2023'!J822+'Функц. 2021-2023'!J36+'Функц. 2021-2023'!J334</f>
        <v>3392.5</v>
      </c>
      <c r="G484" s="462"/>
    </row>
    <row r="485" spans="1:7" ht="31.5" x14ac:dyDescent="0.25">
      <c r="A485" s="529" t="s">
        <v>2110</v>
      </c>
      <c r="B485" s="468" t="s">
        <v>2111</v>
      </c>
      <c r="C485" s="761"/>
      <c r="D485" s="285">
        <f t="shared" ref="D485:F487" si="93">D486</f>
        <v>966.90000000000009</v>
      </c>
      <c r="E485" s="285">
        <f t="shared" si="93"/>
        <v>513.5</v>
      </c>
      <c r="F485" s="285">
        <f t="shared" si="93"/>
        <v>513.5</v>
      </c>
      <c r="G485" s="462"/>
    </row>
    <row r="486" spans="1:7" ht="47.25" x14ac:dyDescent="0.25">
      <c r="A486" s="519" t="s">
        <v>2249</v>
      </c>
      <c r="B486" s="468" t="s">
        <v>2112</v>
      </c>
      <c r="C486" s="761"/>
      <c r="D486" s="285">
        <f t="shared" si="93"/>
        <v>966.90000000000009</v>
      </c>
      <c r="E486" s="285">
        <f t="shared" si="93"/>
        <v>513.5</v>
      </c>
      <c r="F486" s="285">
        <f t="shared" si="93"/>
        <v>513.5</v>
      </c>
      <c r="G486" s="462"/>
    </row>
    <row r="487" spans="1:7" x14ac:dyDescent="0.25">
      <c r="A487" s="515" t="s">
        <v>1782</v>
      </c>
      <c r="B487" s="468" t="s">
        <v>2112</v>
      </c>
      <c r="C487" s="761">
        <v>200</v>
      </c>
      <c r="D487" s="285">
        <f t="shared" si="93"/>
        <v>966.90000000000009</v>
      </c>
      <c r="E487" s="285">
        <f t="shared" si="93"/>
        <v>513.5</v>
      </c>
      <c r="F487" s="285">
        <f t="shared" si="93"/>
        <v>513.5</v>
      </c>
      <c r="G487" s="462"/>
    </row>
    <row r="488" spans="1:7" x14ac:dyDescent="0.25">
      <c r="A488" s="515" t="s">
        <v>1274</v>
      </c>
      <c r="B488" s="468" t="s">
        <v>2112</v>
      </c>
      <c r="C488" s="761">
        <v>240</v>
      </c>
      <c r="D488" s="285">
        <f>'Функц. 2021-2023'!F497</f>
        <v>966.90000000000009</v>
      </c>
      <c r="E488" s="285">
        <f>'Функц. 2021-2023'!H497</f>
        <v>513.5</v>
      </c>
      <c r="F488" s="285">
        <f>'Функц. 2021-2023'!J497</f>
        <v>513.5</v>
      </c>
      <c r="G488" s="462"/>
    </row>
    <row r="489" spans="1:7" s="514" customFormat="1" x14ac:dyDescent="0.25">
      <c r="A489" s="515" t="s">
        <v>2374</v>
      </c>
      <c r="B489" s="468" t="s">
        <v>2375</v>
      </c>
      <c r="C489" s="776"/>
      <c r="D489" s="285">
        <f t="shared" ref="D489:F489" si="94">D490</f>
        <v>8536.6</v>
      </c>
      <c r="E489" s="285">
        <f t="shared" si="94"/>
        <v>0</v>
      </c>
      <c r="F489" s="285">
        <f t="shared" si="94"/>
        <v>0</v>
      </c>
      <c r="G489" s="462"/>
    </row>
    <row r="490" spans="1:7" s="514" customFormat="1" ht="31.5" x14ac:dyDescent="0.25">
      <c r="A490" s="515" t="s">
        <v>2376</v>
      </c>
      <c r="B490" s="468" t="s">
        <v>2377</v>
      </c>
      <c r="C490" s="776"/>
      <c r="D490" s="285">
        <f>D491</f>
        <v>8536.6</v>
      </c>
      <c r="E490" s="285">
        <f>E491</f>
        <v>0</v>
      </c>
      <c r="F490" s="285">
        <f>F491</f>
        <v>0</v>
      </c>
      <c r="G490" s="462"/>
    </row>
    <row r="491" spans="1:7" s="514" customFormat="1" ht="31.5" x14ac:dyDescent="0.25">
      <c r="A491" s="515" t="s">
        <v>2378</v>
      </c>
      <c r="B491" s="468" t="s">
        <v>2379</v>
      </c>
      <c r="C491" s="776"/>
      <c r="D491" s="285">
        <f>D492+D495+D498+D501+D504+D507+D513+D516+D519+D522+D525+D528+D531+D534+D510</f>
        <v>8536.6</v>
      </c>
      <c r="E491" s="285">
        <f t="shared" ref="E491:F491" si="95">E495+E534</f>
        <v>0</v>
      </c>
      <c r="F491" s="285">
        <f t="shared" si="95"/>
        <v>0</v>
      </c>
      <c r="G491" s="462"/>
    </row>
    <row r="492" spans="1:7" s="514" customFormat="1" ht="47.25" x14ac:dyDescent="0.25">
      <c r="A492" s="515" t="s">
        <v>2448</v>
      </c>
      <c r="B492" s="468" t="s">
        <v>2449</v>
      </c>
      <c r="C492" s="776"/>
      <c r="D492" s="285">
        <f t="shared" ref="D492:F493" si="96">D493</f>
        <v>517.70000000000005</v>
      </c>
      <c r="E492" s="285">
        <f t="shared" si="96"/>
        <v>0</v>
      </c>
      <c r="F492" s="285">
        <f t="shared" si="96"/>
        <v>0</v>
      </c>
      <c r="G492" s="462"/>
    </row>
    <row r="493" spans="1:7" s="514" customFormat="1" x14ac:dyDescent="0.25">
      <c r="A493" s="515" t="s">
        <v>1782</v>
      </c>
      <c r="B493" s="468" t="s">
        <v>2449</v>
      </c>
      <c r="C493" s="761">
        <v>200</v>
      </c>
      <c r="D493" s="285">
        <f t="shared" si="96"/>
        <v>517.70000000000005</v>
      </c>
      <c r="E493" s="285">
        <f t="shared" si="96"/>
        <v>0</v>
      </c>
      <c r="F493" s="285">
        <f t="shared" si="96"/>
        <v>0</v>
      </c>
      <c r="G493" s="462"/>
    </row>
    <row r="494" spans="1:7" s="514" customFormat="1" x14ac:dyDescent="0.25">
      <c r="A494" s="515" t="s">
        <v>1274</v>
      </c>
      <c r="B494" s="468" t="s">
        <v>2449</v>
      </c>
      <c r="C494" s="761">
        <v>240</v>
      </c>
      <c r="D494" s="285">
        <f>'Функц. 2021-2023'!F503</f>
        <v>517.70000000000005</v>
      </c>
      <c r="E494" s="285">
        <v>0</v>
      </c>
      <c r="F494" s="285">
        <v>0</v>
      </c>
      <c r="G494" s="462"/>
    </row>
    <row r="495" spans="1:7" s="514" customFormat="1" ht="35.450000000000003" customHeight="1" x14ac:dyDescent="0.25">
      <c r="A495" s="520" t="s">
        <v>2380</v>
      </c>
      <c r="B495" s="468" t="s">
        <v>2381</v>
      </c>
      <c r="C495" s="776"/>
      <c r="D495" s="285">
        <f t="shared" ref="D495:F496" si="97">D496</f>
        <v>185.4</v>
      </c>
      <c r="E495" s="285">
        <f t="shared" si="97"/>
        <v>0</v>
      </c>
      <c r="F495" s="285">
        <f t="shared" si="97"/>
        <v>0</v>
      </c>
      <c r="G495" s="462"/>
    </row>
    <row r="496" spans="1:7" s="514" customFormat="1" x14ac:dyDescent="0.25">
      <c r="A496" s="515" t="s">
        <v>1782</v>
      </c>
      <c r="B496" s="468" t="s">
        <v>2381</v>
      </c>
      <c r="C496" s="761">
        <v>200</v>
      </c>
      <c r="D496" s="285">
        <f t="shared" si="97"/>
        <v>185.4</v>
      </c>
      <c r="E496" s="285">
        <f t="shared" si="97"/>
        <v>0</v>
      </c>
      <c r="F496" s="285">
        <f t="shared" si="97"/>
        <v>0</v>
      </c>
      <c r="G496" s="462"/>
    </row>
    <row r="497" spans="1:7" s="514" customFormat="1" x14ac:dyDescent="0.25">
      <c r="A497" s="515" t="s">
        <v>1274</v>
      </c>
      <c r="B497" s="468" t="s">
        <v>2381</v>
      </c>
      <c r="C497" s="761">
        <v>240</v>
      </c>
      <c r="D497" s="285">
        <f>'Функц. 2021-2023'!F506</f>
        <v>185.4</v>
      </c>
      <c r="E497" s="285">
        <v>0</v>
      </c>
      <c r="F497" s="285">
        <v>0</v>
      </c>
      <c r="G497" s="462"/>
    </row>
    <row r="498" spans="1:7" s="514" customFormat="1" ht="47.25" x14ac:dyDescent="0.25">
      <c r="A498" s="520" t="s">
        <v>2450</v>
      </c>
      <c r="B498" s="468" t="s">
        <v>2451</v>
      </c>
      <c r="C498" s="776"/>
      <c r="D498" s="285">
        <f t="shared" ref="D498:F499" si="98">D499</f>
        <v>608.79999999999995</v>
      </c>
      <c r="E498" s="285">
        <f t="shared" si="98"/>
        <v>0</v>
      </c>
      <c r="F498" s="285">
        <f t="shared" si="98"/>
        <v>0</v>
      </c>
      <c r="G498" s="462"/>
    </row>
    <row r="499" spans="1:7" s="514" customFormat="1" x14ac:dyDescent="0.25">
      <c r="A499" s="515" t="s">
        <v>1782</v>
      </c>
      <c r="B499" s="468" t="s">
        <v>2451</v>
      </c>
      <c r="C499" s="761">
        <v>200</v>
      </c>
      <c r="D499" s="285">
        <f t="shared" si="98"/>
        <v>608.79999999999995</v>
      </c>
      <c r="E499" s="285">
        <f t="shared" si="98"/>
        <v>0</v>
      </c>
      <c r="F499" s="285">
        <f t="shared" si="98"/>
        <v>0</v>
      </c>
      <c r="G499" s="462"/>
    </row>
    <row r="500" spans="1:7" s="514" customFormat="1" x14ac:dyDescent="0.25">
      <c r="A500" s="515" t="s">
        <v>1274</v>
      </c>
      <c r="B500" s="468" t="s">
        <v>2451</v>
      </c>
      <c r="C500" s="761">
        <v>240</v>
      </c>
      <c r="D500" s="285">
        <f>'Функц. 2021-2023'!F509</f>
        <v>608.79999999999995</v>
      </c>
      <c r="E500" s="285">
        <v>0</v>
      </c>
      <c r="F500" s="285">
        <v>0</v>
      </c>
      <c r="G500" s="462"/>
    </row>
    <row r="501" spans="1:7" s="514" customFormat="1" ht="39" customHeight="1" x14ac:dyDescent="0.25">
      <c r="A501" s="520" t="s">
        <v>2452</v>
      </c>
      <c r="B501" s="468" t="s">
        <v>2453</v>
      </c>
      <c r="C501" s="776"/>
      <c r="D501" s="285">
        <f t="shared" ref="D501:F502" si="99">D502</f>
        <v>681.7</v>
      </c>
      <c r="E501" s="285">
        <f t="shared" si="99"/>
        <v>0</v>
      </c>
      <c r="F501" s="285">
        <f t="shared" si="99"/>
        <v>0</v>
      </c>
      <c r="G501" s="462"/>
    </row>
    <row r="502" spans="1:7" s="514" customFormat="1" x14ac:dyDescent="0.25">
      <c r="A502" s="515" t="s">
        <v>1782</v>
      </c>
      <c r="B502" s="468" t="s">
        <v>2453</v>
      </c>
      <c r="C502" s="761">
        <v>200</v>
      </c>
      <c r="D502" s="285">
        <f t="shared" si="99"/>
        <v>681.7</v>
      </c>
      <c r="E502" s="285">
        <f t="shared" si="99"/>
        <v>0</v>
      </c>
      <c r="F502" s="285">
        <f t="shared" si="99"/>
        <v>0</v>
      </c>
      <c r="G502" s="462"/>
    </row>
    <row r="503" spans="1:7" s="514" customFormat="1" x14ac:dyDescent="0.25">
      <c r="A503" s="515" t="s">
        <v>1274</v>
      </c>
      <c r="B503" s="468" t="s">
        <v>2453</v>
      </c>
      <c r="C503" s="761">
        <v>240</v>
      </c>
      <c r="D503" s="285">
        <f>'Функц. 2021-2023'!F512</f>
        <v>681.7</v>
      </c>
      <c r="E503" s="285">
        <v>0</v>
      </c>
      <c r="F503" s="285">
        <v>0</v>
      </c>
      <c r="G503" s="462"/>
    </row>
    <row r="504" spans="1:7" s="514" customFormat="1" ht="47.25" x14ac:dyDescent="0.25">
      <c r="A504" s="515" t="s">
        <v>2454</v>
      </c>
      <c r="B504" s="468" t="s">
        <v>2455</v>
      </c>
      <c r="C504" s="776"/>
      <c r="D504" s="285">
        <f t="shared" ref="D504:F505" si="100">D505</f>
        <v>1122.7</v>
      </c>
      <c r="E504" s="285">
        <f t="shared" si="100"/>
        <v>0</v>
      </c>
      <c r="F504" s="285">
        <f t="shared" si="100"/>
        <v>0</v>
      </c>
      <c r="G504" s="462"/>
    </row>
    <row r="505" spans="1:7" s="514" customFormat="1" x14ac:dyDescent="0.25">
      <c r="A505" s="515" t="s">
        <v>1782</v>
      </c>
      <c r="B505" s="468" t="s">
        <v>2455</v>
      </c>
      <c r="C505" s="761">
        <v>200</v>
      </c>
      <c r="D505" s="285">
        <f t="shared" si="100"/>
        <v>1122.7</v>
      </c>
      <c r="E505" s="285">
        <f t="shared" si="100"/>
        <v>0</v>
      </c>
      <c r="F505" s="285">
        <f t="shared" si="100"/>
        <v>0</v>
      </c>
      <c r="G505" s="462"/>
    </row>
    <row r="506" spans="1:7" s="514" customFormat="1" x14ac:dyDescent="0.25">
      <c r="A506" s="515" t="s">
        <v>1274</v>
      </c>
      <c r="B506" s="468" t="s">
        <v>2455</v>
      </c>
      <c r="C506" s="761">
        <v>240</v>
      </c>
      <c r="D506" s="285">
        <f>'Функц. 2021-2023'!F515</f>
        <v>1122.7</v>
      </c>
      <c r="E506" s="285">
        <v>0</v>
      </c>
      <c r="F506" s="285">
        <v>0</v>
      </c>
      <c r="G506" s="462"/>
    </row>
    <row r="507" spans="1:7" s="514" customFormat="1" ht="47.25" x14ac:dyDescent="0.25">
      <c r="A507" s="515" t="s">
        <v>2473</v>
      </c>
      <c r="B507" s="468" t="s">
        <v>2456</v>
      </c>
      <c r="C507" s="776"/>
      <c r="D507" s="285">
        <f t="shared" ref="D507:F508" si="101">D508</f>
        <v>523.9</v>
      </c>
      <c r="E507" s="285">
        <f t="shared" si="101"/>
        <v>0</v>
      </c>
      <c r="F507" s="285">
        <f t="shared" si="101"/>
        <v>0</v>
      </c>
      <c r="G507" s="462"/>
    </row>
    <row r="508" spans="1:7" s="514" customFormat="1" x14ac:dyDescent="0.25">
      <c r="A508" s="515" t="s">
        <v>1782</v>
      </c>
      <c r="B508" s="468" t="s">
        <v>2456</v>
      </c>
      <c r="C508" s="761">
        <v>200</v>
      </c>
      <c r="D508" s="285">
        <f t="shared" si="101"/>
        <v>523.9</v>
      </c>
      <c r="E508" s="285">
        <f t="shared" si="101"/>
        <v>0</v>
      </c>
      <c r="F508" s="285">
        <f t="shared" si="101"/>
        <v>0</v>
      </c>
      <c r="G508" s="462"/>
    </row>
    <row r="509" spans="1:7" s="514" customFormat="1" x14ac:dyDescent="0.25">
      <c r="A509" s="515" t="s">
        <v>1274</v>
      </c>
      <c r="B509" s="468" t="s">
        <v>2456</v>
      </c>
      <c r="C509" s="761">
        <v>240</v>
      </c>
      <c r="D509" s="285">
        <f>'Функц. 2021-2023'!F518</f>
        <v>523.9</v>
      </c>
      <c r="E509" s="285">
        <v>0</v>
      </c>
      <c r="F509" s="285">
        <v>0</v>
      </c>
      <c r="G509" s="462"/>
    </row>
    <row r="510" spans="1:7" s="514" customFormat="1" ht="31.5" x14ac:dyDescent="0.25">
      <c r="A510" s="515" t="s">
        <v>2457</v>
      </c>
      <c r="B510" s="468" t="s">
        <v>2458</v>
      </c>
      <c r="C510" s="776"/>
      <c r="D510" s="285">
        <f t="shared" ref="D510:F511" si="102">D511</f>
        <v>331.20000000000005</v>
      </c>
      <c r="E510" s="285">
        <f t="shared" si="102"/>
        <v>0</v>
      </c>
      <c r="F510" s="285">
        <f t="shared" si="102"/>
        <v>0</v>
      </c>
      <c r="G510" s="462"/>
    </row>
    <row r="511" spans="1:7" s="514" customFormat="1" x14ac:dyDescent="0.25">
      <c r="A511" s="515" t="s">
        <v>1782</v>
      </c>
      <c r="B511" s="468" t="s">
        <v>2458</v>
      </c>
      <c r="C511" s="761">
        <v>200</v>
      </c>
      <c r="D511" s="285">
        <f t="shared" si="102"/>
        <v>331.20000000000005</v>
      </c>
      <c r="E511" s="285">
        <f t="shared" si="102"/>
        <v>0</v>
      </c>
      <c r="F511" s="285">
        <f t="shared" si="102"/>
        <v>0</v>
      </c>
      <c r="G511" s="462"/>
    </row>
    <row r="512" spans="1:7" s="514" customFormat="1" x14ac:dyDescent="0.25">
      <c r="A512" s="515" t="s">
        <v>1274</v>
      </c>
      <c r="B512" s="468" t="s">
        <v>2458</v>
      </c>
      <c r="C512" s="761">
        <v>240</v>
      </c>
      <c r="D512" s="285">
        <f>'Функц. 2021-2023'!F521</f>
        <v>331.20000000000005</v>
      </c>
      <c r="E512" s="285">
        <v>0</v>
      </c>
      <c r="F512" s="285">
        <v>0</v>
      </c>
      <c r="G512" s="462"/>
    </row>
    <row r="513" spans="1:7" s="514" customFormat="1" ht="47.25" x14ac:dyDescent="0.25">
      <c r="A513" s="515" t="s">
        <v>2459</v>
      </c>
      <c r="B513" s="468" t="s">
        <v>2460</v>
      </c>
      <c r="C513" s="776"/>
      <c r="D513" s="285">
        <f t="shared" ref="D513:F514" si="103">D514</f>
        <v>330.7</v>
      </c>
      <c r="E513" s="285">
        <f t="shared" si="103"/>
        <v>0</v>
      </c>
      <c r="F513" s="285">
        <f t="shared" si="103"/>
        <v>0</v>
      </c>
      <c r="G513" s="462"/>
    </row>
    <row r="514" spans="1:7" s="514" customFormat="1" x14ac:dyDescent="0.25">
      <c r="A514" s="515" t="s">
        <v>1782</v>
      </c>
      <c r="B514" s="468" t="s">
        <v>2460</v>
      </c>
      <c r="C514" s="761">
        <v>200</v>
      </c>
      <c r="D514" s="285">
        <f t="shared" si="103"/>
        <v>330.7</v>
      </c>
      <c r="E514" s="285">
        <f t="shared" si="103"/>
        <v>0</v>
      </c>
      <c r="F514" s="285">
        <f t="shared" si="103"/>
        <v>0</v>
      </c>
      <c r="G514" s="462"/>
    </row>
    <row r="515" spans="1:7" s="514" customFormat="1" x14ac:dyDescent="0.25">
      <c r="A515" s="515" t="s">
        <v>1274</v>
      </c>
      <c r="B515" s="468" t="s">
        <v>2460</v>
      </c>
      <c r="C515" s="761">
        <v>240</v>
      </c>
      <c r="D515" s="285">
        <f>'Функц. 2021-2023'!F524</f>
        <v>330.7</v>
      </c>
      <c r="E515" s="285">
        <v>0</v>
      </c>
      <c r="F515" s="285">
        <v>0</v>
      </c>
      <c r="G515" s="462"/>
    </row>
    <row r="516" spans="1:7" s="514" customFormat="1" ht="47.25" x14ac:dyDescent="0.25">
      <c r="A516" s="515" t="s">
        <v>2461</v>
      </c>
      <c r="B516" s="468" t="s">
        <v>2462</v>
      </c>
      <c r="C516" s="761"/>
      <c r="D516" s="285">
        <f t="shared" ref="D516:F517" si="104">D517</f>
        <v>42.7</v>
      </c>
      <c r="E516" s="285">
        <f t="shared" si="104"/>
        <v>0</v>
      </c>
      <c r="F516" s="285">
        <f t="shared" si="104"/>
        <v>0</v>
      </c>
      <c r="G516" s="462"/>
    </row>
    <row r="517" spans="1:7" s="514" customFormat="1" x14ac:dyDescent="0.25">
      <c r="A517" s="515" t="s">
        <v>1782</v>
      </c>
      <c r="B517" s="468" t="s">
        <v>2462</v>
      </c>
      <c r="C517" s="761">
        <v>200</v>
      </c>
      <c r="D517" s="285">
        <f t="shared" si="104"/>
        <v>42.7</v>
      </c>
      <c r="E517" s="285">
        <f t="shared" si="104"/>
        <v>0</v>
      </c>
      <c r="F517" s="285">
        <f t="shared" si="104"/>
        <v>0</v>
      </c>
      <c r="G517" s="462"/>
    </row>
    <row r="518" spans="1:7" s="514" customFormat="1" x14ac:dyDescent="0.25">
      <c r="A518" s="515" t="s">
        <v>1274</v>
      </c>
      <c r="B518" s="468" t="s">
        <v>2462</v>
      </c>
      <c r="C518" s="761">
        <v>240</v>
      </c>
      <c r="D518" s="285">
        <f>'Функц. 2021-2023'!F527</f>
        <v>42.7</v>
      </c>
      <c r="E518" s="285">
        <v>0</v>
      </c>
      <c r="F518" s="285">
        <v>0</v>
      </c>
      <c r="G518" s="462"/>
    </row>
    <row r="519" spans="1:7" s="514" customFormat="1" ht="47.25" x14ac:dyDescent="0.25">
      <c r="A519" s="515" t="s">
        <v>2463</v>
      </c>
      <c r="B519" s="468" t="s">
        <v>2464</v>
      </c>
      <c r="C519" s="761"/>
      <c r="D519" s="285">
        <f t="shared" ref="D519:F520" si="105">D520</f>
        <v>277.7</v>
      </c>
      <c r="E519" s="285">
        <f t="shared" si="105"/>
        <v>0</v>
      </c>
      <c r="F519" s="285">
        <f t="shared" si="105"/>
        <v>0</v>
      </c>
      <c r="G519" s="462"/>
    </row>
    <row r="520" spans="1:7" s="514" customFormat="1" x14ac:dyDescent="0.25">
      <c r="A520" s="515" t="s">
        <v>1782</v>
      </c>
      <c r="B520" s="468" t="s">
        <v>2464</v>
      </c>
      <c r="C520" s="761">
        <v>200</v>
      </c>
      <c r="D520" s="285">
        <f t="shared" si="105"/>
        <v>277.7</v>
      </c>
      <c r="E520" s="285">
        <f t="shared" si="105"/>
        <v>0</v>
      </c>
      <c r="F520" s="285">
        <f t="shared" si="105"/>
        <v>0</v>
      </c>
      <c r="G520" s="462"/>
    </row>
    <row r="521" spans="1:7" s="514" customFormat="1" x14ac:dyDescent="0.25">
      <c r="A521" s="515" t="s">
        <v>1274</v>
      </c>
      <c r="B521" s="468" t="s">
        <v>2464</v>
      </c>
      <c r="C521" s="761">
        <v>240</v>
      </c>
      <c r="D521" s="285">
        <f>'Функц. 2021-2023'!F530</f>
        <v>277.7</v>
      </c>
      <c r="E521" s="285">
        <v>0</v>
      </c>
      <c r="F521" s="285">
        <v>0</v>
      </c>
      <c r="G521" s="462"/>
    </row>
    <row r="522" spans="1:7" s="514" customFormat="1" ht="47.25" x14ac:dyDescent="0.25">
      <c r="A522" s="515" t="s">
        <v>2465</v>
      </c>
      <c r="B522" s="468" t="s">
        <v>2466</v>
      </c>
      <c r="C522" s="761"/>
      <c r="D522" s="285">
        <f t="shared" ref="D522:F523" si="106">D523</f>
        <v>350.70000000000005</v>
      </c>
      <c r="E522" s="285">
        <f t="shared" si="106"/>
        <v>0</v>
      </c>
      <c r="F522" s="285">
        <f t="shared" si="106"/>
        <v>0</v>
      </c>
      <c r="G522" s="462"/>
    </row>
    <row r="523" spans="1:7" s="514" customFormat="1" x14ac:dyDescent="0.25">
      <c r="A523" s="515" t="s">
        <v>1782</v>
      </c>
      <c r="B523" s="468" t="s">
        <v>2466</v>
      </c>
      <c r="C523" s="761">
        <v>200</v>
      </c>
      <c r="D523" s="285">
        <f t="shared" si="106"/>
        <v>350.70000000000005</v>
      </c>
      <c r="E523" s="285">
        <f t="shared" si="106"/>
        <v>0</v>
      </c>
      <c r="F523" s="285">
        <f t="shared" si="106"/>
        <v>0</v>
      </c>
      <c r="G523" s="462"/>
    </row>
    <row r="524" spans="1:7" s="514" customFormat="1" x14ac:dyDescent="0.25">
      <c r="A524" s="515" t="s">
        <v>1274</v>
      </c>
      <c r="B524" s="468" t="s">
        <v>2466</v>
      </c>
      <c r="C524" s="761">
        <v>240</v>
      </c>
      <c r="D524" s="285">
        <f>'Функц. 2021-2023'!F533</f>
        <v>350.70000000000005</v>
      </c>
      <c r="E524" s="285">
        <v>0</v>
      </c>
      <c r="F524" s="285">
        <v>0</v>
      </c>
      <c r="G524" s="462"/>
    </row>
    <row r="525" spans="1:7" s="514" customFormat="1" ht="47.25" x14ac:dyDescent="0.25">
      <c r="A525" s="515" t="s">
        <v>2467</v>
      </c>
      <c r="B525" s="468" t="s">
        <v>2468</v>
      </c>
      <c r="C525" s="761"/>
      <c r="D525" s="285">
        <f t="shared" ref="D525:F526" si="107">D526</f>
        <v>219</v>
      </c>
      <c r="E525" s="285">
        <f t="shared" si="107"/>
        <v>0</v>
      </c>
      <c r="F525" s="285">
        <f t="shared" si="107"/>
        <v>0</v>
      </c>
      <c r="G525" s="462"/>
    </row>
    <row r="526" spans="1:7" s="514" customFormat="1" x14ac:dyDescent="0.25">
      <c r="A526" s="515" t="s">
        <v>1782</v>
      </c>
      <c r="B526" s="468" t="s">
        <v>2468</v>
      </c>
      <c r="C526" s="761">
        <v>200</v>
      </c>
      <c r="D526" s="285">
        <f t="shared" si="107"/>
        <v>219</v>
      </c>
      <c r="E526" s="285">
        <f t="shared" si="107"/>
        <v>0</v>
      </c>
      <c r="F526" s="285">
        <f t="shared" si="107"/>
        <v>0</v>
      </c>
      <c r="G526" s="462"/>
    </row>
    <row r="527" spans="1:7" s="514" customFormat="1" x14ac:dyDescent="0.25">
      <c r="A527" s="515" t="s">
        <v>1274</v>
      </c>
      <c r="B527" s="468" t="s">
        <v>2468</v>
      </c>
      <c r="C527" s="761">
        <v>240</v>
      </c>
      <c r="D527" s="285">
        <f>'Функц. 2021-2023'!F536</f>
        <v>219</v>
      </c>
      <c r="E527" s="285">
        <v>0</v>
      </c>
      <c r="F527" s="285">
        <v>0</v>
      </c>
      <c r="G527" s="462"/>
    </row>
    <row r="528" spans="1:7" s="514" customFormat="1" ht="63" x14ac:dyDescent="0.25">
      <c r="A528" s="515" t="s">
        <v>2469</v>
      </c>
      <c r="B528" s="468" t="s">
        <v>2470</v>
      </c>
      <c r="C528" s="761"/>
      <c r="D528" s="285">
        <f t="shared" ref="D528:F529" si="108">D529</f>
        <v>702.7</v>
      </c>
      <c r="E528" s="285">
        <f t="shared" si="108"/>
        <v>0</v>
      </c>
      <c r="F528" s="285">
        <f t="shared" si="108"/>
        <v>0</v>
      </c>
      <c r="G528" s="462"/>
    </row>
    <row r="529" spans="1:7" s="514" customFormat="1" x14ac:dyDescent="0.25">
      <c r="A529" s="515" t="s">
        <v>1782</v>
      </c>
      <c r="B529" s="468" t="s">
        <v>2470</v>
      </c>
      <c r="C529" s="761">
        <v>200</v>
      </c>
      <c r="D529" s="285">
        <f t="shared" si="108"/>
        <v>702.7</v>
      </c>
      <c r="E529" s="285">
        <f t="shared" si="108"/>
        <v>0</v>
      </c>
      <c r="F529" s="285">
        <f t="shared" si="108"/>
        <v>0</v>
      </c>
      <c r="G529" s="462"/>
    </row>
    <row r="530" spans="1:7" s="514" customFormat="1" x14ac:dyDescent="0.25">
      <c r="A530" s="515" t="s">
        <v>1274</v>
      </c>
      <c r="B530" s="468" t="s">
        <v>2470</v>
      </c>
      <c r="C530" s="761">
        <v>240</v>
      </c>
      <c r="D530" s="285">
        <f>'Функц. 2021-2023'!F539</f>
        <v>702.7</v>
      </c>
      <c r="E530" s="285">
        <v>0</v>
      </c>
      <c r="F530" s="285">
        <v>0</v>
      </c>
      <c r="G530" s="462"/>
    </row>
    <row r="531" spans="1:7" s="514" customFormat="1" ht="31.5" x14ac:dyDescent="0.25">
      <c r="A531" s="515" t="s">
        <v>2471</v>
      </c>
      <c r="B531" s="468" t="s">
        <v>2472</v>
      </c>
      <c r="C531" s="761"/>
      <c r="D531" s="285">
        <f t="shared" ref="D531:F532" si="109">D532</f>
        <v>202.7</v>
      </c>
      <c r="E531" s="285">
        <f t="shared" si="109"/>
        <v>0</v>
      </c>
      <c r="F531" s="285">
        <f t="shared" si="109"/>
        <v>0</v>
      </c>
      <c r="G531" s="462"/>
    </row>
    <row r="532" spans="1:7" s="514" customFormat="1" x14ac:dyDescent="0.25">
      <c r="A532" s="515" t="s">
        <v>1782</v>
      </c>
      <c r="B532" s="468" t="s">
        <v>2472</v>
      </c>
      <c r="C532" s="761">
        <v>200</v>
      </c>
      <c r="D532" s="285">
        <f t="shared" si="109"/>
        <v>202.7</v>
      </c>
      <c r="E532" s="285">
        <f t="shared" si="109"/>
        <v>0</v>
      </c>
      <c r="F532" s="285">
        <f t="shared" si="109"/>
        <v>0</v>
      </c>
      <c r="G532" s="462"/>
    </row>
    <row r="533" spans="1:7" s="514" customFormat="1" x14ac:dyDescent="0.25">
      <c r="A533" s="515" t="s">
        <v>1274</v>
      </c>
      <c r="B533" s="468" t="s">
        <v>2472</v>
      </c>
      <c r="C533" s="761">
        <v>240</v>
      </c>
      <c r="D533" s="285">
        <f>'Функц. 2021-2023'!F542</f>
        <v>202.7</v>
      </c>
      <c r="E533" s="285">
        <v>0</v>
      </c>
      <c r="F533" s="285">
        <v>0</v>
      </c>
      <c r="G533" s="462"/>
    </row>
    <row r="534" spans="1:7" s="514" customFormat="1" ht="47.25" x14ac:dyDescent="0.25">
      <c r="A534" s="515" t="s">
        <v>2382</v>
      </c>
      <c r="B534" s="468" t="s">
        <v>2383</v>
      </c>
      <c r="C534" s="761"/>
      <c r="D534" s="285">
        <f t="shared" ref="D534:F535" si="110">D535</f>
        <v>2439</v>
      </c>
      <c r="E534" s="285">
        <f t="shared" si="110"/>
        <v>0</v>
      </c>
      <c r="F534" s="285">
        <f t="shared" si="110"/>
        <v>0</v>
      </c>
      <c r="G534" s="462"/>
    </row>
    <row r="535" spans="1:7" s="514" customFormat="1" x14ac:dyDescent="0.25">
      <c r="A535" s="515" t="s">
        <v>1782</v>
      </c>
      <c r="B535" s="468" t="s">
        <v>2383</v>
      </c>
      <c r="C535" s="761">
        <v>200</v>
      </c>
      <c r="D535" s="285">
        <f t="shared" si="110"/>
        <v>2439</v>
      </c>
      <c r="E535" s="285">
        <f t="shared" si="110"/>
        <v>0</v>
      </c>
      <c r="F535" s="285">
        <f t="shared" si="110"/>
        <v>0</v>
      </c>
      <c r="G535" s="462"/>
    </row>
    <row r="536" spans="1:7" s="514" customFormat="1" x14ac:dyDescent="0.25">
      <c r="A536" s="515" t="s">
        <v>1274</v>
      </c>
      <c r="B536" s="468" t="s">
        <v>2383</v>
      </c>
      <c r="C536" s="761">
        <v>240</v>
      </c>
      <c r="D536" s="285">
        <f>'Функц. 2021-2023'!F545</f>
        <v>2439</v>
      </c>
      <c r="E536" s="285">
        <v>0</v>
      </c>
      <c r="F536" s="285">
        <v>0</v>
      </c>
      <c r="G536" s="462"/>
    </row>
    <row r="537" spans="1:7" x14ac:dyDescent="0.25">
      <c r="A537" s="518" t="s">
        <v>2113</v>
      </c>
      <c r="B537" s="468" t="s">
        <v>2114</v>
      </c>
      <c r="C537" s="761"/>
      <c r="D537" s="285">
        <f t="shared" ref="D537:F540" si="111">D538</f>
        <v>1513</v>
      </c>
      <c r="E537" s="285">
        <f t="shared" si="111"/>
        <v>1265</v>
      </c>
      <c r="F537" s="285">
        <f t="shared" si="111"/>
        <v>1265</v>
      </c>
      <c r="G537" s="462"/>
    </row>
    <row r="538" spans="1:7" ht="47.25" x14ac:dyDescent="0.25">
      <c r="A538" s="519" t="s">
        <v>2115</v>
      </c>
      <c r="B538" s="468" t="s">
        <v>2116</v>
      </c>
      <c r="C538" s="761"/>
      <c r="D538" s="285">
        <f t="shared" si="111"/>
        <v>1513</v>
      </c>
      <c r="E538" s="285">
        <f t="shared" si="111"/>
        <v>1265</v>
      </c>
      <c r="F538" s="285">
        <f t="shared" si="111"/>
        <v>1265</v>
      </c>
      <c r="G538" s="462"/>
    </row>
    <row r="539" spans="1:7" ht="31.5" x14ac:dyDescent="0.25">
      <c r="A539" s="519" t="s">
        <v>2117</v>
      </c>
      <c r="B539" s="468" t="s">
        <v>2118</v>
      </c>
      <c r="C539" s="761"/>
      <c r="D539" s="285">
        <f>D540+D542</f>
        <v>1513</v>
      </c>
      <c r="E539" s="285">
        <f>E540+E542</f>
        <v>1265</v>
      </c>
      <c r="F539" s="285">
        <f>F540+F542</f>
        <v>1265</v>
      </c>
      <c r="G539" s="462"/>
    </row>
    <row r="540" spans="1:7" x14ac:dyDescent="0.25">
      <c r="A540" s="515" t="s">
        <v>1782</v>
      </c>
      <c r="B540" s="468" t="s">
        <v>2118</v>
      </c>
      <c r="C540" s="761">
        <v>200</v>
      </c>
      <c r="D540" s="285">
        <f t="shared" si="111"/>
        <v>430</v>
      </c>
      <c r="E540" s="285">
        <f t="shared" si="111"/>
        <v>775</v>
      </c>
      <c r="F540" s="285">
        <f t="shared" si="111"/>
        <v>775</v>
      </c>
      <c r="G540" s="462"/>
    </row>
    <row r="541" spans="1:7" x14ac:dyDescent="0.25">
      <c r="A541" s="515" t="s">
        <v>1274</v>
      </c>
      <c r="B541" s="468" t="s">
        <v>2118</v>
      </c>
      <c r="C541" s="761">
        <v>240</v>
      </c>
      <c r="D541" s="285">
        <f>'Функц. 2021-2023'!F776</f>
        <v>430</v>
      </c>
      <c r="E541" s="285">
        <f>'Функц. 2021-2023'!H776</f>
        <v>775</v>
      </c>
      <c r="F541" s="285">
        <f>'Функц. 2021-2023'!J776</f>
        <v>775</v>
      </c>
      <c r="G541" s="462"/>
    </row>
    <row r="542" spans="1:7" s="504" customFormat="1" ht="31.5" x14ac:dyDescent="0.25">
      <c r="A542" s="461" t="s">
        <v>1343</v>
      </c>
      <c r="B542" s="468" t="s">
        <v>2118</v>
      </c>
      <c r="C542" s="773">
        <v>600</v>
      </c>
      <c r="D542" s="285">
        <f>D543</f>
        <v>1083</v>
      </c>
      <c r="E542" s="285">
        <f>E543</f>
        <v>490</v>
      </c>
      <c r="F542" s="285">
        <f>F543</f>
        <v>490</v>
      </c>
      <c r="G542" s="462"/>
    </row>
    <row r="543" spans="1:7" s="504" customFormat="1" x14ac:dyDescent="0.25">
      <c r="A543" s="461" t="s">
        <v>1344</v>
      </c>
      <c r="B543" s="468" t="s">
        <v>2118</v>
      </c>
      <c r="C543" s="773">
        <v>610</v>
      </c>
      <c r="D543" s="285">
        <f>'Функц. 2021-2023'!F778</f>
        <v>1083</v>
      </c>
      <c r="E543" s="285">
        <f>'Функц. 2021-2023'!H778</f>
        <v>490</v>
      </c>
      <c r="F543" s="285">
        <f>'Функц. 2021-2023'!J778</f>
        <v>490</v>
      </c>
      <c r="G543" s="462"/>
    </row>
    <row r="544" spans="1:7" x14ac:dyDescent="0.25">
      <c r="A544" s="518" t="s">
        <v>1161</v>
      </c>
      <c r="B544" s="468" t="s">
        <v>2119</v>
      </c>
      <c r="C544" s="763"/>
      <c r="D544" s="285">
        <f>D545+D549+D553</f>
        <v>4536</v>
      </c>
      <c r="E544" s="285">
        <f>E545+E549+E553</f>
        <v>4197</v>
      </c>
      <c r="F544" s="285">
        <f>F545+F549+F553</f>
        <v>3813</v>
      </c>
      <c r="G544" s="462"/>
    </row>
    <row r="545" spans="1:7" ht="31.5" x14ac:dyDescent="0.25">
      <c r="A545" s="519" t="s">
        <v>2120</v>
      </c>
      <c r="B545" s="468" t="s">
        <v>2121</v>
      </c>
      <c r="C545" s="763"/>
      <c r="D545" s="285">
        <f t="shared" ref="D545:F547" si="112">D546</f>
        <v>3773</v>
      </c>
      <c r="E545" s="285">
        <f t="shared" si="112"/>
        <v>3773</v>
      </c>
      <c r="F545" s="285">
        <f t="shared" si="112"/>
        <v>3773</v>
      </c>
      <c r="G545" s="462"/>
    </row>
    <row r="546" spans="1:7" ht="31.5" x14ac:dyDescent="0.25">
      <c r="A546" s="518" t="s">
        <v>494</v>
      </c>
      <c r="B546" s="468" t="s">
        <v>2122</v>
      </c>
      <c r="C546" s="783"/>
      <c r="D546" s="285">
        <f t="shared" si="112"/>
        <v>3773</v>
      </c>
      <c r="E546" s="285">
        <f t="shared" si="112"/>
        <v>3773</v>
      </c>
      <c r="F546" s="285">
        <f t="shared" si="112"/>
        <v>3773</v>
      </c>
      <c r="G546" s="462"/>
    </row>
    <row r="547" spans="1:7" ht="47.25" x14ac:dyDescent="0.25">
      <c r="A547" s="515" t="s">
        <v>922</v>
      </c>
      <c r="B547" s="468" t="s">
        <v>2122</v>
      </c>
      <c r="C547" s="761">
        <v>100</v>
      </c>
      <c r="D547" s="285">
        <f t="shared" si="112"/>
        <v>3773</v>
      </c>
      <c r="E547" s="285">
        <f t="shared" si="112"/>
        <v>3773</v>
      </c>
      <c r="F547" s="285">
        <f t="shared" si="112"/>
        <v>3773</v>
      </c>
      <c r="G547" s="462"/>
    </row>
    <row r="548" spans="1:7" x14ac:dyDescent="0.25">
      <c r="A548" s="515" t="s">
        <v>1748</v>
      </c>
      <c r="B548" s="468" t="s">
        <v>2122</v>
      </c>
      <c r="C548" s="761">
        <v>120</v>
      </c>
      <c r="D548" s="285">
        <f>'Функц. 2021-2023'!F279</f>
        <v>3773</v>
      </c>
      <c r="E548" s="285">
        <f>'Функц. 2021-2023'!H279</f>
        <v>3773</v>
      </c>
      <c r="F548" s="285">
        <f>'Функц. 2021-2023'!J279</f>
        <v>3773</v>
      </c>
      <c r="G548" s="462"/>
    </row>
    <row r="549" spans="1:7" ht="31.5" x14ac:dyDescent="0.25">
      <c r="A549" s="519" t="s">
        <v>2123</v>
      </c>
      <c r="B549" s="468" t="s">
        <v>2124</v>
      </c>
      <c r="C549" s="761"/>
      <c r="D549" s="285">
        <f t="shared" ref="D549:F551" si="113">D550</f>
        <v>2</v>
      </c>
      <c r="E549" s="285">
        <f t="shared" si="113"/>
        <v>424</v>
      </c>
      <c r="F549" s="285">
        <f t="shared" si="113"/>
        <v>40</v>
      </c>
      <c r="G549" s="462"/>
    </row>
    <row r="550" spans="1:7" ht="31.5" x14ac:dyDescent="0.25">
      <c r="A550" s="518" t="s">
        <v>2125</v>
      </c>
      <c r="B550" s="468" t="s">
        <v>2126</v>
      </c>
      <c r="C550" s="761"/>
      <c r="D550" s="285">
        <f t="shared" si="113"/>
        <v>2</v>
      </c>
      <c r="E550" s="285">
        <f t="shared" si="113"/>
        <v>424</v>
      </c>
      <c r="F550" s="285">
        <f t="shared" si="113"/>
        <v>40</v>
      </c>
      <c r="G550" s="462"/>
    </row>
    <row r="551" spans="1:7" x14ac:dyDescent="0.25">
      <c r="A551" s="515" t="s">
        <v>1782</v>
      </c>
      <c r="B551" s="468" t="s">
        <v>2126</v>
      </c>
      <c r="C551" s="761">
        <v>200</v>
      </c>
      <c r="D551" s="285">
        <f t="shared" si="113"/>
        <v>2</v>
      </c>
      <c r="E551" s="285">
        <f t="shared" si="113"/>
        <v>424</v>
      </c>
      <c r="F551" s="285">
        <f t="shared" si="113"/>
        <v>40</v>
      </c>
      <c r="G551" s="462"/>
    </row>
    <row r="552" spans="1:7" x14ac:dyDescent="0.25">
      <c r="A552" s="515" t="s">
        <v>1274</v>
      </c>
      <c r="B552" s="468" t="s">
        <v>2126</v>
      </c>
      <c r="C552" s="761">
        <v>240</v>
      </c>
      <c r="D552" s="285">
        <f>'Функц. 2021-2023'!F249</f>
        <v>2</v>
      </c>
      <c r="E552" s="285">
        <f>'Функц. 2021-2023'!H249</f>
        <v>424</v>
      </c>
      <c r="F552" s="285">
        <f>'Функц. 2021-2023'!J249</f>
        <v>40</v>
      </c>
      <c r="G552" s="462"/>
    </row>
    <row r="553" spans="1:7" x14ac:dyDescent="0.25">
      <c r="A553" s="520" t="s">
        <v>2245</v>
      </c>
      <c r="B553" s="468" t="s">
        <v>2162</v>
      </c>
      <c r="C553" s="761"/>
      <c r="D553" s="285">
        <f t="shared" ref="D553:F555" si="114">D554</f>
        <v>761</v>
      </c>
      <c r="E553" s="285">
        <f t="shared" si="114"/>
        <v>0</v>
      </c>
      <c r="F553" s="285">
        <f t="shared" si="114"/>
        <v>0</v>
      </c>
      <c r="G553" s="462"/>
    </row>
    <row r="554" spans="1:7" x14ac:dyDescent="0.25">
      <c r="A554" s="520" t="s">
        <v>2263</v>
      </c>
      <c r="B554" s="468" t="s">
        <v>2161</v>
      </c>
      <c r="C554" s="761"/>
      <c r="D554" s="285">
        <f t="shared" si="114"/>
        <v>761</v>
      </c>
      <c r="E554" s="285">
        <f t="shared" si="114"/>
        <v>0</v>
      </c>
      <c r="F554" s="285">
        <f t="shared" si="114"/>
        <v>0</v>
      </c>
      <c r="G554" s="462"/>
    </row>
    <row r="555" spans="1:7" x14ac:dyDescent="0.25">
      <c r="A555" s="515" t="s">
        <v>1782</v>
      </c>
      <c r="B555" s="468" t="s">
        <v>2161</v>
      </c>
      <c r="C555" s="761">
        <v>200</v>
      </c>
      <c r="D555" s="285">
        <f t="shared" si="114"/>
        <v>761</v>
      </c>
      <c r="E555" s="285">
        <f t="shared" si="114"/>
        <v>0</v>
      </c>
      <c r="F555" s="285">
        <f t="shared" si="114"/>
        <v>0</v>
      </c>
      <c r="G555" s="462"/>
    </row>
    <row r="556" spans="1:7" x14ac:dyDescent="0.25">
      <c r="A556" s="515" t="s">
        <v>1274</v>
      </c>
      <c r="B556" s="468" t="s">
        <v>2161</v>
      </c>
      <c r="C556" s="761">
        <v>240</v>
      </c>
      <c r="D556" s="285">
        <f>'Функц. 2021-2023'!F253</f>
        <v>761</v>
      </c>
      <c r="E556" s="285">
        <f>'Функц. 2021-2023'!H253</f>
        <v>0</v>
      </c>
      <c r="F556" s="285">
        <f>'Функц. 2021-2023'!J253</f>
        <v>0</v>
      </c>
      <c r="G556" s="462"/>
    </row>
    <row r="557" spans="1:7" ht="31.5" x14ac:dyDescent="0.25">
      <c r="A557" s="795" t="s">
        <v>1950</v>
      </c>
      <c r="B557" s="501" t="s">
        <v>1951</v>
      </c>
      <c r="C557" s="771"/>
      <c r="D557" s="289">
        <f>D578+D558+D567</f>
        <v>69779.100000000006</v>
      </c>
      <c r="E557" s="289">
        <f>E578+E558+E567</f>
        <v>28170.9</v>
      </c>
      <c r="F557" s="289">
        <f>F578+F558+F567</f>
        <v>30237.9</v>
      </c>
      <c r="G557" s="462"/>
    </row>
    <row r="558" spans="1:7" x14ac:dyDescent="0.25">
      <c r="A558" s="525" t="s">
        <v>1952</v>
      </c>
      <c r="B558" s="468" t="s">
        <v>1953</v>
      </c>
      <c r="C558" s="761"/>
      <c r="D558" s="285">
        <f t="shared" ref="D558:F559" si="115">D559</f>
        <v>115</v>
      </c>
      <c r="E558" s="285">
        <f t="shared" si="115"/>
        <v>124.9</v>
      </c>
      <c r="F558" s="285">
        <f t="shared" si="115"/>
        <v>124.9</v>
      </c>
      <c r="G558" s="462"/>
    </row>
    <row r="559" spans="1:7" ht="47.25" x14ac:dyDescent="0.25">
      <c r="A559" s="527" t="s">
        <v>2235</v>
      </c>
      <c r="B559" s="468" t="s">
        <v>2209</v>
      </c>
      <c r="C559" s="761"/>
      <c r="D559" s="285">
        <f t="shared" si="115"/>
        <v>115</v>
      </c>
      <c r="E559" s="285">
        <f t="shared" si="115"/>
        <v>124.9</v>
      </c>
      <c r="F559" s="285">
        <f t="shared" si="115"/>
        <v>124.9</v>
      </c>
      <c r="G559" s="462"/>
    </row>
    <row r="560" spans="1:7" ht="47.25" x14ac:dyDescent="0.25">
      <c r="A560" s="527" t="s">
        <v>1954</v>
      </c>
      <c r="B560" s="468" t="s">
        <v>2210</v>
      </c>
      <c r="C560" s="761"/>
      <c r="D560" s="285">
        <f>D561+D564</f>
        <v>115</v>
      </c>
      <c r="E560" s="285">
        <f>E561+E564</f>
        <v>124.9</v>
      </c>
      <c r="F560" s="285">
        <f>F561+F564</f>
        <v>124.9</v>
      </c>
      <c r="G560" s="462"/>
    </row>
    <row r="561" spans="1:7" ht="47.25" x14ac:dyDescent="0.25">
      <c r="A561" s="527" t="s">
        <v>2141</v>
      </c>
      <c r="B561" s="468" t="s">
        <v>2211</v>
      </c>
      <c r="C561" s="761"/>
      <c r="D561" s="285">
        <f t="shared" ref="D561:F562" si="116">D562</f>
        <v>0.1</v>
      </c>
      <c r="E561" s="285">
        <f t="shared" si="116"/>
        <v>10</v>
      </c>
      <c r="F561" s="285">
        <f t="shared" si="116"/>
        <v>10</v>
      </c>
      <c r="G561" s="462"/>
    </row>
    <row r="562" spans="1:7" x14ac:dyDescent="0.25">
      <c r="A562" s="515" t="s">
        <v>1782</v>
      </c>
      <c r="B562" s="468" t="s">
        <v>2211</v>
      </c>
      <c r="C562" s="761">
        <v>200</v>
      </c>
      <c r="D562" s="285">
        <f t="shared" si="116"/>
        <v>0.1</v>
      </c>
      <c r="E562" s="285">
        <f t="shared" si="116"/>
        <v>10</v>
      </c>
      <c r="F562" s="285">
        <f t="shared" si="116"/>
        <v>10</v>
      </c>
      <c r="G562" s="462"/>
    </row>
    <row r="563" spans="1:7" x14ac:dyDescent="0.25">
      <c r="A563" s="515" t="s">
        <v>1274</v>
      </c>
      <c r="B563" s="468" t="s">
        <v>2211</v>
      </c>
      <c r="C563" s="761">
        <v>240</v>
      </c>
      <c r="D563" s="285">
        <f>'Функц. 2021-2023'!F378</f>
        <v>0.1</v>
      </c>
      <c r="E563" s="285">
        <f>'Функц. 2021-2023'!H378</f>
        <v>10</v>
      </c>
      <c r="F563" s="285">
        <f>'Функц. 2021-2023'!J378</f>
        <v>10</v>
      </c>
      <c r="G563" s="462"/>
    </row>
    <row r="564" spans="1:7" ht="47.25" x14ac:dyDescent="0.25">
      <c r="A564" s="515" t="s">
        <v>2142</v>
      </c>
      <c r="B564" s="468" t="s">
        <v>2212</v>
      </c>
      <c r="C564" s="761"/>
      <c r="D564" s="285">
        <f t="shared" ref="D564:F565" si="117">D565</f>
        <v>114.9</v>
      </c>
      <c r="E564" s="285">
        <f t="shared" si="117"/>
        <v>114.9</v>
      </c>
      <c r="F564" s="285">
        <f t="shared" si="117"/>
        <v>114.9</v>
      </c>
      <c r="G564" s="462"/>
    </row>
    <row r="565" spans="1:7" x14ac:dyDescent="0.25">
      <c r="A565" s="515" t="s">
        <v>1782</v>
      </c>
      <c r="B565" s="468" t="s">
        <v>2212</v>
      </c>
      <c r="C565" s="761">
        <v>200</v>
      </c>
      <c r="D565" s="285">
        <f t="shared" si="117"/>
        <v>114.9</v>
      </c>
      <c r="E565" s="285">
        <f t="shared" si="117"/>
        <v>114.9</v>
      </c>
      <c r="F565" s="285">
        <f t="shared" si="117"/>
        <v>114.9</v>
      </c>
      <c r="G565" s="462"/>
    </row>
    <row r="566" spans="1:7" x14ac:dyDescent="0.25">
      <c r="A566" s="515" t="s">
        <v>1274</v>
      </c>
      <c r="B566" s="468" t="s">
        <v>2212</v>
      </c>
      <c r="C566" s="761">
        <v>240</v>
      </c>
      <c r="D566" s="285">
        <f>'Функц. 2021-2023'!F382</f>
        <v>114.9</v>
      </c>
      <c r="E566" s="285">
        <f>'Функц. 2021-2023'!H382</f>
        <v>114.9</v>
      </c>
      <c r="F566" s="285">
        <f>'Функц. 2021-2023'!J382</f>
        <v>114.9</v>
      </c>
      <c r="G566" s="462"/>
    </row>
    <row r="567" spans="1:7" x14ac:dyDescent="0.25">
      <c r="A567" s="525" t="s">
        <v>1956</v>
      </c>
      <c r="B567" s="468" t="s">
        <v>1957</v>
      </c>
      <c r="C567" s="761"/>
      <c r="D567" s="285">
        <f>D568</f>
        <v>31709.5</v>
      </c>
      <c r="E567" s="285">
        <f>E568</f>
        <v>7327.9</v>
      </c>
      <c r="F567" s="285">
        <f>F568</f>
        <v>9394.9</v>
      </c>
      <c r="G567" s="462"/>
    </row>
    <row r="568" spans="1:7" ht="31.5" x14ac:dyDescent="0.25">
      <c r="A568" s="527" t="s">
        <v>1955</v>
      </c>
      <c r="B568" s="468" t="s">
        <v>2213</v>
      </c>
      <c r="C568" s="763"/>
      <c r="D568" s="285">
        <f>D572+D575+D569</f>
        <v>31709.5</v>
      </c>
      <c r="E568" s="285">
        <f>E572+E575+E569</f>
        <v>7327.9</v>
      </c>
      <c r="F568" s="285">
        <f>F572+F575+F569</f>
        <v>9394.9</v>
      </c>
      <c r="G568" s="462"/>
    </row>
    <row r="569" spans="1:7" s="514" customFormat="1" ht="31.5" x14ac:dyDescent="0.25">
      <c r="A569" s="605" t="s">
        <v>2270</v>
      </c>
      <c r="B569" s="468" t="s">
        <v>2271</v>
      </c>
      <c r="C569" s="763"/>
      <c r="D569" s="285">
        <f t="shared" ref="D569:F570" si="118">D570</f>
        <v>2076.5000000000005</v>
      </c>
      <c r="E569" s="285">
        <f t="shared" si="118"/>
        <v>728.9</v>
      </c>
      <c r="F569" s="285">
        <f t="shared" si="118"/>
        <v>728.9</v>
      </c>
      <c r="G569" s="462"/>
    </row>
    <row r="570" spans="1:7" s="514" customFormat="1" x14ac:dyDescent="0.25">
      <c r="A570" s="520" t="s">
        <v>1782</v>
      </c>
      <c r="B570" s="468" t="s">
        <v>2271</v>
      </c>
      <c r="C570" s="761">
        <v>200</v>
      </c>
      <c r="D570" s="285">
        <f t="shared" si="118"/>
        <v>2076.5000000000005</v>
      </c>
      <c r="E570" s="285">
        <f t="shared" si="118"/>
        <v>728.9</v>
      </c>
      <c r="F570" s="285">
        <f t="shared" si="118"/>
        <v>728.9</v>
      </c>
      <c r="G570" s="462"/>
    </row>
    <row r="571" spans="1:7" s="514" customFormat="1" x14ac:dyDescent="0.25">
      <c r="A571" s="520" t="s">
        <v>1274</v>
      </c>
      <c r="B571" s="468" t="s">
        <v>2271</v>
      </c>
      <c r="C571" s="761">
        <v>240</v>
      </c>
      <c r="D571" s="285">
        <f>'Функц. 2021-2023'!F389</f>
        <v>2076.5000000000005</v>
      </c>
      <c r="E571" s="285">
        <f>'Функц. 2021-2023'!H389</f>
        <v>728.9</v>
      </c>
      <c r="F571" s="285">
        <f>'Функц. 2021-2023'!J389</f>
        <v>728.9</v>
      </c>
      <c r="G571" s="462"/>
    </row>
    <row r="572" spans="1:7" x14ac:dyDescent="0.25">
      <c r="A572" s="532" t="s">
        <v>2236</v>
      </c>
      <c r="B572" s="468" t="s">
        <v>2237</v>
      </c>
      <c r="C572" s="761"/>
      <c r="D572" s="285">
        <f t="shared" ref="D572:F573" si="119">D573</f>
        <v>4649</v>
      </c>
      <c r="E572" s="285">
        <f t="shared" si="119"/>
        <v>1000</v>
      </c>
      <c r="F572" s="285">
        <f t="shared" si="119"/>
        <v>1000</v>
      </c>
      <c r="G572" s="462"/>
    </row>
    <row r="573" spans="1:7" x14ac:dyDescent="0.25">
      <c r="A573" s="515" t="s">
        <v>1274</v>
      </c>
      <c r="B573" s="468" t="s">
        <v>2237</v>
      </c>
      <c r="C573" s="761">
        <v>200</v>
      </c>
      <c r="D573" s="285">
        <f t="shared" si="119"/>
        <v>4649</v>
      </c>
      <c r="E573" s="285">
        <f t="shared" si="119"/>
        <v>1000</v>
      </c>
      <c r="F573" s="285">
        <f t="shared" si="119"/>
        <v>1000</v>
      </c>
      <c r="G573" s="462"/>
    </row>
    <row r="574" spans="1:7" x14ac:dyDescent="0.25">
      <c r="A574" s="515" t="s">
        <v>1782</v>
      </c>
      <c r="B574" s="468" t="s">
        <v>2237</v>
      </c>
      <c r="C574" s="761">
        <v>240</v>
      </c>
      <c r="D574" s="285">
        <f>'Функц. 2021-2023'!F392</f>
        <v>4649</v>
      </c>
      <c r="E574" s="285">
        <f>'Функц. 2021-2023'!H392</f>
        <v>1000</v>
      </c>
      <c r="F574" s="285">
        <f>'Функц. 2021-2023'!J392</f>
        <v>1000</v>
      </c>
      <c r="G574" s="462"/>
    </row>
    <row r="575" spans="1:7" ht="31.5" x14ac:dyDescent="0.25">
      <c r="A575" s="527" t="s">
        <v>2149</v>
      </c>
      <c r="B575" s="468" t="s">
        <v>2214</v>
      </c>
      <c r="C575" s="761"/>
      <c r="D575" s="285">
        <f t="shared" ref="D575:F576" si="120">D576</f>
        <v>24984</v>
      </c>
      <c r="E575" s="285">
        <f t="shared" si="120"/>
        <v>5599</v>
      </c>
      <c r="F575" s="285">
        <f t="shared" si="120"/>
        <v>7666</v>
      </c>
      <c r="G575" s="462"/>
    </row>
    <row r="576" spans="1:7" x14ac:dyDescent="0.25">
      <c r="A576" s="515" t="s">
        <v>1782</v>
      </c>
      <c r="B576" s="468" t="s">
        <v>2214</v>
      </c>
      <c r="C576" s="761">
        <v>200</v>
      </c>
      <c r="D576" s="285">
        <f t="shared" si="120"/>
        <v>24984</v>
      </c>
      <c r="E576" s="285">
        <f t="shared" si="120"/>
        <v>5599</v>
      </c>
      <c r="F576" s="285">
        <f t="shared" si="120"/>
        <v>7666</v>
      </c>
      <c r="G576" s="462"/>
    </row>
    <row r="577" spans="1:7" x14ac:dyDescent="0.25">
      <c r="A577" s="515" t="s">
        <v>1274</v>
      </c>
      <c r="B577" s="468" t="s">
        <v>2214</v>
      </c>
      <c r="C577" s="761">
        <v>240</v>
      </c>
      <c r="D577" s="285">
        <f>'Функц. 2021-2023'!F395</f>
        <v>24984</v>
      </c>
      <c r="E577" s="285">
        <f>'Функц. 2021-2023'!H395</f>
        <v>5599</v>
      </c>
      <c r="F577" s="285">
        <f>'Функц. 2021-2023'!J395</f>
        <v>7666</v>
      </c>
      <c r="G577" s="462"/>
    </row>
    <row r="578" spans="1:7" x14ac:dyDescent="0.25">
      <c r="A578" s="525" t="s">
        <v>1161</v>
      </c>
      <c r="B578" s="468" t="s">
        <v>2215</v>
      </c>
      <c r="C578" s="763"/>
      <c r="D578" s="285">
        <f t="shared" ref="D578:F581" si="121">D579</f>
        <v>37954.6</v>
      </c>
      <c r="E578" s="285">
        <f t="shared" si="121"/>
        <v>20718.099999999999</v>
      </c>
      <c r="F578" s="285">
        <f t="shared" si="121"/>
        <v>20718.099999999999</v>
      </c>
      <c r="G578" s="462"/>
    </row>
    <row r="579" spans="1:7" ht="31.5" x14ac:dyDescent="0.25">
      <c r="A579" s="525" t="s">
        <v>1910</v>
      </c>
      <c r="B579" s="468" t="s">
        <v>2216</v>
      </c>
      <c r="C579" s="761"/>
      <c r="D579" s="285">
        <f t="shared" si="121"/>
        <v>37954.6</v>
      </c>
      <c r="E579" s="285">
        <f t="shared" si="121"/>
        <v>20718.099999999999</v>
      </c>
      <c r="F579" s="285">
        <f t="shared" si="121"/>
        <v>20718.099999999999</v>
      </c>
      <c r="G579" s="462"/>
    </row>
    <row r="580" spans="1:7" ht="31.5" x14ac:dyDescent="0.25">
      <c r="A580" s="526" t="s">
        <v>2140</v>
      </c>
      <c r="B580" s="468" t="s">
        <v>2217</v>
      </c>
      <c r="C580" s="761"/>
      <c r="D580" s="285">
        <f t="shared" si="121"/>
        <v>37954.6</v>
      </c>
      <c r="E580" s="285">
        <f t="shared" si="121"/>
        <v>20718.099999999999</v>
      </c>
      <c r="F580" s="285">
        <f t="shared" si="121"/>
        <v>20718.099999999999</v>
      </c>
      <c r="G580" s="462"/>
    </row>
    <row r="581" spans="1:7" ht="31.5" x14ac:dyDescent="0.25">
      <c r="A581" s="461" t="s">
        <v>1343</v>
      </c>
      <c r="B581" s="468" t="s">
        <v>2217</v>
      </c>
      <c r="C581" s="761">
        <v>600</v>
      </c>
      <c r="D581" s="285">
        <f t="shared" si="121"/>
        <v>37954.6</v>
      </c>
      <c r="E581" s="285">
        <f t="shared" si="121"/>
        <v>20718.099999999999</v>
      </c>
      <c r="F581" s="285">
        <f t="shared" si="121"/>
        <v>20718.099999999999</v>
      </c>
      <c r="G581" s="462"/>
    </row>
    <row r="582" spans="1:7" x14ac:dyDescent="0.25">
      <c r="A582" s="461" t="s">
        <v>1344</v>
      </c>
      <c r="B582" s="468" t="s">
        <v>2217</v>
      </c>
      <c r="C582" s="761">
        <v>610</v>
      </c>
      <c r="D582" s="285">
        <f>'Функц. 2021-2023'!F400</f>
        <v>37954.6</v>
      </c>
      <c r="E582" s="285">
        <f>'Функц. 2021-2023'!H400</f>
        <v>20718.099999999999</v>
      </c>
      <c r="F582" s="285">
        <f>'Функц. 2021-2023'!J400</f>
        <v>20718.099999999999</v>
      </c>
      <c r="G582" s="462"/>
    </row>
    <row r="583" spans="1:7" x14ac:dyDescent="0.25">
      <c r="A583" s="795" t="s">
        <v>1958</v>
      </c>
      <c r="B583" s="501" t="s">
        <v>1959</v>
      </c>
      <c r="C583" s="771"/>
      <c r="D583" s="289">
        <f>D593+D584</f>
        <v>38161.699999999997</v>
      </c>
      <c r="E583" s="289">
        <f>E593+E584</f>
        <v>46768.4</v>
      </c>
      <c r="F583" s="289">
        <f>F593+F584</f>
        <v>27001</v>
      </c>
      <c r="G583" s="462"/>
    </row>
    <row r="584" spans="1:7" ht="63" x14ac:dyDescent="0.25">
      <c r="A584" s="525" t="s">
        <v>2440</v>
      </c>
      <c r="B584" s="468" t="s">
        <v>1960</v>
      </c>
      <c r="C584" s="761"/>
      <c r="D584" s="285">
        <f>D585+D589</f>
        <v>32528</v>
      </c>
      <c r="E584" s="285">
        <f t="shared" ref="E584:F584" si="122">E585+E589</f>
        <v>26307</v>
      </c>
      <c r="F584" s="285">
        <f t="shared" si="122"/>
        <v>26307</v>
      </c>
      <c r="G584" s="462"/>
    </row>
    <row r="585" spans="1:7" ht="31.5" x14ac:dyDescent="0.25">
      <c r="A585" s="525" t="s">
        <v>1961</v>
      </c>
      <c r="B585" s="468" t="s">
        <v>1962</v>
      </c>
      <c r="C585" s="761"/>
      <c r="D585" s="285">
        <f t="shared" ref="D585:F585" si="123">D586</f>
        <v>32307</v>
      </c>
      <c r="E585" s="285">
        <f t="shared" si="123"/>
        <v>26307</v>
      </c>
      <c r="F585" s="285">
        <f t="shared" si="123"/>
        <v>26307</v>
      </c>
      <c r="G585" s="462"/>
    </row>
    <row r="586" spans="1:7" ht="31.5" x14ac:dyDescent="0.25">
      <c r="A586" s="527" t="s">
        <v>1963</v>
      </c>
      <c r="B586" s="468" t="s">
        <v>1964</v>
      </c>
      <c r="C586" s="784"/>
      <c r="D586" s="285">
        <f t="shared" ref="D586:F587" si="124">D587</f>
        <v>32307</v>
      </c>
      <c r="E586" s="285">
        <f t="shared" si="124"/>
        <v>26307</v>
      </c>
      <c r="F586" s="285">
        <f t="shared" si="124"/>
        <v>26307</v>
      </c>
      <c r="G586" s="462"/>
    </row>
    <row r="587" spans="1:7" ht="31.5" x14ac:dyDescent="0.25">
      <c r="A587" s="515" t="s">
        <v>1343</v>
      </c>
      <c r="B587" s="468" t="s">
        <v>1964</v>
      </c>
      <c r="C587" s="761">
        <v>600</v>
      </c>
      <c r="D587" s="285">
        <f t="shared" si="124"/>
        <v>32307</v>
      </c>
      <c r="E587" s="285">
        <f t="shared" si="124"/>
        <v>26307</v>
      </c>
      <c r="F587" s="285">
        <f t="shared" si="124"/>
        <v>26307</v>
      </c>
      <c r="G587" s="462"/>
    </row>
    <row r="588" spans="1:7" x14ac:dyDescent="0.25">
      <c r="A588" s="515" t="s">
        <v>1344</v>
      </c>
      <c r="B588" s="468" t="s">
        <v>1964</v>
      </c>
      <c r="C588" s="761">
        <v>610</v>
      </c>
      <c r="D588" s="285">
        <f>'Функц. 2021-2023'!F259</f>
        <v>32307</v>
      </c>
      <c r="E588" s="285">
        <f>'Функц. 2021-2023'!H259</f>
        <v>26307</v>
      </c>
      <c r="F588" s="285">
        <f>'Функц. 2021-2023'!J259</f>
        <v>26307</v>
      </c>
      <c r="G588" s="462"/>
    </row>
    <row r="589" spans="1:7" s="514" customFormat="1" ht="47.25" x14ac:dyDescent="0.25">
      <c r="A589" s="520" t="s">
        <v>2425</v>
      </c>
      <c r="B589" s="443" t="s">
        <v>2426</v>
      </c>
      <c r="C589" s="238"/>
      <c r="D589" s="285">
        <f>D590</f>
        <v>221</v>
      </c>
      <c r="E589" s="285">
        <f t="shared" ref="E589:F589" si="125">E590</f>
        <v>0</v>
      </c>
      <c r="F589" s="285">
        <f t="shared" si="125"/>
        <v>0</v>
      </c>
      <c r="G589" s="462"/>
    </row>
    <row r="590" spans="1:7" s="514" customFormat="1" ht="78.75" x14ac:dyDescent="0.25">
      <c r="A590" s="520" t="s">
        <v>2443</v>
      </c>
      <c r="B590" s="443" t="s">
        <v>2427</v>
      </c>
      <c r="C590" s="238"/>
      <c r="D590" s="285">
        <f>D591</f>
        <v>221</v>
      </c>
      <c r="E590" s="285">
        <f t="shared" ref="E590:F590" si="126">E591</f>
        <v>0</v>
      </c>
      <c r="F590" s="285">
        <f t="shared" si="126"/>
        <v>0</v>
      </c>
      <c r="G590" s="462"/>
    </row>
    <row r="591" spans="1:7" s="514" customFormat="1" ht="31.5" x14ac:dyDescent="0.25">
      <c r="A591" s="520" t="s">
        <v>1343</v>
      </c>
      <c r="B591" s="443" t="s">
        <v>2427</v>
      </c>
      <c r="C591" s="238">
        <v>600</v>
      </c>
      <c r="D591" s="285">
        <f>D592</f>
        <v>221</v>
      </c>
      <c r="E591" s="285">
        <f t="shared" ref="E591:F591" si="127">E592</f>
        <v>0</v>
      </c>
      <c r="F591" s="285">
        <f t="shared" si="127"/>
        <v>0</v>
      </c>
      <c r="G591" s="462"/>
    </row>
    <row r="592" spans="1:7" s="514" customFormat="1" x14ac:dyDescent="0.25">
      <c r="A592" s="520" t="s">
        <v>1344</v>
      </c>
      <c r="B592" s="443" t="s">
        <v>2427</v>
      </c>
      <c r="C592" s="238">
        <v>610</v>
      </c>
      <c r="D592" s="285">
        <f>'Функц. 2021-2023'!F263</f>
        <v>221</v>
      </c>
      <c r="E592" s="285">
        <v>0</v>
      </c>
      <c r="F592" s="285">
        <v>0</v>
      </c>
      <c r="G592" s="462"/>
    </row>
    <row r="593" spans="1:7" ht="31.5" x14ac:dyDescent="0.25">
      <c r="A593" s="525" t="s">
        <v>1965</v>
      </c>
      <c r="B593" s="468" t="s">
        <v>1966</v>
      </c>
      <c r="C593" s="778"/>
      <c r="D593" s="285">
        <f>D606+D610+D594+D602+D598</f>
        <v>5633.7</v>
      </c>
      <c r="E593" s="285">
        <f>E606+E610+E594+E602+E598</f>
        <v>20461.400000000001</v>
      </c>
      <c r="F593" s="285">
        <f>F606+F610+F594+F602+F598</f>
        <v>694</v>
      </c>
      <c r="G593" s="462"/>
    </row>
    <row r="594" spans="1:7" s="514" customFormat="1" x14ac:dyDescent="0.25">
      <c r="A594" s="549" t="s">
        <v>2355</v>
      </c>
      <c r="B594" s="468" t="s">
        <v>2356</v>
      </c>
      <c r="C594" s="778"/>
      <c r="D594" s="285">
        <f t="shared" ref="D594:F596" si="128">D595</f>
        <v>1550</v>
      </c>
      <c r="E594" s="285">
        <f t="shared" si="128"/>
        <v>0</v>
      </c>
      <c r="F594" s="285">
        <f t="shared" si="128"/>
        <v>0</v>
      </c>
      <c r="G594" s="462"/>
    </row>
    <row r="595" spans="1:7" s="514" customFormat="1" x14ac:dyDescent="0.25">
      <c r="A595" s="532" t="s">
        <v>2357</v>
      </c>
      <c r="B595" s="468" t="s">
        <v>2358</v>
      </c>
      <c r="C595" s="785"/>
      <c r="D595" s="285">
        <f t="shared" si="128"/>
        <v>1550</v>
      </c>
      <c r="E595" s="285">
        <f t="shared" si="128"/>
        <v>0</v>
      </c>
      <c r="F595" s="285">
        <f t="shared" si="128"/>
        <v>0</v>
      </c>
      <c r="G595" s="462"/>
    </row>
    <row r="596" spans="1:7" s="514" customFormat="1" x14ac:dyDescent="0.25">
      <c r="A596" s="520" t="s">
        <v>1782</v>
      </c>
      <c r="B596" s="468" t="s">
        <v>2358</v>
      </c>
      <c r="C596" s="761">
        <v>200</v>
      </c>
      <c r="D596" s="285">
        <f t="shared" si="128"/>
        <v>1550</v>
      </c>
      <c r="E596" s="285">
        <f t="shared" si="128"/>
        <v>0</v>
      </c>
      <c r="F596" s="285">
        <f t="shared" si="128"/>
        <v>0</v>
      </c>
      <c r="G596" s="462"/>
    </row>
    <row r="597" spans="1:7" s="514" customFormat="1" x14ac:dyDescent="0.25">
      <c r="A597" s="520" t="s">
        <v>1274</v>
      </c>
      <c r="B597" s="468" t="s">
        <v>2358</v>
      </c>
      <c r="C597" s="761">
        <v>240</v>
      </c>
      <c r="D597" s="285">
        <f>'Функц. 2021-2023'!F420</f>
        <v>1550</v>
      </c>
      <c r="E597" s="285">
        <f>'Функц. 2021-2023'!H420</f>
        <v>0</v>
      </c>
      <c r="F597" s="285">
        <f>'Функц. 2021-2023'!J420</f>
        <v>0</v>
      </c>
      <c r="G597" s="462"/>
    </row>
    <row r="598" spans="1:7" s="514" customFormat="1" x14ac:dyDescent="0.25">
      <c r="A598" s="549" t="s">
        <v>2406</v>
      </c>
      <c r="B598" s="468" t="s">
        <v>2407</v>
      </c>
      <c r="C598" s="761"/>
      <c r="D598" s="285">
        <f t="shared" ref="D598:F600" si="129">D599</f>
        <v>110</v>
      </c>
      <c r="E598" s="285">
        <f t="shared" si="129"/>
        <v>0</v>
      </c>
      <c r="F598" s="285">
        <f t="shared" si="129"/>
        <v>0</v>
      </c>
      <c r="G598" s="462"/>
    </row>
    <row r="599" spans="1:7" s="514" customFormat="1" x14ac:dyDescent="0.25">
      <c r="A599" s="532" t="s">
        <v>2408</v>
      </c>
      <c r="B599" s="468" t="s">
        <v>2409</v>
      </c>
      <c r="C599" s="761"/>
      <c r="D599" s="285">
        <f t="shared" si="129"/>
        <v>110</v>
      </c>
      <c r="E599" s="285">
        <f t="shared" si="129"/>
        <v>0</v>
      </c>
      <c r="F599" s="285">
        <f t="shared" si="129"/>
        <v>0</v>
      </c>
      <c r="G599" s="462"/>
    </row>
    <row r="600" spans="1:7" s="514" customFormat="1" x14ac:dyDescent="0.25">
      <c r="A600" s="520" t="s">
        <v>1782</v>
      </c>
      <c r="B600" s="468" t="s">
        <v>2409</v>
      </c>
      <c r="C600" s="761">
        <v>200</v>
      </c>
      <c r="D600" s="285">
        <f t="shared" si="129"/>
        <v>110</v>
      </c>
      <c r="E600" s="285">
        <f t="shared" si="129"/>
        <v>0</v>
      </c>
      <c r="F600" s="285">
        <f t="shared" si="129"/>
        <v>0</v>
      </c>
      <c r="G600" s="462"/>
    </row>
    <row r="601" spans="1:7" s="514" customFormat="1" x14ac:dyDescent="0.25">
      <c r="A601" s="520" t="s">
        <v>1274</v>
      </c>
      <c r="B601" s="468" t="s">
        <v>2409</v>
      </c>
      <c r="C601" s="761">
        <v>240</v>
      </c>
      <c r="D601" s="285">
        <f>'Функц. 2021-2023'!F424</f>
        <v>110</v>
      </c>
      <c r="E601" s="285">
        <f>'Функц. 2021-2023'!H424</f>
        <v>0</v>
      </c>
      <c r="F601" s="285">
        <f>'Функц. 2021-2023'!J424</f>
        <v>0</v>
      </c>
      <c r="G601" s="462"/>
    </row>
    <row r="602" spans="1:7" s="514" customFormat="1" x14ac:dyDescent="0.25">
      <c r="A602" s="549" t="s">
        <v>2361</v>
      </c>
      <c r="B602" s="468" t="s">
        <v>2362</v>
      </c>
      <c r="C602" s="761"/>
      <c r="D602" s="285">
        <f t="shared" ref="D602:F604" si="130">D603</f>
        <v>297</v>
      </c>
      <c r="E602" s="285">
        <f t="shared" si="130"/>
        <v>0</v>
      </c>
      <c r="F602" s="285">
        <f t="shared" si="130"/>
        <v>0</v>
      </c>
      <c r="G602" s="462"/>
    </row>
    <row r="603" spans="1:7" s="514" customFormat="1" x14ac:dyDescent="0.25">
      <c r="A603" s="532" t="s">
        <v>2363</v>
      </c>
      <c r="B603" s="468" t="s">
        <v>2364</v>
      </c>
      <c r="C603" s="761"/>
      <c r="D603" s="285">
        <f t="shared" si="130"/>
        <v>297</v>
      </c>
      <c r="E603" s="285">
        <f t="shared" si="130"/>
        <v>0</v>
      </c>
      <c r="F603" s="285">
        <f t="shared" si="130"/>
        <v>0</v>
      </c>
      <c r="G603" s="462"/>
    </row>
    <row r="604" spans="1:7" s="514" customFormat="1" x14ac:dyDescent="0.25">
      <c r="A604" s="520" t="s">
        <v>1782</v>
      </c>
      <c r="B604" s="468" t="s">
        <v>2364</v>
      </c>
      <c r="C604" s="761">
        <v>200</v>
      </c>
      <c r="D604" s="285">
        <f t="shared" si="130"/>
        <v>297</v>
      </c>
      <c r="E604" s="285">
        <f t="shared" si="130"/>
        <v>0</v>
      </c>
      <c r="F604" s="285">
        <f t="shared" si="130"/>
        <v>0</v>
      </c>
      <c r="G604" s="462"/>
    </row>
    <row r="605" spans="1:7" s="514" customFormat="1" x14ac:dyDescent="0.25">
      <c r="A605" s="520" t="s">
        <v>1274</v>
      </c>
      <c r="B605" s="468" t="s">
        <v>2364</v>
      </c>
      <c r="C605" s="761">
        <v>240</v>
      </c>
      <c r="D605" s="285">
        <f>'Функц. 2021-2023'!F428</f>
        <v>297</v>
      </c>
      <c r="E605" s="285">
        <f>'Функц. 2021-2023'!H428</f>
        <v>0</v>
      </c>
      <c r="F605" s="285">
        <f>'Функц. 2021-2023'!J428</f>
        <v>0</v>
      </c>
      <c r="G605" s="462"/>
    </row>
    <row r="606" spans="1:7" x14ac:dyDescent="0.25">
      <c r="A606" s="525" t="s">
        <v>2150</v>
      </c>
      <c r="B606" s="468" t="s">
        <v>2151</v>
      </c>
      <c r="C606" s="782"/>
      <c r="D606" s="285">
        <f>D607</f>
        <v>694</v>
      </c>
      <c r="E606" s="285">
        <f>E607</f>
        <v>693</v>
      </c>
      <c r="F606" s="285">
        <f>F607</f>
        <v>694</v>
      </c>
      <c r="G606" s="462"/>
    </row>
    <row r="607" spans="1:7" ht="63" x14ac:dyDescent="0.25">
      <c r="A607" s="526" t="s">
        <v>2418</v>
      </c>
      <c r="B607" s="468" t="s">
        <v>2152</v>
      </c>
      <c r="C607" s="782"/>
      <c r="D607" s="285">
        <f t="shared" ref="D607:F608" si="131">D608</f>
        <v>694</v>
      </c>
      <c r="E607" s="285">
        <f t="shared" si="131"/>
        <v>693</v>
      </c>
      <c r="F607" s="285">
        <f t="shared" si="131"/>
        <v>694</v>
      </c>
      <c r="G607" s="462"/>
    </row>
    <row r="608" spans="1:7" ht="31.5" x14ac:dyDescent="0.25">
      <c r="A608" s="515" t="s">
        <v>1343</v>
      </c>
      <c r="B608" s="468" t="s">
        <v>2152</v>
      </c>
      <c r="C608" s="782">
        <v>600</v>
      </c>
      <c r="D608" s="285">
        <f t="shared" si="131"/>
        <v>694</v>
      </c>
      <c r="E608" s="285">
        <f t="shared" si="131"/>
        <v>693</v>
      </c>
      <c r="F608" s="285">
        <f t="shared" si="131"/>
        <v>694</v>
      </c>
      <c r="G608" s="462"/>
    </row>
    <row r="609" spans="1:7" x14ac:dyDescent="0.25">
      <c r="A609" s="515" t="s">
        <v>1344</v>
      </c>
      <c r="B609" s="468" t="s">
        <v>2152</v>
      </c>
      <c r="C609" s="782">
        <v>610</v>
      </c>
      <c r="D609" s="285">
        <f>'Функц. 2021-2023'!F432</f>
        <v>694</v>
      </c>
      <c r="E609" s="285">
        <f>'Функц. 2021-2023'!H432</f>
        <v>693</v>
      </c>
      <c r="F609" s="285">
        <f>'Функц. 2021-2023'!J432</f>
        <v>694</v>
      </c>
      <c r="G609" s="462"/>
    </row>
    <row r="610" spans="1:7" x14ac:dyDescent="0.25">
      <c r="A610" s="520" t="s">
        <v>2224</v>
      </c>
      <c r="B610" s="468" t="s">
        <v>2225</v>
      </c>
      <c r="C610" s="763"/>
      <c r="D610" s="285">
        <f>D611+D614+D617+D620</f>
        <v>2982.7</v>
      </c>
      <c r="E610" s="285">
        <f t="shared" ref="E610:F610" si="132">E611+E614+E617+E620</f>
        <v>19768.400000000001</v>
      </c>
      <c r="F610" s="285">
        <f t="shared" si="132"/>
        <v>0</v>
      </c>
      <c r="G610" s="462"/>
    </row>
    <row r="611" spans="1:7" ht="63" x14ac:dyDescent="0.25">
      <c r="A611" s="524" t="s">
        <v>2350</v>
      </c>
      <c r="B611" s="468" t="s">
        <v>2351</v>
      </c>
      <c r="C611" s="763"/>
      <c r="D611" s="285">
        <f t="shared" ref="D611:F612" si="133">D612</f>
        <v>2907.7</v>
      </c>
      <c r="E611" s="285">
        <f t="shared" si="133"/>
        <v>15783.4</v>
      </c>
      <c r="F611" s="285">
        <f t="shared" si="133"/>
        <v>0</v>
      </c>
      <c r="G611" s="462"/>
    </row>
    <row r="612" spans="1:7" x14ac:dyDescent="0.25">
      <c r="A612" s="520" t="s">
        <v>1782</v>
      </c>
      <c r="B612" s="468" t="s">
        <v>2351</v>
      </c>
      <c r="C612" s="761">
        <v>200</v>
      </c>
      <c r="D612" s="285">
        <f t="shared" si="133"/>
        <v>2907.7</v>
      </c>
      <c r="E612" s="285">
        <f t="shared" si="133"/>
        <v>15783.4</v>
      </c>
      <c r="F612" s="285">
        <f t="shared" si="133"/>
        <v>0</v>
      </c>
      <c r="G612" s="462"/>
    </row>
    <row r="613" spans="1:7" x14ac:dyDescent="0.25">
      <c r="A613" s="520" t="s">
        <v>1274</v>
      </c>
      <c r="B613" s="468" t="s">
        <v>2351</v>
      </c>
      <c r="C613" s="761">
        <v>240</v>
      </c>
      <c r="D613" s="285">
        <f>'Функц. 2021-2023'!F828</f>
        <v>2907.7</v>
      </c>
      <c r="E613" s="285">
        <f>'Функц. 2021-2023'!H828</f>
        <v>15783.4</v>
      </c>
      <c r="F613" s="285">
        <f>'Функц. 2021-2023'!J828</f>
        <v>0</v>
      </c>
      <c r="G613" s="462"/>
    </row>
    <row r="614" spans="1:7" ht="94.5" x14ac:dyDescent="0.25">
      <c r="A614" s="520" t="s">
        <v>2352</v>
      </c>
      <c r="B614" s="468" t="s">
        <v>2353</v>
      </c>
      <c r="C614" s="763"/>
      <c r="D614" s="285">
        <f t="shared" ref="D614:F615" si="134">D615</f>
        <v>0</v>
      </c>
      <c r="E614" s="285">
        <f t="shared" si="134"/>
        <v>492</v>
      </c>
      <c r="F614" s="285">
        <f t="shared" si="134"/>
        <v>0</v>
      </c>
      <c r="G614" s="462"/>
    </row>
    <row r="615" spans="1:7" ht="31.5" x14ac:dyDescent="0.25">
      <c r="A615" s="520" t="s">
        <v>1343</v>
      </c>
      <c r="B615" s="468" t="s">
        <v>2353</v>
      </c>
      <c r="C615" s="763">
        <v>600</v>
      </c>
      <c r="D615" s="285">
        <f t="shared" si="134"/>
        <v>0</v>
      </c>
      <c r="E615" s="285">
        <f t="shared" si="134"/>
        <v>492</v>
      </c>
      <c r="F615" s="285">
        <f t="shared" si="134"/>
        <v>0</v>
      </c>
      <c r="G615" s="462"/>
    </row>
    <row r="616" spans="1:7" x14ac:dyDescent="0.25">
      <c r="A616" s="520" t="s">
        <v>1344</v>
      </c>
      <c r="B616" s="468" t="s">
        <v>2353</v>
      </c>
      <c r="C616" s="763">
        <v>610</v>
      </c>
      <c r="D616" s="285">
        <f>'Функц. 2021-2023'!F831</f>
        <v>0</v>
      </c>
      <c r="E616" s="285">
        <f>'Функц. 2021-2023'!H831</f>
        <v>492</v>
      </c>
      <c r="F616" s="285">
        <f>'Функц. 2021-2023'!J831</f>
        <v>0</v>
      </c>
      <c r="G616" s="462"/>
    </row>
    <row r="617" spans="1:7" ht="31.5" x14ac:dyDescent="0.25">
      <c r="A617" s="520" t="s">
        <v>2226</v>
      </c>
      <c r="B617" s="468" t="s">
        <v>2227</v>
      </c>
      <c r="C617" s="763"/>
      <c r="D617" s="285">
        <f t="shared" ref="D617:F618" si="135">D618</f>
        <v>0</v>
      </c>
      <c r="E617" s="285">
        <f t="shared" si="135"/>
        <v>3493</v>
      </c>
      <c r="F617" s="285">
        <f t="shared" si="135"/>
        <v>0</v>
      </c>
      <c r="G617" s="462"/>
    </row>
    <row r="618" spans="1:7" ht="31.5" x14ac:dyDescent="0.25">
      <c r="A618" s="520" t="s">
        <v>1343</v>
      </c>
      <c r="B618" s="468" t="s">
        <v>2227</v>
      </c>
      <c r="C618" s="763">
        <v>600</v>
      </c>
      <c r="D618" s="285">
        <f t="shared" si="135"/>
        <v>0</v>
      </c>
      <c r="E618" s="285">
        <f t="shared" si="135"/>
        <v>3493</v>
      </c>
      <c r="F618" s="285">
        <f t="shared" si="135"/>
        <v>0</v>
      </c>
      <c r="G618" s="462"/>
    </row>
    <row r="619" spans="1:7" x14ac:dyDescent="0.25">
      <c r="A619" s="520" t="s">
        <v>1344</v>
      </c>
      <c r="B619" s="468" t="s">
        <v>2227</v>
      </c>
      <c r="C619" s="763">
        <v>610</v>
      </c>
      <c r="D619" s="285">
        <f>'Функц. 2021-2023'!F834</f>
        <v>0</v>
      </c>
      <c r="E619" s="285">
        <f>'Функц. 2021-2023'!H834</f>
        <v>3493</v>
      </c>
      <c r="F619" s="285">
        <f>'Функц. 2021-2023'!J834</f>
        <v>0</v>
      </c>
      <c r="G619" s="462"/>
    </row>
    <row r="620" spans="1:7" s="514" customFormat="1" ht="78.75" x14ac:dyDescent="0.25">
      <c r="A620" s="520" t="s">
        <v>2447</v>
      </c>
      <c r="B620" s="443" t="s">
        <v>2446</v>
      </c>
      <c r="C620" s="577"/>
      <c r="D620" s="285">
        <f>D621</f>
        <v>75</v>
      </c>
      <c r="E620" s="285">
        <f t="shared" ref="E620:F621" si="136">E621</f>
        <v>0</v>
      </c>
      <c r="F620" s="285">
        <f t="shared" si="136"/>
        <v>0</v>
      </c>
      <c r="G620" s="462"/>
    </row>
    <row r="621" spans="1:7" s="514" customFormat="1" x14ac:dyDescent="0.25">
      <c r="A621" s="520" t="s">
        <v>1782</v>
      </c>
      <c r="B621" s="443" t="s">
        <v>2446</v>
      </c>
      <c r="C621" s="577">
        <v>200</v>
      </c>
      <c r="D621" s="285">
        <f>D622</f>
        <v>75</v>
      </c>
      <c r="E621" s="285">
        <f t="shared" si="136"/>
        <v>0</v>
      </c>
      <c r="F621" s="285">
        <f t="shared" si="136"/>
        <v>0</v>
      </c>
      <c r="G621" s="462"/>
    </row>
    <row r="622" spans="1:7" s="514" customFormat="1" x14ac:dyDescent="0.25">
      <c r="A622" s="520" t="s">
        <v>1274</v>
      </c>
      <c r="B622" s="443" t="s">
        <v>2446</v>
      </c>
      <c r="C622" s="577">
        <v>240</v>
      </c>
      <c r="D622" s="285">
        <f>'Функц. 2021-2023'!F837</f>
        <v>75</v>
      </c>
      <c r="E622" s="285">
        <f>'Функц. 2021-2023'!H837</f>
        <v>0</v>
      </c>
      <c r="F622" s="285">
        <f>'ведом. 2021-2023'!AF861</f>
        <v>0</v>
      </c>
      <c r="G622" s="462"/>
    </row>
    <row r="623" spans="1:7" x14ac:dyDescent="0.25">
      <c r="A623" s="789" t="s">
        <v>1989</v>
      </c>
      <c r="B623" s="501" t="s">
        <v>1990</v>
      </c>
      <c r="C623" s="771"/>
      <c r="D623" s="289">
        <f>D624+D629</f>
        <v>9859.6</v>
      </c>
      <c r="E623" s="289">
        <f>E624+E629</f>
        <v>9764.6</v>
      </c>
      <c r="F623" s="289">
        <f>F624+F629</f>
        <v>9764.6</v>
      </c>
      <c r="G623" s="462"/>
    </row>
    <row r="624" spans="1:7" x14ac:dyDescent="0.25">
      <c r="A624" s="518" t="s">
        <v>2371</v>
      </c>
      <c r="B624" s="468" t="s">
        <v>1991</v>
      </c>
      <c r="C624" s="763"/>
      <c r="D624" s="285">
        <f>D625</f>
        <v>239</v>
      </c>
      <c r="E624" s="285">
        <f>E625</f>
        <v>239</v>
      </c>
      <c r="F624" s="285">
        <f>F625</f>
        <v>239</v>
      </c>
      <c r="G624" s="462"/>
    </row>
    <row r="625" spans="1:7" ht="47.25" x14ac:dyDescent="0.25">
      <c r="A625" s="518" t="s">
        <v>2372</v>
      </c>
      <c r="B625" s="468" t="s">
        <v>2175</v>
      </c>
      <c r="C625" s="761"/>
      <c r="D625" s="285">
        <f t="shared" ref="D625:F627" si="137">D626</f>
        <v>239</v>
      </c>
      <c r="E625" s="285">
        <f t="shared" si="137"/>
        <v>239</v>
      </c>
      <c r="F625" s="285">
        <f t="shared" si="137"/>
        <v>239</v>
      </c>
      <c r="G625" s="462"/>
    </row>
    <row r="626" spans="1:7" ht="110.25" x14ac:dyDescent="0.25">
      <c r="A626" s="518" t="s">
        <v>2177</v>
      </c>
      <c r="B626" s="468" t="s">
        <v>2176</v>
      </c>
      <c r="C626" s="761"/>
      <c r="D626" s="285">
        <f t="shared" si="137"/>
        <v>239</v>
      </c>
      <c r="E626" s="285">
        <f t="shared" si="137"/>
        <v>239</v>
      </c>
      <c r="F626" s="285">
        <f t="shared" si="137"/>
        <v>239</v>
      </c>
      <c r="G626" s="462"/>
    </row>
    <row r="627" spans="1:7" ht="47.25" x14ac:dyDescent="0.25">
      <c r="A627" s="515" t="s">
        <v>922</v>
      </c>
      <c r="B627" s="468" t="s">
        <v>2176</v>
      </c>
      <c r="C627" s="761">
        <v>100</v>
      </c>
      <c r="D627" s="285">
        <f t="shared" si="137"/>
        <v>239</v>
      </c>
      <c r="E627" s="285">
        <f t="shared" si="137"/>
        <v>239</v>
      </c>
      <c r="F627" s="285">
        <f t="shared" si="137"/>
        <v>239</v>
      </c>
      <c r="G627" s="462"/>
    </row>
    <row r="628" spans="1:7" x14ac:dyDescent="0.25">
      <c r="A628" s="515" t="s">
        <v>1748</v>
      </c>
      <c r="B628" s="468" t="s">
        <v>2176</v>
      </c>
      <c r="C628" s="761">
        <v>120</v>
      </c>
      <c r="D628" s="285">
        <f>'Функц. 2021-2023'!F611</f>
        <v>239</v>
      </c>
      <c r="E628" s="285">
        <f>'Функц. 2021-2023'!H611</f>
        <v>239</v>
      </c>
      <c r="F628" s="285">
        <f>'Функц. 2021-2023'!J611</f>
        <v>239</v>
      </c>
      <c r="G628" s="462"/>
    </row>
    <row r="629" spans="1:7" x14ac:dyDescent="0.25">
      <c r="A629" s="518" t="s">
        <v>1161</v>
      </c>
      <c r="B629" s="468" t="s">
        <v>2202</v>
      </c>
      <c r="C629" s="761"/>
      <c r="D629" s="285">
        <f t="shared" ref="D629:F630" si="138">D630</f>
        <v>9620.6</v>
      </c>
      <c r="E629" s="285">
        <f t="shared" si="138"/>
        <v>9525.6</v>
      </c>
      <c r="F629" s="285">
        <f t="shared" si="138"/>
        <v>9525.6</v>
      </c>
      <c r="G629" s="462"/>
    </row>
    <row r="630" spans="1:7" ht="31.5" x14ac:dyDescent="0.25">
      <c r="A630" s="518" t="s">
        <v>1910</v>
      </c>
      <c r="B630" s="468" t="s">
        <v>2201</v>
      </c>
      <c r="C630" s="761"/>
      <c r="D630" s="285">
        <f t="shared" si="138"/>
        <v>9620.6</v>
      </c>
      <c r="E630" s="285">
        <f t="shared" si="138"/>
        <v>9525.6</v>
      </c>
      <c r="F630" s="285">
        <f t="shared" si="138"/>
        <v>9525.6</v>
      </c>
      <c r="G630" s="462"/>
    </row>
    <row r="631" spans="1:7" x14ac:dyDescent="0.25">
      <c r="A631" s="515" t="s">
        <v>1924</v>
      </c>
      <c r="B631" s="468" t="s">
        <v>2200</v>
      </c>
      <c r="C631" s="761"/>
      <c r="D631" s="285">
        <f>D632+D637+D640</f>
        <v>9620.6</v>
      </c>
      <c r="E631" s="285">
        <f>E632+E637+E640</f>
        <v>9525.6</v>
      </c>
      <c r="F631" s="285">
        <f>F632+F637+F640</f>
        <v>9525.6</v>
      </c>
      <c r="G631" s="462"/>
    </row>
    <row r="632" spans="1:7" ht="31.5" x14ac:dyDescent="0.25">
      <c r="A632" s="515" t="s">
        <v>1925</v>
      </c>
      <c r="B632" s="468" t="s">
        <v>2199</v>
      </c>
      <c r="C632" s="761"/>
      <c r="D632" s="285">
        <f>D633+D635</f>
        <v>1220.4000000000003</v>
      </c>
      <c r="E632" s="285">
        <f>E633+E635</f>
        <v>1125.4000000000001</v>
      </c>
      <c r="F632" s="285">
        <f>F633+F635</f>
        <v>1125.4000000000001</v>
      </c>
      <c r="G632" s="462"/>
    </row>
    <row r="633" spans="1:7" x14ac:dyDescent="0.25">
      <c r="A633" s="515" t="s">
        <v>1782</v>
      </c>
      <c r="B633" s="468" t="s">
        <v>2199</v>
      </c>
      <c r="C633" s="761">
        <v>200</v>
      </c>
      <c r="D633" s="285">
        <f>D634</f>
        <v>1195.7000000000003</v>
      </c>
      <c r="E633" s="285">
        <f>E634</f>
        <v>1125.4000000000001</v>
      </c>
      <c r="F633" s="285">
        <f>F634</f>
        <v>1125.4000000000001</v>
      </c>
      <c r="G633" s="462"/>
    </row>
    <row r="634" spans="1:7" x14ac:dyDescent="0.25">
      <c r="A634" s="515" t="s">
        <v>1274</v>
      </c>
      <c r="B634" s="468" t="s">
        <v>2199</v>
      </c>
      <c r="C634" s="761">
        <v>240</v>
      </c>
      <c r="D634" s="285">
        <f>'Функц. 2021-2023'!F617</f>
        <v>1195.7000000000003</v>
      </c>
      <c r="E634" s="285">
        <f>'Функц. 2021-2023'!H617</f>
        <v>1125.4000000000001</v>
      </c>
      <c r="F634" s="285">
        <f>'Функц. 2021-2023'!J617</f>
        <v>1125.4000000000001</v>
      </c>
      <c r="G634" s="462"/>
    </row>
    <row r="635" spans="1:7" s="514" customFormat="1" x14ac:dyDescent="0.25">
      <c r="A635" s="520" t="s">
        <v>924</v>
      </c>
      <c r="B635" s="468" t="s">
        <v>2199</v>
      </c>
      <c r="C635" s="761">
        <v>800</v>
      </c>
      <c r="D635" s="285">
        <f>D636</f>
        <v>24.7</v>
      </c>
      <c r="E635" s="285">
        <f>E636</f>
        <v>0</v>
      </c>
      <c r="F635" s="285">
        <f>F636</f>
        <v>0</v>
      </c>
      <c r="G635" s="462"/>
    </row>
    <row r="636" spans="1:7" s="514" customFormat="1" x14ac:dyDescent="0.25">
      <c r="A636" s="520" t="s">
        <v>1320</v>
      </c>
      <c r="B636" s="468" t="s">
        <v>2199</v>
      </c>
      <c r="C636" s="761">
        <v>850</v>
      </c>
      <c r="D636" s="285">
        <f>'Функц. 2021-2023'!F619</f>
        <v>24.7</v>
      </c>
      <c r="E636" s="285">
        <f>'Функц. 2021-2023'!H619</f>
        <v>0</v>
      </c>
      <c r="F636" s="285">
        <f>'Функц. 2021-2023'!J619</f>
        <v>0</v>
      </c>
      <c r="G636" s="462"/>
    </row>
    <row r="637" spans="1:7" ht="31.5" x14ac:dyDescent="0.25">
      <c r="A637" s="515" t="s">
        <v>1926</v>
      </c>
      <c r="B637" s="468" t="s">
        <v>2198</v>
      </c>
      <c r="C637" s="761"/>
      <c r="D637" s="285">
        <f t="shared" ref="D637:F638" si="139">D638</f>
        <v>4697.3</v>
      </c>
      <c r="E637" s="285">
        <f t="shared" si="139"/>
        <v>4697.3</v>
      </c>
      <c r="F637" s="285">
        <f t="shared" si="139"/>
        <v>4697.3</v>
      </c>
      <c r="G637" s="462"/>
    </row>
    <row r="638" spans="1:7" ht="47.25" x14ac:dyDescent="0.25">
      <c r="A638" s="515" t="s">
        <v>922</v>
      </c>
      <c r="B638" s="468" t="s">
        <v>2198</v>
      </c>
      <c r="C638" s="761">
        <v>100</v>
      </c>
      <c r="D638" s="285">
        <f t="shared" si="139"/>
        <v>4697.3</v>
      </c>
      <c r="E638" s="285">
        <f t="shared" si="139"/>
        <v>4697.3</v>
      </c>
      <c r="F638" s="285">
        <f t="shared" si="139"/>
        <v>4697.3</v>
      </c>
      <c r="G638" s="462"/>
    </row>
    <row r="639" spans="1:7" x14ac:dyDescent="0.25">
      <c r="A639" s="515" t="s">
        <v>1748</v>
      </c>
      <c r="B639" s="468" t="s">
        <v>2198</v>
      </c>
      <c r="C639" s="761">
        <v>120</v>
      </c>
      <c r="D639" s="285">
        <f>'Функц. 2021-2023'!F622</f>
        <v>4697.3</v>
      </c>
      <c r="E639" s="285">
        <f>'Функц. 2021-2023'!H622</f>
        <v>4697.3</v>
      </c>
      <c r="F639" s="285">
        <f>'Функц. 2021-2023'!J622</f>
        <v>4697.3</v>
      </c>
      <c r="G639" s="462"/>
    </row>
    <row r="640" spans="1:7" ht="31.5" x14ac:dyDescent="0.25">
      <c r="A640" s="515" t="s">
        <v>1927</v>
      </c>
      <c r="B640" s="468" t="s">
        <v>2197</v>
      </c>
      <c r="C640" s="761"/>
      <c r="D640" s="285">
        <f t="shared" ref="D640:F641" si="140">D641</f>
        <v>3702.9</v>
      </c>
      <c r="E640" s="285">
        <f t="shared" si="140"/>
        <v>3702.9</v>
      </c>
      <c r="F640" s="285">
        <f t="shared" si="140"/>
        <v>3702.9</v>
      </c>
      <c r="G640" s="462"/>
    </row>
    <row r="641" spans="1:7" ht="47.25" x14ac:dyDescent="0.25">
      <c r="A641" s="515" t="s">
        <v>922</v>
      </c>
      <c r="B641" s="468" t="s">
        <v>2197</v>
      </c>
      <c r="C641" s="761">
        <v>100</v>
      </c>
      <c r="D641" s="285">
        <f t="shared" si="140"/>
        <v>3702.9</v>
      </c>
      <c r="E641" s="285">
        <f t="shared" si="140"/>
        <v>3702.9</v>
      </c>
      <c r="F641" s="285">
        <f t="shared" si="140"/>
        <v>3702.9</v>
      </c>
      <c r="G641" s="462"/>
    </row>
    <row r="642" spans="1:7" x14ac:dyDescent="0.25">
      <c r="A642" s="801" t="s">
        <v>1748</v>
      </c>
      <c r="B642" s="820" t="s">
        <v>2197</v>
      </c>
      <c r="C642" s="781">
        <v>120</v>
      </c>
      <c r="D642" s="291">
        <f>'Функц. 2021-2023'!F625</f>
        <v>3702.9</v>
      </c>
      <c r="E642" s="291">
        <f>'Функц. 2021-2023'!H625</f>
        <v>3702.9</v>
      </c>
      <c r="F642" s="291">
        <f>'Функц. 2021-2023'!J625</f>
        <v>3702.9</v>
      </c>
      <c r="G642" s="462"/>
    </row>
    <row r="643" spans="1:7" x14ac:dyDescent="0.25">
      <c r="A643" s="795" t="s">
        <v>1973</v>
      </c>
      <c r="B643" s="501" t="s">
        <v>1974</v>
      </c>
      <c r="C643" s="786"/>
      <c r="D643" s="289">
        <f>D671+D692+D683+D644</f>
        <v>141973.20000000001</v>
      </c>
      <c r="E643" s="289">
        <f>E671+E692+E683+E644</f>
        <v>29893.9</v>
      </c>
      <c r="F643" s="289">
        <f>F671+F692+F683+F644</f>
        <v>35759.600000000006</v>
      </c>
      <c r="G643" s="462"/>
    </row>
    <row r="644" spans="1:7" s="514" customFormat="1" x14ac:dyDescent="0.25">
      <c r="A644" s="549" t="s">
        <v>2343</v>
      </c>
      <c r="B644" s="468" t="s">
        <v>2344</v>
      </c>
      <c r="C644" s="786"/>
      <c r="D644" s="446">
        <f>D661+D645</f>
        <v>94929.600000000006</v>
      </c>
      <c r="E644" s="446">
        <f>E661+E645</f>
        <v>0</v>
      </c>
      <c r="F644" s="446">
        <f>F661+F645</f>
        <v>2500</v>
      </c>
      <c r="G644" s="462"/>
    </row>
    <row r="645" spans="1:7" s="514" customFormat="1" ht="31.5" x14ac:dyDescent="0.25">
      <c r="A645" s="549" t="s">
        <v>2410</v>
      </c>
      <c r="B645" s="468" t="s">
        <v>2411</v>
      </c>
      <c r="C645" s="776"/>
      <c r="D645" s="446">
        <f>D646+D649+D655+D658+D652</f>
        <v>19238.600000000002</v>
      </c>
      <c r="E645" s="446">
        <f t="shared" ref="E645:F645" si="141">E646+E649+E655+E658+E652</f>
        <v>0</v>
      </c>
      <c r="F645" s="446">
        <f t="shared" si="141"/>
        <v>0</v>
      </c>
      <c r="G645" s="462"/>
    </row>
    <row r="646" spans="1:7" s="514" customFormat="1" x14ac:dyDescent="0.25">
      <c r="A646" s="549" t="s">
        <v>2424</v>
      </c>
      <c r="B646" s="468" t="s">
        <v>2423</v>
      </c>
      <c r="C646" s="776"/>
      <c r="D646" s="446">
        <f t="shared" ref="D646:F647" si="142">D647</f>
        <v>4899.2</v>
      </c>
      <c r="E646" s="446">
        <f t="shared" si="142"/>
        <v>0</v>
      </c>
      <c r="F646" s="446">
        <f t="shared" si="142"/>
        <v>0</v>
      </c>
      <c r="G646" s="462"/>
    </row>
    <row r="647" spans="1:7" s="514" customFormat="1" x14ac:dyDescent="0.25">
      <c r="A647" s="520" t="s">
        <v>1782</v>
      </c>
      <c r="B647" s="468" t="s">
        <v>2423</v>
      </c>
      <c r="C647" s="776" t="s">
        <v>821</v>
      </c>
      <c r="D647" s="446">
        <f t="shared" si="142"/>
        <v>4899.2</v>
      </c>
      <c r="E647" s="446">
        <f t="shared" si="142"/>
        <v>0</v>
      </c>
      <c r="F647" s="446">
        <f t="shared" si="142"/>
        <v>0</v>
      </c>
      <c r="G647" s="462"/>
    </row>
    <row r="648" spans="1:7" s="514" customFormat="1" x14ac:dyDescent="0.25">
      <c r="A648" s="520" t="s">
        <v>1274</v>
      </c>
      <c r="B648" s="468" t="s">
        <v>2423</v>
      </c>
      <c r="C648" s="776" t="s">
        <v>1480</v>
      </c>
      <c r="D648" s="446">
        <f>'Функц. 2021-2023'!F551</f>
        <v>4899.2</v>
      </c>
      <c r="E648" s="446">
        <f>'Функц. 2021-2023'!H551</f>
        <v>0</v>
      </c>
      <c r="F648" s="446">
        <f>'Функц. 2021-2023'!J551</f>
        <v>0</v>
      </c>
      <c r="G648" s="462"/>
    </row>
    <row r="649" spans="1:7" s="514" customFormat="1" ht="31.5" x14ac:dyDescent="0.25">
      <c r="A649" s="549" t="s">
        <v>2428</v>
      </c>
      <c r="B649" s="443" t="s">
        <v>2429</v>
      </c>
      <c r="C649" s="580"/>
      <c r="D649" s="446">
        <f>D650</f>
        <v>6365.7999999999993</v>
      </c>
      <c r="E649" s="446">
        <f t="shared" ref="E649:F649" si="143">E650</f>
        <v>0</v>
      </c>
      <c r="F649" s="446">
        <f t="shared" si="143"/>
        <v>0</v>
      </c>
      <c r="G649" s="462"/>
    </row>
    <row r="650" spans="1:7" s="514" customFormat="1" x14ac:dyDescent="0.25">
      <c r="A650" s="520" t="s">
        <v>1782</v>
      </c>
      <c r="B650" s="443" t="s">
        <v>2429</v>
      </c>
      <c r="C650" s="580" t="s">
        <v>821</v>
      </c>
      <c r="D650" s="446">
        <f>D651</f>
        <v>6365.7999999999993</v>
      </c>
      <c r="E650" s="446">
        <f>E651</f>
        <v>0</v>
      </c>
      <c r="F650" s="446">
        <f>F651</f>
        <v>0</v>
      </c>
      <c r="G650" s="462"/>
    </row>
    <row r="651" spans="1:7" s="514" customFormat="1" x14ac:dyDescent="0.25">
      <c r="A651" s="520" t="s">
        <v>1274</v>
      </c>
      <c r="B651" s="443" t="s">
        <v>2429</v>
      </c>
      <c r="C651" s="580" t="s">
        <v>1480</v>
      </c>
      <c r="D651" s="446">
        <f>'Функц. 2021-2023'!F554</f>
        <v>6365.7999999999993</v>
      </c>
      <c r="E651" s="446">
        <f>'Функц. 2021-2023'!H554</f>
        <v>0</v>
      </c>
      <c r="F651" s="446">
        <f>'Функц. 2021-2023'!J554</f>
        <v>0</v>
      </c>
      <c r="G651" s="462"/>
    </row>
    <row r="652" spans="1:7" s="514" customFormat="1" x14ac:dyDescent="0.25">
      <c r="A652" s="520" t="s">
        <v>2445</v>
      </c>
      <c r="B652" s="443" t="s">
        <v>2444</v>
      </c>
      <c r="C652" s="580"/>
      <c r="D652" s="446">
        <f>D653</f>
        <v>85.4</v>
      </c>
      <c r="E652" s="446">
        <f t="shared" ref="E652:F652" si="144">E653</f>
        <v>0</v>
      </c>
      <c r="F652" s="446">
        <f t="shared" si="144"/>
        <v>0</v>
      </c>
      <c r="G652" s="462"/>
    </row>
    <row r="653" spans="1:7" s="514" customFormat="1" x14ac:dyDescent="0.25">
      <c r="A653" s="520" t="s">
        <v>1782</v>
      </c>
      <c r="B653" s="443" t="s">
        <v>2444</v>
      </c>
      <c r="C653" s="580" t="s">
        <v>821</v>
      </c>
      <c r="D653" s="446">
        <f>D654</f>
        <v>85.4</v>
      </c>
      <c r="E653" s="446">
        <f t="shared" ref="E653:F653" si="145">E654</f>
        <v>0</v>
      </c>
      <c r="F653" s="446">
        <f t="shared" si="145"/>
        <v>0</v>
      </c>
      <c r="G653" s="462"/>
    </row>
    <row r="654" spans="1:7" s="514" customFormat="1" x14ac:dyDescent="0.25">
      <c r="A654" s="520" t="s">
        <v>1274</v>
      </c>
      <c r="B654" s="443" t="s">
        <v>2444</v>
      </c>
      <c r="C654" s="580" t="s">
        <v>1480</v>
      </c>
      <c r="D654" s="446">
        <f>'Функц. 2021-2023'!F557</f>
        <v>85.4</v>
      </c>
      <c r="E654" s="446">
        <f>'Функц. 2021-2023'!H557</f>
        <v>0</v>
      </c>
      <c r="F654" s="446">
        <f>'Функц. 2021-2023'!J557</f>
        <v>0</v>
      </c>
      <c r="G654" s="462"/>
    </row>
    <row r="655" spans="1:7" s="514" customFormat="1" x14ac:dyDescent="0.25">
      <c r="A655" s="520" t="s">
        <v>2437</v>
      </c>
      <c r="B655" s="443" t="s">
        <v>2438</v>
      </c>
      <c r="C655" s="580"/>
      <c r="D655" s="446">
        <f>D656</f>
        <v>7303.5</v>
      </c>
      <c r="E655" s="446">
        <f t="shared" ref="E655:F655" si="146">E656</f>
        <v>0</v>
      </c>
      <c r="F655" s="446">
        <f t="shared" si="146"/>
        <v>0</v>
      </c>
      <c r="G655" s="462"/>
    </row>
    <row r="656" spans="1:7" s="514" customFormat="1" x14ac:dyDescent="0.25">
      <c r="A656" s="520" t="s">
        <v>1782</v>
      </c>
      <c r="B656" s="443" t="s">
        <v>2438</v>
      </c>
      <c r="C656" s="580" t="s">
        <v>821</v>
      </c>
      <c r="D656" s="446">
        <f>D657</f>
        <v>7303.5</v>
      </c>
      <c r="E656" s="446">
        <f t="shared" ref="E656:F656" si="147">E657</f>
        <v>0</v>
      </c>
      <c r="F656" s="446">
        <f t="shared" si="147"/>
        <v>0</v>
      </c>
      <c r="G656" s="462"/>
    </row>
    <row r="657" spans="1:7" s="514" customFormat="1" x14ac:dyDescent="0.25">
      <c r="A657" s="520" t="s">
        <v>1274</v>
      </c>
      <c r="B657" s="443" t="s">
        <v>2438</v>
      </c>
      <c r="C657" s="580" t="s">
        <v>1480</v>
      </c>
      <c r="D657" s="446">
        <f>'Функц. 2021-2023'!F406</f>
        <v>7303.5</v>
      </c>
      <c r="E657" s="446">
        <f>'Функц. 2021-2023'!H406</f>
        <v>0</v>
      </c>
      <c r="F657" s="446">
        <f>'Функц. 2021-2023'!J406</f>
        <v>0</v>
      </c>
      <c r="G657" s="462"/>
    </row>
    <row r="658" spans="1:7" s="514" customFormat="1" x14ac:dyDescent="0.25">
      <c r="A658" s="520" t="s">
        <v>2442</v>
      </c>
      <c r="B658" s="443" t="s">
        <v>2441</v>
      </c>
      <c r="C658" s="580"/>
      <c r="D658" s="834">
        <f>D659</f>
        <v>584.70000000000005</v>
      </c>
      <c r="E658" s="834">
        <f t="shared" ref="E658:F658" si="148">E659</f>
        <v>0</v>
      </c>
      <c r="F658" s="834">
        <f t="shared" si="148"/>
        <v>0</v>
      </c>
      <c r="G658" s="462"/>
    </row>
    <row r="659" spans="1:7" s="514" customFormat="1" x14ac:dyDescent="0.25">
      <c r="A659" s="520" t="s">
        <v>1782</v>
      </c>
      <c r="B659" s="443" t="s">
        <v>2441</v>
      </c>
      <c r="C659" s="580" t="s">
        <v>821</v>
      </c>
      <c r="D659" s="834">
        <f>D660</f>
        <v>584.70000000000005</v>
      </c>
      <c r="E659" s="834">
        <f t="shared" ref="E659:F659" si="149">E660</f>
        <v>0</v>
      </c>
      <c r="F659" s="834">
        <f t="shared" si="149"/>
        <v>0</v>
      </c>
      <c r="G659" s="462"/>
    </row>
    <row r="660" spans="1:7" s="514" customFormat="1" x14ac:dyDescent="0.25">
      <c r="A660" s="520" t="s">
        <v>1274</v>
      </c>
      <c r="B660" s="443" t="s">
        <v>2441</v>
      </c>
      <c r="C660" s="580" t="s">
        <v>1480</v>
      </c>
      <c r="D660" s="834">
        <f>'ведом. 2021-2023'!AD917</f>
        <v>584.70000000000005</v>
      </c>
      <c r="E660" s="834">
        <v>0</v>
      </c>
      <c r="F660" s="834">
        <v>0</v>
      </c>
      <c r="G660" s="462"/>
    </row>
    <row r="661" spans="1:7" s="514" customFormat="1" x14ac:dyDescent="0.25">
      <c r="A661" s="530" t="s">
        <v>2345</v>
      </c>
      <c r="B661" s="468" t="s">
        <v>2348</v>
      </c>
      <c r="C661" s="776"/>
      <c r="D661" s="446">
        <f>D662+D665+D668</f>
        <v>75691</v>
      </c>
      <c r="E661" s="446">
        <f>E662+E665+E668</f>
        <v>0</v>
      </c>
      <c r="F661" s="446">
        <f>F662+F665+F668</f>
        <v>2500</v>
      </c>
      <c r="G661" s="462"/>
    </row>
    <row r="662" spans="1:7" s="514" customFormat="1" ht="31.5" x14ac:dyDescent="0.25">
      <c r="A662" s="520" t="s">
        <v>2346</v>
      </c>
      <c r="B662" s="468" t="s">
        <v>2347</v>
      </c>
      <c r="C662" s="761"/>
      <c r="D662" s="446">
        <f xml:space="preserve"> D663</f>
        <v>5500</v>
      </c>
      <c r="E662" s="446">
        <f xml:space="preserve"> E663</f>
        <v>0</v>
      </c>
      <c r="F662" s="446">
        <f xml:space="preserve"> F663</f>
        <v>0</v>
      </c>
      <c r="G662" s="462"/>
    </row>
    <row r="663" spans="1:7" s="514" customFormat="1" x14ac:dyDescent="0.25">
      <c r="A663" s="520" t="s">
        <v>1782</v>
      </c>
      <c r="B663" s="468" t="s">
        <v>2347</v>
      </c>
      <c r="C663" s="776" t="s">
        <v>821</v>
      </c>
      <c r="D663" s="446">
        <f>D664</f>
        <v>5500</v>
      </c>
      <c r="E663" s="446">
        <f>E664</f>
        <v>0</v>
      </c>
      <c r="F663" s="446">
        <f>F664</f>
        <v>0</v>
      </c>
      <c r="G663" s="462"/>
    </row>
    <row r="664" spans="1:7" s="514" customFormat="1" x14ac:dyDescent="0.25">
      <c r="A664" s="520" t="s">
        <v>1274</v>
      </c>
      <c r="B664" s="468" t="s">
        <v>2347</v>
      </c>
      <c r="C664" s="776" t="s">
        <v>1480</v>
      </c>
      <c r="D664" s="446">
        <f>'Функц. 2021-2023'!F561</f>
        <v>5500</v>
      </c>
      <c r="E664" s="446">
        <f>'Функц. 2021-2023'!H561</f>
        <v>0</v>
      </c>
      <c r="F664" s="446">
        <f>'Функц. 2021-2023'!J561</f>
        <v>0</v>
      </c>
      <c r="G664" s="462"/>
    </row>
    <row r="665" spans="1:7" s="514" customFormat="1" ht="31.5" x14ac:dyDescent="0.25">
      <c r="A665" s="530" t="s">
        <v>2434</v>
      </c>
      <c r="B665" s="468" t="s">
        <v>2349</v>
      </c>
      <c r="C665" s="776"/>
      <c r="D665" s="446">
        <f t="shared" ref="D665:F666" si="150">D666</f>
        <v>55442.3</v>
      </c>
      <c r="E665" s="446">
        <f t="shared" si="150"/>
        <v>0</v>
      </c>
      <c r="F665" s="446">
        <f t="shared" si="150"/>
        <v>2500</v>
      </c>
      <c r="G665" s="462"/>
    </row>
    <row r="666" spans="1:7" s="514" customFormat="1" x14ac:dyDescent="0.25">
      <c r="A666" s="520" t="s">
        <v>1782</v>
      </c>
      <c r="B666" s="468" t="s">
        <v>2349</v>
      </c>
      <c r="C666" s="776" t="s">
        <v>821</v>
      </c>
      <c r="D666" s="446">
        <f t="shared" si="150"/>
        <v>55442.3</v>
      </c>
      <c r="E666" s="446">
        <f t="shared" si="150"/>
        <v>0</v>
      </c>
      <c r="F666" s="446">
        <f t="shared" si="150"/>
        <v>2500</v>
      </c>
      <c r="G666" s="462"/>
    </row>
    <row r="667" spans="1:7" s="514" customFormat="1" x14ac:dyDescent="0.25">
      <c r="A667" s="520" t="s">
        <v>1274</v>
      </c>
      <c r="B667" s="468" t="s">
        <v>2349</v>
      </c>
      <c r="C667" s="776" t="s">
        <v>1480</v>
      </c>
      <c r="D667" s="446">
        <f>'Функц. 2021-2023'!F564</f>
        <v>55442.3</v>
      </c>
      <c r="E667" s="446">
        <f>'Функц. 2021-2023'!H564</f>
        <v>0</v>
      </c>
      <c r="F667" s="446">
        <f>'Функц. 2021-2023'!J564</f>
        <v>2500</v>
      </c>
      <c r="G667" s="462"/>
    </row>
    <row r="668" spans="1:7" s="514" customFormat="1" x14ac:dyDescent="0.25">
      <c r="A668" s="520" t="s">
        <v>2421</v>
      </c>
      <c r="B668" s="821" t="s">
        <v>2422</v>
      </c>
      <c r="C668" s="761"/>
      <c r="D668" s="446">
        <f t="shared" ref="D668:F669" si="151">D669</f>
        <v>14748.7</v>
      </c>
      <c r="E668" s="446">
        <f t="shared" si="151"/>
        <v>0</v>
      </c>
      <c r="F668" s="446">
        <f t="shared" si="151"/>
        <v>0</v>
      </c>
      <c r="G668" s="462"/>
    </row>
    <row r="669" spans="1:7" s="514" customFormat="1" x14ac:dyDescent="0.25">
      <c r="A669" s="520" t="s">
        <v>1782</v>
      </c>
      <c r="B669" s="821" t="s">
        <v>2422</v>
      </c>
      <c r="C669" s="761">
        <v>200</v>
      </c>
      <c r="D669" s="446">
        <f t="shared" si="151"/>
        <v>14748.7</v>
      </c>
      <c r="E669" s="446">
        <f t="shared" si="151"/>
        <v>0</v>
      </c>
      <c r="F669" s="446">
        <f t="shared" si="151"/>
        <v>0</v>
      </c>
      <c r="G669" s="462"/>
    </row>
    <row r="670" spans="1:7" s="514" customFormat="1" x14ac:dyDescent="0.25">
      <c r="A670" s="520" t="s">
        <v>1274</v>
      </c>
      <c r="B670" s="821" t="s">
        <v>2422</v>
      </c>
      <c r="C670" s="761">
        <v>240</v>
      </c>
      <c r="D670" s="446">
        <f>'Функц. 2021-2023'!F413</f>
        <v>14748.7</v>
      </c>
      <c r="E670" s="446">
        <f>'Функц. 2021-2023'!H413</f>
        <v>0</v>
      </c>
      <c r="F670" s="446">
        <f>'Функц. 2021-2023'!J413</f>
        <v>0</v>
      </c>
      <c r="G670" s="462"/>
    </row>
    <row r="671" spans="1:7" x14ac:dyDescent="0.25">
      <c r="A671" s="525" t="s">
        <v>1975</v>
      </c>
      <c r="B671" s="468" t="s">
        <v>1976</v>
      </c>
      <c r="C671" s="761"/>
      <c r="D671" s="446">
        <f>D672</f>
        <v>30586.399999999994</v>
      </c>
      <c r="E671" s="446">
        <f>E672</f>
        <v>18825.7</v>
      </c>
      <c r="F671" s="446">
        <f>F672</f>
        <v>22191.4</v>
      </c>
      <c r="G671" s="462"/>
    </row>
    <row r="672" spans="1:7" ht="31.5" x14ac:dyDescent="0.25">
      <c r="A672" s="530" t="s">
        <v>2238</v>
      </c>
      <c r="B672" s="468" t="s">
        <v>1977</v>
      </c>
      <c r="C672" s="761"/>
      <c r="D672" s="446">
        <f>D673+D680</f>
        <v>30586.399999999994</v>
      </c>
      <c r="E672" s="446">
        <f>E673+E680</f>
        <v>18825.7</v>
      </c>
      <c r="F672" s="446">
        <f>F673+F680</f>
        <v>22191.4</v>
      </c>
      <c r="G672" s="462"/>
    </row>
    <row r="673" spans="1:7" x14ac:dyDescent="0.25">
      <c r="A673" s="527" t="s">
        <v>1978</v>
      </c>
      <c r="B673" s="468" t="s">
        <v>1979</v>
      </c>
      <c r="C673" s="761"/>
      <c r="D673" s="446">
        <f>D674+D676+D678</f>
        <v>23875.699999999997</v>
      </c>
      <c r="E673" s="446">
        <f t="shared" ref="E673:F673" si="152">E674+E676+E678</f>
        <v>12115</v>
      </c>
      <c r="F673" s="446">
        <f t="shared" si="152"/>
        <v>15480.7</v>
      </c>
      <c r="G673" s="462"/>
    </row>
    <row r="674" spans="1:7" x14ac:dyDescent="0.25">
      <c r="A674" s="515" t="s">
        <v>1782</v>
      </c>
      <c r="B674" s="468" t="s">
        <v>1979</v>
      </c>
      <c r="C674" s="763">
        <v>200</v>
      </c>
      <c r="D674" s="446">
        <f t="shared" ref="D674:F674" si="153">D675</f>
        <v>23451.699999999997</v>
      </c>
      <c r="E674" s="446">
        <f t="shared" si="153"/>
        <v>12115</v>
      </c>
      <c r="F674" s="446">
        <f t="shared" si="153"/>
        <v>15480.7</v>
      </c>
      <c r="G674" s="462"/>
    </row>
    <row r="675" spans="1:7" x14ac:dyDescent="0.25">
      <c r="A675" s="515" t="s">
        <v>1274</v>
      </c>
      <c r="B675" s="468" t="s">
        <v>1979</v>
      </c>
      <c r="C675" s="761">
        <v>240</v>
      </c>
      <c r="D675" s="446">
        <f>'Функц. 2021-2023'!F569</f>
        <v>23451.699999999997</v>
      </c>
      <c r="E675" s="446">
        <f>'Функц. 2021-2023'!H569</f>
        <v>12115</v>
      </c>
      <c r="F675" s="446">
        <f>'Функц. 2021-2023'!J569</f>
        <v>15480.7</v>
      </c>
      <c r="G675" s="462"/>
    </row>
    <row r="676" spans="1:7" s="514" customFormat="1" ht="31.5" x14ac:dyDescent="0.25">
      <c r="A676" s="515" t="s">
        <v>1343</v>
      </c>
      <c r="B676" s="468" t="s">
        <v>1979</v>
      </c>
      <c r="C676" s="763">
        <v>600</v>
      </c>
      <c r="D676" s="446">
        <f>D677</f>
        <v>300</v>
      </c>
      <c r="E676" s="446">
        <f t="shared" ref="E676:F676" si="154">E677</f>
        <v>0</v>
      </c>
      <c r="F676" s="446">
        <f t="shared" si="154"/>
        <v>0</v>
      </c>
      <c r="G676" s="462"/>
    </row>
    <row r="677" spans="1:7" s="514" customFormat="1" x14ac:dyDescent="0.25">
      <c r="A677" s="515" t="s">
        <v>1344</v>
      </c>
      <c r="B677" s="468" t="s">
        <v>1979</v>
      </c>
      <c r="C677" s="761">
        <v>610</v>
      </c>
      <c r="D677" s="446">
        <f>'Функц. 2021-2023'!F571</f>
        <v>300</v>
      </c>
      <c r="E677" s="446">
        <f>'Функц. 2021-2023'!H571</f>
        <v>0</v>
      </c>
      <c r="F677" s="446">
        <f>'Функц. 2021-2023'!J571</f>
        <v>0</v>
      </c>
      <c r="G677" s="462"/>
    </row>
    <row r="678" spans="1:7" s="514" customFormat="1" x14ac:dyDescent="0.25">
      <c r="A678" s="520" t="s">
        <v>924</v>
      </c>
      <c r="B678" s="468" t="s">
        <v>1979</v>
      </c>
      <c r="C678" s="761">
        <v>800</v>
      </c>
      <c r="D678" s="446">
        <f>D679</f>
        <v>124</v>
      </c>
      <c r="E678" s="446">
        <f t="shared" ref="E678:F678" si="155">E679</f>
        <v>0</v>
      </c>
      <c r="F678" s="446">
        <f t="shared" si="155"/>
        <v>0</v>
      </c>
      <c r="G678" s="462"/>
    </row>
    <row r="679" spans="1:7" s="514" customFormat="1" x14ac:dyDescent="0.25">
      <c r="A679" s="520" t="s">
        <v>1811</v>
      </c>
      <c r="B679" s="468" t="s">
        <v>1979</v>
      </c>
      <c r="C679" s="761">
        <v>830</v>
      </c>
      <c r="D679" s="446">
        <f>'Функц. 2021-2023'!F573</f>
        <v>124</v>
      </c>
      <c r="E679" s="446">
        <f>'Функц. 2021-2023'!H573</f>
        <v>0</v>
      </c>
      <c r="F679" s="446">
        <f>'Функц. 2021-2023'!J573</f>
        <v>0</v>
      </c>
      <c r="G679" s="462"/>
    </row>
    <row r="680" spans="1:7" ht="31.5" x14ac:dyDescent="0.25">
      <c r="A680" s="527" t="s">
        <v>2143</v>
      </c>
      <c r="B680" s="468" t="s">
        <v>2144</v>
      </c>
      <c r="C680" s="761"/>
      <c r="D680" s="446">
        <f t="shared" ref="D680:F681" si="156">D681</f>
        <v>6710.6999999999989</v>
      </c>
      <c r="E680" s="446">
        <f t="shared" si="156"/>
        <v>6710.7</v>
      </c>
      <c r="F680" s="446">
        <f t="shared" si="156"/>
        <v>6710.7</v>
      </c>
      <c r="G680" s="462"/>
    </row>
    <row r="681" spans="1:7" ht="31.5" x14ac:dyDescent="0.25">
      <c r="A681" s="515" t="s">
        <v>1343</v>
      </c>
      <c r="B681" s="468" t="s">
        <v>2144</v>
      </c>
      <c r="C681" s="763">
        <v>600</v>
      </c>
      <c r="D681" s="446">
        <f t="shared" si="156"/>
        <v>6710.6999999999989</v>
      </c>
      <c r="E681" s="446">
        <f t="shared" si="156"/>
        <v>6710.7</v>
      </c>
      <c r="F681" s="446">
        <f t="shared" si="156"/>
        <v>6710.7</v>
      </c>
      <c r="G681" s="462"/>
    </row>
    <row r="682" spans="1:7" x14ac:dyDescent="0.25">
      <c r="A682" s="515" t="s">
        <v>1344</v>
      </c>
      <c r="B682" s="468" t="s">
        <v>2144</v>
      </c>
      <c r="C682" s="761">
        <v>610</v>
      </c>
      <c r="D682" s="446">
        <f>'Функц. 2021-2023'!F576</f>
        <v>6710.6999999999989</v>
      </c>
      <c r="E682" s="446">
        <f>'Функц. 2021-2023'!H576</f>
        <v>6710.7</v>
      </c>
      <c r="F682" s="446">
        <f>'Функц. 2021-2023'!J576</f>
        <v>6710.7</v>
      </c>
      <c r="G682" s="462"/>
    </row>
    <row r="683" spans="1:7" ht="31.5" x14ac:dyDescent="0.25">
      <c r="A683" s="525" t="s">
        <v>2300</v>
      </c>
      <c r="B683" s="468" t="s">
        <v>2146</v>
      </c>
      <c r="C683" s="763"/>
      <c r="D683" s="446">
        <f>D684+D688</f>
        <v>5501</v>
      </c>
      <c r="E683" s="446">
        <f>E684+E688</f>
        <v>100</v>
      </c>
      <c r="F683" s="446">
        <f>F684+F688</f>
        <v>100</v>
      </c>
      <c r="G683" s="462"/>
    </row>
    <row r="684" spans="1:7" ht="31.5" x14ac:dyDescent="0.25">
      <c r="A684" s="530" t="s">
        <v>2153</v>
      </c>
      <c r="B684" s="468" t="s">
        <v>2156</v>
      </c>
      <c r="C684" s="763"/>
      <c r="D684" s="446">
        <f t="shared" ref="D684:F686" si="157">D685</f>
        <v>5301</v>
      </c>
      <c r="E684" s="446">
        <f t="shared" si="157"/>
        <v>0</v>
      </c>
      <c r="F684" s="446">
        <f t="shared" si="157"/>
        <v>0</v>
      </c>
      <c r="G684" s="462"/>
    </row>
    <row r="685" spans="1:7" x14ac:dyDescent="0.25">
      <c r="A685" s="527" t="s">
        <v>2154</v>
      </c>
      <c r="B685" s="468" t="s">
        <v>2155</v>
      </c>
      <c r="C685" s="763"/>
      <c r="D685" s="446">
        <f t="shared" si="157"/>
        <v>5301</v>
      </c>
      <c r="E685" s="446">
        <f t="shared" si="157"/>
        <v>0</v>
      </c>
      <c r="F685" s="446">
        <f t="shared" si="157"/>
        <v>0</v>
      </c>
      <c r="G685" s="462"/>
    </row>
    <row r="686" spans="1:7" x14ac:dyDescent="0.25">
      <c r="A686" s="520" t="s">
        <v>924</v>
      </c>
      <c r="B686" s="468" t="s">
        <v>2155</v>
      </c>
      <c r="C686" s="776" t="s">
        <v>2242</v>
      </c>
      <c r="D686" s="446">
        <f t="shared" si="157"/>
        <v>5301</v>
      </c>
      <c r="E686" s="446">
        <f t="shared" si="157"/>
        <v>0</v>
      </c>
      <c r="F686" s="446">
        <f t="shared" si="157"/>
        <v>0</v>
      </c>
      <c r="G686" s="462"/>
    </row>
    <row r="687" spans="1:7" ht="31.5" x14ac:dyDescent="0.25">
      <c r="A687" s="520" t="s">
        <v>1783</v>
      </c>
      <c r="B687" s="468" t="s">
        <v>2155</v>
      </c>
      <c r="C687" s="776" t="s">
        <v>2243</v>
      </c>
      <c r="D687" s="446">
        <f>'Функц. 2021-2023'!F462</f>
        <v>5301</v>
      </c>
      <c r="E687" s="446">
        <f>'Функц. 2021-2023'!H462</f>
        <v>0</v>
      </c>
      <c r="F687" s="446">
        <f>'Функц. 2021-2023'!J462</f>
        <v>0</v>
      </c>
      <c r="G687" s="462"/>
    </row>
    <row r="688" spans="1:7" ht="31.5" x14ac:dyDescent="0.25">
      <c r="A688" s="527" t="s">
        <v>2147</v>
      </c>
      <c r="B688" s="468" t="s">
        <v>2148</v>
      </c>
      <c r="C688" s="763"/>
      <c r="D688" s="446">
        <f>D689</f>
        <v>200</v>
      </c>
      <c r="E688" s="446">
        <f>E689</f>
        <v>100</v>
      </c>
      <c r="F688" s="446">
        <f>F689</f>
        <v>100</v>
      </c>
      <c r="G688" s="462"/>
    </row>
    <row r="689" spans="1:7" x14ac:dyDescent="0.25">
      <c r="A689" s="527" t="s">
        <v>2230</v>
      </c>
      <c r="B689" s="468" t="s">
        <v>2231</v>
      </c>
      <c r="C689" s="763"/>
      <c r="D689" s="446">
        <f t="shared" ref="D689:F690" si="158">D690</f>
        <v>200</v>
      </c>
      <c r="E689" s="446">
        <f t="shared" si="158"/>
        <v>100</v>
      </c>
      <c r="F689" s="446">
        <f t="shared" si="158"/>
        <v>100</v>
      </c>
      <c r="G689" s="462"/>
    </row>
    <row r="690" spans="1:7" x14ac:dyDescent="0.25">
      <c r="A690" s="515" t="s">
        <v>1782</v>
      </c>
      <c r="B690" s="468" t="s">
        <v>2231</v>
      </c>
      <c r="C690" s="776" t="s">
        <v>821</v>
      </c>
      <c r="D690" s="446">
        <f t="shared" si="158"/>
        <v>200</v>
      </c>
      <c r="E690" s="446">
        <f t="shared" si="158"/>
        <v>100</v>
      </c>
      <c r="F690" s="446">
        <f t="shared" si="158"/>
        <v>100</v>
      </c>
      <c r="G690" s="462"/>
    </row>
    <row r="691" spans="1:7" x14ac:dyDescent="0.25">
      <c r="A691" s="515" t="s">
        <v>1274</v>
      </c>
      <c r="B691" s="468" t="s">
        <v>2231</v>
      </c>
      <c r="C691" s="776" t="s">
        <v>1480</v>
      </c>
      <c r="D691" s="446">
        <f>'Функц. 2021-2023'!F466</f>
        <v>200</v>
      </c>
      <c r="E691" s="446">
        <f>'Функц. 2021-2023'!H466</f>
        <v>100</v>
      </c>
      <c r="F691" s="446">
        <f>'Функц. 2021-2023'!J466</f>
        <v>100</v>
      </c>
      <c r="G691" s="462"/>
    </row>
    <row r="692" spans="1:7" x14ac:dyDescent="0.25">
      <c r="A692" s="525" t="s">
        <v>1908</v>
      </c>
      <c r="B692" s="468" t="s">
        <v>1980</v>
      </c>
      <c r="C692" s="761"/>
      <c r="D692" s="446">
        <f t="shared" ref="D692:F693" si="159">D693</f>
        <v>10956.2</v>
      </c>
      <c r="E692" s="446">
        <f t="shared" si="159"/>
        <v>10968.2</v>
      </c>
      <c r="F692" s="446">
        <f t="shared" si="159"/>
        <v>10968.2</v>
      </c>
      <c r="G692" s="462"/>
    </row>
    <row r="693" spans="1:7" ht="31.5" x14ac:dyDescent="0.25">
      <c r="A693" s="525" t="s">
        <v>1910</v>
      </c>
      <c r="B693" s="468" t="s">
        <v>1981</v>
      </c>
      <c r="C693" s="761"/>
      <c r="D693" s="446">
        <f t="shared" si="159"/>
        <v>10956.2</v>
      </c>
      <c r="E693" s="446">
        <f t="shared" si="159"/>
        <v>10968.2</v>
      </c>
      <c r="F693" s="446">
        <f t="shared" si="159"/>
        <v>10968.2</v>
      </c>
      <c r="G693" s="462"/>
    </row>
    <row r="694" spans="1:7" x14ac:dyDescent="0.25">
      <c r="A694" s="527" t="s">
        <v>1924</v>
      </c>
      <c r="B694" s="468" t="s">
        <v>1982</v>
      </c>
      <c r="C694" s="761"/>
      <c r="D694" s="446">
        <f>D695+D700+D703</f>
        <v>10956.2</v>
      </c>
      <c r="E694" s="446">
        <f>E695+E700+E703</f>
        <v>10968.2</v>
      </c>
      <c r="F694" s="446">
        <f>F695+F700+F703</f>
        <v>10968.2</v>
      </c>
      <c r="G694" s="462"/>
    </row>
    <row r="695" spans="1:7" ht="31.5" x14ac:dyDescent="0.25">
      <c r="A695" s="515" t="s">
        <v>1925</v>
      </c>
      <c r="B695" s="468" t="s">
        <v>1983</v>
      </c>
      <c r="C695" s="784"/>
      <c r="D695" s="446">
        <f>D696+D698</f>
        <v>1866</v>
      </c>
      <c r="E695" s="446">
        <f>E696+E698</f>
        <v>1878</v>
      </c>
      <c r="F695" s="446">
        <f>F696+F698</f>
        <v>1878</v>
      </c>
      <c r="G695" s="462"/>
    </row>
    <row r="696" spans="1:7" x14ac:dyDescent="0.25">
      <c r="A696" s="515" t="s">
        <v>1782</v>
      </c>
      <c r="B696" s="468" t="s">
        <v>1983</v>
      </c>
      <c r="C696" s="761">
        <v>200</v>
      </c>
      <c r="D696" s="446">
        <f>D697</f>
        <v>1857.9</v>
      </c>
      <c r="E696" s="446">
        <f>E697</f>
        <v>1878</v>
      </c>
      <c r="F696" s="446">
        <f>F697</f>
        <v>1878</v>
      </c>
      <c r="G696" s="462"/>
    </row>
    <row r="697" spans="1:7" x14ac:dyDescent="0.25">
      <c r="A697" s="515" t="s">
        <v>1274</v>
      </c>
      <c r="B697" s="468" t="s">
        <v>1983</v>
      </c>
      <c r="C697" s="761">
        <v>240</v>
      </c>
      <c r="D697" s="446">
        <f>'Функц. 2021-2023'!F632</f>
        <v>1857.9</v>
      </c>
      <c r="E697" s="446">
        <f>'Функц. 2021-2023'!H632</f>
        <v>1878</v>
      </c>
      <c r="F697" s="446">
        <f>'Функц. 2021-2023'!J632</f>
        <v>1878</v>
      </c>
      <c r="G697" s="462"/>
    </row>
    <row r="698" spans="1:7" s="514" customFormat="1" x14ac:dyDescent="0.25">
      <c r="A698" s="520" t="s">
        <v>924</v>
      </c>
      <c r="B698" s="468" t="s">
        <v>1983</v>
      </c>
      <c r="C698" s="761">
        <v>800</v>
      </c>
      <c r="D698" s="446">
        <f>D699</f>
        <v>8.1</v>
      </c>
      <c r="E698" s="446">
        <f>E699</f>
        <v>0</v>
      </c>
      <c r="F698" s="446">
        <f>F699</f>
        <v>0</v>
      </c>
      <c r="G698" s="462"/>
    </row>
    <row r="699" spans="1:7" s="514" customFormat="1" x14ac:dyDescent="0.25">
      <c r="A699" s="520" t="s">
        <v>1320</v>
      </c>
      <c r="B699" s="468" t="s">
        <v>1983</v>
      </c>
      <c r="C699" s="761">
        <v>850</v>
      </c>
      <c r="D699" s="446">
        <f>'Функц. 2021-2023'!F634</f>
        <v>8.1</v>
      </c>
      <c r="E699" s="446">
        <f>'Функц. 2021-2023'!H634</f>
        <v>0</v>
      </c>
      <c r="F699" s="446">
        <f>'Функц. 2021-2023'!J634</f>
        <v>0</v>
      </c>
      <c r="G699" s="462"/>
    </row>
    <row r="700" spans="1:7" ht="31.5" x14ac:dyDescent="0.25">
      <c r="A700" s="515" t="s">
        <v>1926</v>
      </c>
      <c r="B700" s="468" t="s">
        <v>1984</v>
      </c>
      <c r="C700" s="784"/>
      <c r="D700" s="446">
        <f t="shared" ref="D700:F701" si="160">D701</f>
        <v>4198.8999999999996</v>
      </c>
      <c r="E700" s="446">
        <f t="shared" si="160"/>
        <v>4198.8999999999996</v>
      </c>
      <c r="F700" s="446">
        <f t="shared" si="160"/>
        <v>4198.8999999999996</v>
      </c>
      <c r="G700" s="462"/>
    </row>
    <row r="701" spans="1:7" ht="47.25" x14ac:dyDescent="0.25">
      <c r="A701" s="515" t="s">
        <v>922</v>
      </c>
      <c r="B701" s="468" t="s">
        <v>1984</v>
      </c>
      <c r="C701" s="761">
        <v>100</v>
      </c>
      <c r="D701" s="446">
        <f t="shared" si="160"/>
        <v>4198.8999999999996</v>
      </c>
      <c r="E701" s="446">
        <f t="shared" si="160"/>
        <v>4198.8999999999996</v>
      </c>
      <c r="F701" s="446">
        <f t="shared" si="160"/>
        <v>4198.8999999999996</v>
      </c>
      <c r="G701" s="462"/>
    </row>
    <row r="702" spans="1:7" x14ac:dyDescent="0.25">
      <c r="A702" s="515" t="s">
        <v>1748</v>
      </c>
      <c r="B702" s="468" t="s">
        <v>1984</v>
      </c>
      <c r="C702" s="761">
        <v>120</v>
      </c>
      <c r="D702" s="446">
        <f>'Функц. 2021-2023'!F637</f>
        <v>4198.8999999999996</v>
      </c>
      <c r="E702" s="446">
        <f>'Функц. 2021-2023'!H637</f>
        <v>4198.8999999999996</v>
      </c>
      <c r="F702" s="446">
        <f>'Функц. 2021-2023'!J637</f>
        <v>4198.8999999999996</v>
      </c>
      <c r="G702" s="462"/>
    </row>
    <row r="703" spans="1:7" ht="31.5" x14ac:dyDescent="0.25">
      <c r="A703" s="515" t="s">
        <v>1927</v>
      </c>
      <c r="B703" s="468" t="s">
        <v>1985</v>
      </c>
      <c r="C703" s="784"/>
      <c r="D703" s="446">
        <f t="shared" ref="D703:F704" si="161">D704</f>
        <v>4891.3</v>
      </c>
      <c r="E703" s="446">
        <f t="shared" si="161"/>
        <v>4891.3</v>
      </c>
      <c r="F703" s="446">
        <f t="shared" si="161"/>
        <v>4891.3</v>
      </c>
      <c r="G703" s="462"/>
    </row>
    <row r="704" spans="1:7" ht="47.25" x14ac:dyDescent="0.25">
      <c r="A704" s="515" t="s">
        <v>922</v>
      </c>
      <c r="B704" s="468" t="s">
        <v>1985</v>
      </c>
      <c r="C704" s="761">
        <v>100</v>
      </c>
      <c r="D704" s="446">
        <f t="shared" si="161"/>
        <v>4891.3</v>
      </c>
      <c r="E704" s="446">
        <f t="shared" si="161"/>
        <v>4891.3</v>
      </c>
      <c r="F704" s="446">
        <f t="shared" si="161"/>
        <v>4891.3</v>
      </c>
      <c r="G704" s="462"/>
    </row>
    <row r="705" spans="1:7" x14ac:dyDescent="0.25">
      <c r="A705" s="515" t="s">
        <v>1748</v>
      </c>
      <c r="B705" s="468" t="s">
        <v>1985</v>
      </c>
      <c r="C705" s="761">
        <v>120</v>
      </c>
      <c r="D705" s="446">
        <f>'Функц. 2021-2023'!F640</f>
        <v>4891.3</v>
      </c>
      <c r="E705" s="446">
        <f>'Функц. 2021-2023'!H640</f>
        <v>4891.3</v>
      </c>
      <c r="F705" s="446">
        <f>'Функц. 2021-2023'!J640</f>
        <v>4891.3</v>
      </c>
      <c r="G705" s="462"/>
    </row>
    <row r="706" spans="1:7" x14ac:dyDescent="0.25">
      <c r="A706" s="795" t="s">
        <v>1992</v>
      </c>
      <c r="B706" s="501" t="s">
        <v>1993</v>
      </c>
      <c r="C706" s="771"/>
      <c r="D706" s="448">
        <f>D707</f>
        <v>0</v>
      </c>
      <c r="E706" s="448">
        <f>E707</f>
        <v>0</v>
      </c>
      <c r="F706" s="448">
        <f>F707</f>
        <v>8105.2999999999993</v>
      </c>
      <c r="G706" s="462"/>
    </row>
    <row r="707" spans="1:7" x14ac:dyDescent="0.25">
      <c r="A707" s="803" t="s">
        <v>2233</v>
      </c>
      <c r="B707" s="468" t="s">
        <v>2234</v>
      </c>
      <c r="C707" s="771"/>
      <c r="D707" s="448">
        <f t="shared" ref="D707:F708" si="162">D708</f>
        <v>0</v>
      </c>
      <c r="E707" s="448">
        <f t="shared" si="162"/>
        <v>0</v>
      </c>
      <c r="F707" s="448">
        <f t="shared" si="162"/>
        <v>8105.2999999999993</v>
      </c>
      <c r="G707" s="462"/>
    </row>
    <row r="708" spans="1:7" x14ac:dyDescent="0.25">
      <c r="A708" s="519" t="s">
        <v>1994</v>
      </c>
      <c r="B708" s="468" t="s">
        <v>1995</v>
      </c>
      <c r="C708" s="761"/>
      <c r="D708" s="446">
        <f>D709</f>
        <v>0</v>
      </c>
      <c r="E708" s="446">
        <f t="shared" si="162"/>
        <v>0</v>
      </c>
      <c r="F708" s="446">
        <f t="shared" si="162"/>
        <v>8105.2999999999993</v>
      </c>
      <c r="G708" s="462"/>
    </row>
    <row r="709" spans="1:7" ht="31.5" x14ac:dyDescent="0.25">
      <c r="A709" s="519" t="s">
        <v>1996</v>
      </c>
      <c r="B709" s="468" t="s">
        <v>1997</v>
      </c>
      <c r="C709" s="761"/>
      <c r="D709" s="446">
        <f t="shared" ref="D709:F711" si="163">D710</f>
        <v>0</v>
      </c>
      <c r="E709" s="446">
        <f t="shared" si="163"/>
        <v>0</v>
      </c>
      <c r="F709" s="446">
        <f t="shared" si="163"/>
        <v>8105.2999999999993</v>
      </c>
      <c r="G709" s="462"/>
    </row>
    <row r="710" spans="1:7" ht="47.25" x14ac:dyDescent="0.25">
      <c r="A710" s="804" t="s">
        <v>2420</v>
      </c>
      <c r="B710" s="468" t="s">
        <v>1998</v>
      </c>
      <c r="C710" s="761"/>
      <c r="D710" s="446">
        <f t="shared" si="163"/>
        <v>0</v>
      </c>
      <c r="E710" s="446">
        <f t="shared" si="163"/>
        <v>0</v>
      </c>
      <c r="F710" s="446">
        <f t="shared" si="163"/>
        <v>8105.2999999999993</v>
      </c>
      <c r="G710" s="462"/>
    </row>
    <row r="711" spans="1:7" x14ac:dyDescent="0.25">
      <c r="A711" s="805" t="s">
        <v>1837</v>
      </c>
      <c r="B711" s="822" t="s">
        <v>1998</v>
      </c>
      <c r="C711" s="780">
        <v>400</v>
      </c>
      <c r="D711" s="446">
        <f t="shared" si="163"/>
        <v>0</v>
      </c>
      <c r="E711" s="446">
        <f t="shared" si="163"/>
        <v>0</v>
      </c>
      <c r="F711" s="446">
        <f t="shared" si="163"/>
        <v>8105.2999999999993</v>
      </c>
      <c r="G711" s="462"/>
    </row>
    <row r="712" spans="1:7" x14ac:dyDescent="0.25">
      <c r="A712" s="806" t="s">
        <v>232</v>
      </c>
      <c r="B712" s="468" t="s">
        <v>1998</v>
      </c>
      <c r="C712" s="780">
        <v>410</v>
      </c>
      <c r="D712" s="446">
        <f>'Функц. 2021-2023'!F720</f>
        <v>0</v>
      </c>
      <c r="E712" s="446">
        <f>'Функц. 2021-2023'!H720</f>
        <v>0</v>
      </c>
      <c r="F712" s="446">
        <f>'Функц. 2021-2023'!J720</f>
        <v>8105.2999999999993</v>
      </c>
      <c r="G712" s="462"/>
    </row>
    <row r="713" spans="1:7" s="506" customFormat="1" x14ac:dyDescent="0.25">
      <c r="A713" s="807" t="s">
        <v>2246</v>
      </c>
      <c r="B713" s="468"/>
      <c r="C713" s="780"/>
      <c r="D713" s="448">
        <f>D706+D643+D623+D583+D557+D479+D374+D341+D327+D244+D238+D214+D168+D80+D26+D20+D368</f>
        <v>3712055.8999999994</v>
      </c>
      <c r="E713" s="448">
        <f>E706+E643+E623+E583+E557+E479+E374+E341+E327+E244+E238+E214+E168+E80+E26+E20</f>
        <v>2363014.4</v>
      </c>
      <c r="F713" s="448">
        <f>F706+F643+F623+F583+F557+F479+F374+F341+F327+F244+F238+F214+F168+F80+F26+F20</f>
        <v>1681914.6</v>
      </c>
      <c r="G713" s="462"/>
    </row>
    <row r="714" spans="1:7" s="505" customFormat="1" ht="31.5" x14ac:dyDescent="0.25">
      <c r="A714" s="795" t="s">
        <v>2049</v>
      </c>
      <c r="B714" s="501" t="s">
        <v>1757</v>
      </c>
      <c r="C714" s="771"/>
      <c r="D714" s="289">
        <f>D715+D718+D721+G724+D733+D743+D746</f>
        <v>23469</v>
      </c>
      <c r="E714" s="289">
        <f>E715+E718+E721+H724+E733+E743+E746</f>
        <v>22269</v>
      </c>
      <c r="F714" s="289">
        <f>F715+F718+F721+I724+F733+F743+F746</f>
        <v>22269</v>
      </c>
      <c r="G714" s="462"/>
    </row>
    <row r="715" spans="1:7" x14ac:dyDescent="0.25">
      <c r="A715" s="808" t="s">
        <v>2064</v>
      </c>
      <c r="B715" s="468" t="s">
        <v>2067</v>
      </c>
      <c r="C715" s="761"/>
      <c r="D715" s="285">
        <f t="shared" ref="D715:F716" si="164">D716</f>
        <v>2178.4</v>
      </c>
      <c r="E715" s="285">
        <f t="shared" si="164"/>
        <v>2178.4</v>
      </c>
      <c r="F715" s="285">
        <f t="shared" si="164"/>
        <v>2178.4</v>
      </c>
      <c r="G715" s="462"/>
    </row>
    <row r="716" spans="1:7" ht="47.25" x14ac:dyDescent="0.25">
      <c r="A716" s="515" t="s">
        <v>922</v>
      </c>
      <c r="B716" s="468" t="s">
        <v>2067</v>
      </c>
      <c r="C716" s="763">
        <v>100</v>
      </c>
      <c r="D716" s="285">
        <f t="shared" si="164"/>
        <v>2178.4</v>
      </c>
      <c r="E716" s="285">
        <f t="shared" si="164"/>
        <v>2178.4</v>
      </c>
      <c r="F716" s="285">
        <f t="shared" si="164"/>
        <v>2178.4</v>
      </c>
      <c r="G716" s="462"/>
    </row>
    <row r="717" spans="1:7" x14ac:dyDescent="0.25">
      <c r="A717" s="515" t="s">
        <v>1748</v>
      </c>
      <c r="B717" s="468" t="s">
        <v>2067</v>
      </c>
      <c r="C717" s="761">
        <v>120</v>
      </c>
      <c r="D717" s="285">
        <f>'Функц. 2021-2023'!F40</f>
        <v>2178.4</v>
      </c>
      <c r="E717" s="285">
        <f>'Функц. 2021-2023'!H40</f>
        <v>2178.4</v>
      </c>
      <c r="F717" s="285">
        <f>'Функц. 2021-2023'!J40</f>
        <v>2178.4</v>
      </c>
      <c r="G717" s="462"/>
    </row>
    <row r="718" spans="1:7" x14ac:dyDescent="0.25">
      <c r="A718" s="515" t="s">
        <v>2178</v>
      </c>
      <c r="B718" s="468" t="s">
        <v>2068</v>
      </c>
      <c r="C718" s="761"/>
      <c r="D718" s="285">
        <f t="shared" ref="D718:F719" si="165">D719</f>
        <v>1765.1</v>
      </c>
      <c r="E718" s="285">
        <f t="shared" si="165"/>
        <v>1765.1</v>
      </c>
      <c r="F718" s="285">
        <f t="shared" si="165"/>
        <v>1765.1</v>
      </c>
      <c r="G718" s="462"/>
    </row>
    <row r="719" spans="1:7" ht="47.25" x14ac:dyDescent="0.25">
      <c r="A719" s="515" t="s">
        <v>922</v>
      </c>
      <c r="B719" s="468" t="s">
        <v>2068</v>
      </c>
      <c r="C719" s="763">
        <v>100</v>
      </c>
      <c r="D719" s="285">
        <f t="shared" si="165"/>
        <v>1765.1</v>
      </c>
      <c r="E719" s="285">
        <f t="shared" si="165"/>
        <v>1765.1</v>
      </c>
      <c r="F719" s="285">
        <f t="shared" si="165"/>
        <v>1765.1</v>
      </c>
      <c r="G719" s="462"/>
    </row>
    <row r="720" spans="1:7" x14ac:dyDescent="0.25">
      <c r="A720" s="515" t="s">
        <v>1748</v>
      </c>
      <c r="B720" s="468" t="s">
        <v>2068</v>
      </c>
      <c r="C720" s="761">
        <v>120</v>
      </c>
      <c r="D720" s="285">
        <f>'Функц. 2021-2023'!F43</f>
        <v>1765.1</v>
      </c>
      <c r="E720" s="285">
        <f>'Функц. 2021-2023'!H43</f>
        <v>1765.1</v>
      </c>
      <c r="F720" s="285">
        <f>'Функц. 2021-2023'!J43</f>
        <v>1765.1</v>
      </c>
      <c r="G720" s="462"/>
    </row>
    <row r="721" spans="1:7" x14ac:dyDescent="0.25">
      <c r="A721" s="526" t="s">
        <v>2065</v>
      </c>
      <c r="B721" s="468" t="s">
        <v>2066</v>
      </c>
      <c r="C721" s="761"/>
      <c r="D721" s="285">
        <f>D722+D727+D730</f>
        <v>7834.6</v>
      </c>
      <c r="E721" s="285">
        <f>E722+E727+E730</f>
        <v>6634.6</v>
      </c>
      <c r="F721" s="285">
        <f>F722+F727+F730</f>
        <v>6634.6</v>
      </c>
      <c r="G721" s="462"/>
    </row>
    <row r="722" spans="1:7" ht="31.5" x14ac:dyDescent="0.25">
      <c r="A722" s="515" t="s">
        <v>2069</v>
      </c>
      <c r="B722" s="468" t="s">
        <v>2070</v>
      </c>
      <c r="C722" s="761"/>
      <c r="D722" s="285">
        <f>D723+D725</f>
        <v>1518.1</v>
      </c>
      <c r="E722" s="285">
        <f>E723+E725</f>
        <v>1518.1</v>
      </c>
      <c r="F722" s="285">
        <f>F723+F725</f>
        <v>1518.1</v>
      </c>
      <c r="G722" s="462"/>
    </row>
    <row r="723" spans="1:7" x14ac:dyDescent="0.25">
      <c r="A723" s="515" t="s">
        <v>1782</v>
      </c>
      <c r="B723" s="468" t="s">
        <v>2070</v>
      </c>
      <c r="C723" s="761">
        <v>200</v>
      </c>
      <c r="D723" s="285">
        <f>D724</f>
        <v>1518</v>
      </c>
      <c r="E723" s="285">
        <f>E724</f>
        <v>1518.1</v>
      </c>
      <c r="F723" s="285">
        <f>F724</f>
        <v>1518.1</v>
      </c>
      <c r="G723" s="462"/>
    </row>
    <row r="724" spans="1:7" x14ac:dyDescent="0.25">
      <c r="A724" s="515" t="s">
        <v>1274</v>
      </c>
      <c r="B724" s="468" t="s">
        <v>2070</v>
      </c>
      <c r="C724" s="761">
        <v>240</v>
      </c>
      <c r="D724" s="285">
        <f>'Функц. 2021-2023'!F47</f>
        <v>1518</v>
      </c>
      <c r="E724" s="285">
        <f>'Функц. 2021-2023'!H47</f>
        <v>1518.1</v>
      </c>
      <c r="F724" s="285">
        <f>'Функц. 2021-2023'!J47</f>
        <v>1518.1</v>
      </c>
      <c r="G724" s="462"/>
    </row>
    <row r="725" spans="1:7" s="514" customFormat="1" x14ac:dyDescent="0.25">
      <c r="A725" s="520" t="s">
        <v>924</v>
      </c>
      <c r="B725" s="468" t="s">
        <v>2070</v>
      </c>
      <c r="C725" s="761">
        <v>800</v>
      </c>
      <c r="D725" s="285">
        <f>D726</f>
        <v>0.1</v>
      </c>
      <c r="E725" s="285">
        <f>E726</f>
        <v>0</v>
      </c>
      <c r="F725" s="285">
        <f>F726</f>
        <v>0</v>
      </c>
      <c r="G725" s="462"/>
    </row>
    <row r="726" spans="1:7" s="514" customFormat="1" x14ac:dyDescent="0.25">
      <c r="A726" s="520" t="s">
        <v>1320</v>
      </c>
      <c r="B726" s="468" t="s">
        <v>2070</v>
      </c>
      <c r="C726" s="761">
        <v>850</v>
      </c>
      <c r="D726" s="285">
        <f>'Функц. 2021-2023'!F49</f>
        <v>0.1</v>
      </c>
      <c r="E726" s="285">
        <f>'Функц. 2021-2023'!H49</f>
        <v>0</v>
      </c>
      <c r="F726" s="285">
        <f>'Функц. 2021-2023'!J49</f>
        <v>0</v>
      </c>
      <c r="G726" s="462"/>
    </row>
    <row r="727" spans="1:7" ht="47.25" x14ac:dyDescent="0.25">
      <c r="A727" s="520" t="s">
        <v>2073</v>
      </c>
      <c r="B727" s="468" t="s">
        <v>2071</v>
      </c>
      <c r="C727" s="761"/>
      <c r="D727" s="285">
        <f t="shared" ref="D727:F728" si="166">D728</f>
        <v>2961</v>
      </c>
      <c r="E727" s="285">
        <f t="shared" si="166"/>
        <v>2961</v>
      </c>
      <c r="F727" s="285">
        <f t="shared" si="166"/>
        <v>2961</v>
      </c>
      <c r="G727" s="462"/>
    </row>
    <row r="728" spans="1:7" ht="47.25" x14ac:dyDescent="0.25">
      <c r="A728" s="515" t="s">
        <v>922</v>
      </c>
      <c r="B728" s="468" t="s">
        <v>2071</v>
      </c>
      <c r="C728" s="763">
        <v>100</v>
      </c>
      <c r="D728" s="285">
        <f t="shared" si="166"/>
        <v>2961</v>
      </c>
      <c r="E728" s="285">
        <f t="shared" si="166"/>
        <v>2961</v>
      </c>
      <c r="F728" s="285">
        <f t="shared" si="166"/>
        <v>2961</v>
      </c>
      <c r="G728" s="462"/>
    </row>
    <row r="729" spans="1:7" x14ac:dyDescent="0.25">
      <c r="A729" s="515" t="s">
        <v>1748</v>
      </c>
      <c r="B729" s="468" t="s">
        <v>2071</v>
      </c>
      <c r="C729" s="761">
        <v>120</v>
      </c>
      <c r="D729" s="285">
        <f>'Функц. 2021-2023'!F52</f>
        <v>2961</v>
      </c>
      <c r="E729" s="285">
        <f>'Функц. 2021-2023'!H52</f>
        <v>2961</v>
      </c>
      <c r="F729" s="285">
        <f>'Функц. 2021-2023'!J52</f>
        <v>2961</v>
      </c>
      <c r="G729" s="462"/>
    </row>
    <row r="730" spans="1:7" ht="31.5" x14ac:dyDescent="0.25">
      <c r="A730" s="515" t="s">
        <v>2074</v>
      </c>
      <c r="B730" s="468" t="s">
        <v>2072</v>
      </c>
      <c r="C730" s="761"/>
      <c r="D730" s="285">
        <f t="shared" ref="D730:F731" si="167">D731</f>
        <v>3355.5</v>
      </c>
      <c r="E730" s="285">
        <f t="shared" si="167"/>
        <v>2155.5</v>
      </c>
      <c r="F730" s="285">
        <f t="shared" si="167"/>
        <v>2155.5</v>
      </c>
      <c r="G730" s="462"/>
    </row>
    <row r="731" spans="1:7" ht="47.25" x14ac:dyDescent="0.25">
      <c r="A731" s="515" t="s">
        <v>922</v>
      </c>
      <c r="B731" s="468" t="s">
        <v>2072</v>
      </c>
      <c r="C731" s="763">
        <v>100</v>
      </c>
      <c r="D731" s="285">
        <f t="shared" si="167"/>
        <v>3355.5</v>
      </c>
      <c r="E731" s="285">
        <f t="shared" si="167"/>
        <v>2155.5</v>
      </c>
      <c r="F731" s="285">
        <f t="shared" si="167"/>
        <v>2155.5</v>
      </c>
      <c r="G731" s="462"/>
    </row>
    <row r="732" spans="1:7" x14ac:dyDescent="0.25">
      <c r="A732" s="515" t="s">
        <v>1748</v>
      </c>
      <c r="B732" s="468" t="s">
        <v>2072</v>
      </c>
      <c r="C732" s="761">
        <v>120</v>
      </c>
      <c r="D732" s="285">
        <f>'Функц. 2021-2023'!F55</f>
        <v>3355.5</v>
      </c>
      <c r="E732" s="285">
        <f>'Функц. 2021-2023'!H55</f>
        <v>2155.5</v>
      </c>
      <c r="F732" s="285">
        <f>'Функц. 2021-2023'!J55</f>
        <v>2155.5</v>
      </c>
      <c r="G732" s="462"/>
    </row>
    <row r="733" spans="1:7" x14ac:dyDescent="0.25">
      <c r="A733" s="526" t="s">
        <v>2057</v>
      </c>
      <c r="B733" s="468" t="s">
        <v>2058</v>
      </c>
      <c r="C733" s="761"/>
      <c r="D733" s="285">
        <f>D734+D737+D740</f>
        <v>4404</v>
      </c>
      <c r="E733" s="285">
        <f>E734+E737+E740</f>
        <v>4404</v>
      </c>
      <c r="F733" s="285">
        <f>F734+F737+F740</f>
        <v>4404</v>
      </c>
      <c r="G733" s="462"/>
    </row>
    <row r="734" spans="1:7" ht="31.5" x14ac:dyDescent="0.25">
      <c r="A734" s="515" t="s">
        <v>2059</v>
      </c>
      <c r="B734" s="468" t="s">
        <v>2060</v>
      </c>
      <c r="C734" s="761"/>
      <c r="D734" s="285">
        <f t="shared" ref="D734:F735" si="168">D735</f>
        <v>415.1</v>
      </c>
      <c r="E734" s="285">
        <f t="shared" si="168"/>
        <v>415.1</v>
      </c>
      <c r="F734" s="285">
        <f t="shared" si="168"/>
        <v>415.1</v>
      </c>
      <c r="G734" s="462"/>
    </row>
    <row r="735" spans="1:7" x14ac:dyDescent="0.25">
      <c r="A735" s="515" t="s">
        <v>1782</v>
      </c>
      <c r="B735" s="468" t="s">
        <v>2060</v>
      </c>
      <c r="C735" s="761">
        <v>200</v>
      </c>
      <c r="D735" s="285">
        <f t="shared" si="168"/>
        <v>415.1</v>
      </c>
      <c r="E735" s="285">
        <f t="shared" si="168"/>
        <v>415.1</v>
      </c>
      <c r="F735" s="285">
        <f t="shared" si="168"/>
        <v>415.1</v>
      </c>
      <c r="G735" s="462"/>
    </row>
    <row r="736" spans="1:7" x14ac:dyDescent="0.25">
      <c r="A736" s="515" t="s">
        <v>1274</v>
      </c>
      <c r="B736" s="468" t="s">
        <v>2060</v>
      </c>
      <c r="C736" s="761">
        <v>240</v>
      </c>
      <c r="D736" s="285">
        <f>'Функц. 2021-2023'!F155</f>
        <v>415.1</v>
      </c>
      <c r="E736" s="285">
        <f>'Функц. 2021-2023'!H155</f>
        <v>415.1</v>
      </c>
      <c r="F736" s="285">
        <f>'Функц. 2021-2023'!J155</f>
        <v>415.1</v>
      </c>
      <c r="G736" s="462"/>
    </row>
    <row r="737" spans="1:7" ht="47.25" x14ac:dyDescent="0.25">
      <c r="A737" s="520" t="s">
        <v>2258</v>
      </c>
      <c r="B737" s="468" t="s">
        <v>2061</v>
      </c>
      <c r="C737" s="761"/>
      <c r="D737" s="285">
        <f t="shared" ref="D737:F738" si="169">D738</f>
        <v>1879.2</v>
      </c>
      <c r="E737" s="285">
        <f t="shared" si="169"/>
        <v>1879.2</v>
      </c>
      <c r="F737" s="285">
        <f t="shared" si="169"/>
        <v>1879.2</v>
      </c>
      <c r="G737" s="462"/>
    </row>
    <row r="738" spans="1:7" ht="47.25" x14ac:dyDescent="0.25">
      <c r="A738" s="515" t="s">
        <v>922</v>
      </c>
      <c r="B738" s="468" t="s">
        <v>2061</v>
      </c>
      <c r="C738" s="761">
        <v>100</v>
      </c>
      <c r="D738" s="285">
        <f t="shared" si="169"/>
        <v>1879.2</v>
      </c>
      <c r="E738" s="285">
        <f t="shared" si="169"/>
        <v>1879.2</v>
      </c>
      <c r="F738" s="285">
        <f t="shared" si="169"/>
        <v>1879.2</v>
      </c>
      <c r="G738" s="462"/>
    </row>
    <row r="739" spans="1:7" x14ac:dyDescent="0.25">
      <c r="A739" s="515" t="s">
        <v>1748</v>
      </c>
      <c r="B739" s="468" t="s">
        <v>2061</v>
      </c>
      <c r="C739" s="761">
        <v>120</v>
      </c>
      <c r="D739" s="285">
        <f>'Функц. 2021-2023'!F158</f>
        <v>1879.2</v>
      </c>
      <c r="E739" s="285">
        <f>'Функц. 2021-2023'!H158</f>
        <v>1879.2</v>
      </c>
      <c r="F739" s="285">
        <f>'Функц. 2021-2023'!J158</f>
        <v>1879.2</v>
      </c>
      <c r="G739" s="462"/>
    </row>
    <row r="740" spans="1:7" ht="47.25" x14ac:dyDescent="0.25">
      <c r="A740" s="461" t="s">
        <v>2062</v>
      </c>
      <c r="B740" s="468" t="s">
        <v>2063</v>
      </c>
      <c r="C740" s="761"/>
      <c r="D740" s="285">
        <f t="shared" ref="D740:F741" si="170">D741</f>
        <v>2109.6999999999998</v>
      </c>
      <c r="E740" s="285">
        <f t="shared" si="170"/>
        <v>2109.6999999999998</v>
      </c>
      <c r="F740" s="285">
        <f t="shared" si="170"/>
        <v>2109.6999999999998</v>
      </c>
      <c r="G740" s="462"/>
    </row>
    <row r="741" spans="1:7" ht="47.25" x14ac:dyDescent="0.25">
      <c r="A741" s="515" t="s">
        <v>922</v>
      </c>
      <c r="B741" s="468" t="s">
        <v>2063</v>
      </c>
      <c r="C741" s="761">
        <v>100</v>
      </c>
      <c r="D741" s="285">
        <f t="shared" si="170"/>
        <v>2109.6999999999998</v>
      </c>
      <c r="E741" s="285">
        <f t="shared" si="170"/>
        <v>2109.6999999999998</v>
      </c>
      <c r="F741" s="285">
        <f t="shared" si="170"/>
        <v>2109.6999999999998</v>
      </c>
      <c r="G741" s="462"/>
    </row>
    <row r="742" spans="1:7" x14ac:dyDescent="0.25">
      <c r="A742" s="515" t="s">
        <v>1748</v>
      </c>
      <c r="B742" s="468" t="s">
        <v>2063</v>
      </c>
      <c r="C742" s="761">
        <v>120</v>
      </c>
      <c r="D742" s="285">
        <f>'Функц. 2021-2023'!F161</f>
        <v>2109.6999999999998</v>
      </c>
      <c r="E742" s="285">
        <f>'Функц. 2021-2023'!H161</f>
        <v>2109.6999999999998</v>
      </c>
      <c r="F742" s="285">
        <f>'Функц. 2021-2023'!J161</f>
        <v>2109.6999999999998</v>
      </c>
      <c r="G742" s="462"/>
    </row>
    <row r="743" spans="1:7" x14ac:dyDescent="0.25">
      <c r="A743" s="526" t="s">
        <v>2046</v>
      </c>
      <c r="B743" s="468" t="s">
        <v>2056</v>
      </c>
      <c r="C743" s="765"/>
      <c r="D743" s="285">
        <f t="shared" ref="D743:F744" si="171">D744</f>
        <v>1968</v>
      </c>
      <c r="E743" s="285">
        <f t="shared" si="171"/>
        <v>1880</v>
      </c>
      <c r="F743" s="285">
        <f t="shared" si="171"/>
        <v>1880</v>
      </c>
      <c r="G743" s="462"/>
    </row>
    <row r="744" spans="1:7" ht="47.25" x14ac:dyDescent="0.25">
      <c r="A744" s="515" t="s">
        <v>922</v>
      </c>
      <c r="B744" s="468" t="s">
        <v>2056</v>
      </c>
      <c r="C744" s="761">
        <v>100</v>
      </c>
      <c r="D744" s="285">
        <f t="shared" si="171"/>
        <v>1968</v>
      </c>
      <c r="E744" s="285">
        <f t="shared" si="171"/>
        <v>1880</v>
      </c>
      <c r="F744" s="285">
        <f t="shared" si="171"/>
        <v>1880</v>
      </c>
      <c r="G744" s="462"/>
    </row>
    <row r="745" spans="1:7" x14ac:dyDescent="0.25">
      <c r="A745" s="515" t="s">
        <v>1748</v>
      </c>
      <c r="B745" s="468" t="s">
        <v>2056</v>
      </c>
      <c r="C745" s="761">
        <v>120</v>
      </c>
      <c r="D745" s="285">
        <f>'Функц. 2021-2023'!F131</f>
        <v>1968</v>
      </c>
      <c r="E745" s="285">
        <f>'Функц. 2021-2023'!H131</f>
        <v>1880</v>
      </c>
      <c r="F745" s="285">
        <f>'Функц. 2021-2023'!J131</f>
        <v>1880</v>
      </c>
      <c r="G745" s="462"/>
    </row>
    <row r="746" spans="1:7" x14ac:dyDescent="0.25">
      <c r="A746" s="526" t="s">
        <v>2047</v>
      </c>
      <c r="B746" s="468" t="s">
        <v>2048</v>
      </c>
      <c r="C746" s="761"/>
      <c r="D746" s="285">
        <f>D747+D752+D755</f>
        <v>5318.9</v>
      </c>
      <c r="E746" s="285">
        <f>E747+E752+E755</f>
        <v>5406.9</v>
      </c>
      <c r="F746" s="285">
        <f>F747+F752+F755</f>
        <v>5406.9</v>
      </c>
      <c r="G746" s="462"/>
    </row>
    <row r="747" spans="1:7" x14ac:dyDescent="0.25">
      <c r="A747" s="515" t="s">
        <v>2050</v>
      </c>
      <c r="B747" s="468" t="s">
        <v>2051</v>
      </c>
      <c r="C747" s="761"/>
      <c r="D747" s="285">
        <f>D748+D750</f>
        <v>918.1</v>
      </c>
      <c r="E747" s="285">
        <f t="shared" ref="E747:F747" si="172">E748+E750</f>
        <v>988.1</v>
      </c>
      <c r="F747" s="285">
        <f t="shared" si="172"/>
        <v>988.1</v>
      </c>
      <c r="G747" s="462"/>
    </row>
    <row r="748" spans="1:7" x14ac:dyDescent="0.25">
      <c r="A748" s="515" t="s">
        <v>1782</v>
      </c>
      <c r="B748" s="468" t="s">
        <v>2051</v>
      </c>
      <c r="C748" s="761">
        <v>200</v>
      </c>
      <c r="D748" s="285">
        <f t="shared" ref="D748:F748" si="173">D749</f>
        <v>903.9</v>
      </c>
      <c r="E748" s="285">
        <f t="shared" si="173"/>
        <v>988.1</v>
      </c>
      <c r="F748" s="285">
        <f t="shared" si="173"/>
        <v>988.1</v>
      </c>
      <c r="G748" s="462"/>
    </row>
    <row r="749" spans="1:7" x14ac:dyDescent="0.25">
      <c r="A749" s="515" t="s">
        <v>1274</v>
      </c>
      <c r="B749" s="468" t="s">
        <v>2051</v>
      </c>
      <c r="C749" s="761">
        <v>240</v>
      </c>
      <c r="D749" s="285">
        <f>'Функц. 2021-2023'!F135</f>
        <v>903.9</v>
      </c>
      <c r="E749" s="285">
        <f>'Функц. 2021-2023'!H135</f>
        <v>988.1</v>
      </c>
      <c r="F749" s="285">
        <f>'Функц. 2021-2023'!J135</f>
        <v>988.1</v>
      </c>
      <c r="G749" s="462"/>
    </row>
    <row r="750" spans="1:7" s="514" customFormat="1" x14ac:dyDescent="0.25">
      <c r="A750" s="515" t="s">
        <v>924</v>
      </c>
      <c r="B750" s="468" t="s">
        <v>2051</v>
      </c>
      <c r="C750" s="761">
        <v>800</v>
      </c>
      <c r="D750" s="285">
        <f>D751</f>
        <v>14.2</v>
      </c>
      <c r="E750" s="285">
        <f t="shared" ref="E750:F750" si="174">E751</f>
        <v>0</v>
      </c>
      <c r="F750" s="285">
        <f t="shared" si="174"/>
        <v>0</v>
      </c>
      <c r="G750" s="462"/>
    </row>
    <row r="751" spans="1:7" s="514" customFormat="1" x14ac:dyDescent="0.25">
      <c r="A751" s="515" t="s">
        <v>1320</v>
      </c>
      <c r="B751" s="468" t="s">
        <v>2051</v>
      </c>
      <c r="C751" s="761">
        <v>850</v>
      </c>
      <c r="D751" s="285">
        <f>'Функц. 2021-2023'!F137</f>
        <v>14.2</v>
      </c>
      <c r="E751" s="285">
        <f>'Функц. 2021-2023'!H137</f>
        <v>0</v>
      </c>
      <c r="F751" s="285">
        <f>'Функц. 2021-2023'!J137</f>
        <v>0</v>
      </c>
      <c r="G751" s="462"/>
    </row>
    <row r="752" spans="1:7" ht="31.5" x14ac:dyDescent="0.25">
      <c r="A752" s="515" t="s">
        <v>2052</v>
      </c>
      <c r="B752" s="468" t="s">
        <v>2053</v>
      </c>
      <c r="C752" s="761"/>
      <c r="D752" s="285">
        <f t="shared" ref="D752:F753" si="175">D753</f>
        <v>1481.2</v>
      </c>
      <c r="E752" s="285">
        <f t="shared" si="175"/>
        <v>1411.2</v>
      </c>
      <c r="F752" s="285">
        <f t="shared" si="175"/>
        <v>1411.2</v>
      </c>
      <c r="G752" s="462"/>
    </row>
    <row r="753" spans="1:7" ht="47.25" x14ac:dyDescent="0.25">
      <c r="A753" s="515" t="s">
        <v>922</v>
      </c>
      <c r="B753" s="468" t="s">
        <v>2053</v>
      </c>
      <c r="C753" s="761">
        <v>100</v>
      </c>
      <c r="D753" s="285">
        <f t="shared" si="175"/>
        <v>1481.2</v>
      </c>
      <c r="E753" s="285">
        <f t="shared" si="175"/>
        <v>1411.2</v>
      </c>
      <c r="F753" s="285">
        <f t="shared" si="175"/>
        <v>1411.2</v>
      </c>
      <c r="G753" s="462"/>
    </row>
    <row r="754" spans="1:7" x14ac:dyDescent="0.25">
      <c r="A754" s="515" t="s">
        <v>1748</v>
      </c>
      <c r="B754" s="468" t="s">
        <v>2053</v>
      </c>
      <c r="C754" s="761">
        <v>120</v>
      </c>
      <c r="D754" s="285">
        <f>'Функц. 2021-2023'!F140</f>
        <v>1481.2</v>
      </c>
      <c r="E754" s="285">
        <f>'Функц. 2021-2023'!H140</f>
        <v>1411.2</v>
      </c>
      <c r="F754" s="285">
        <f>'Функц. 2021-2023'!J140</f>
        <v>1411.2</v>
      </c>
      <c r="G754" s="462"/>
    </row>
    <row r="755" spans="1:7" ht="31.5" x14ac:dyDescent="0.25">
      <c r="A755" s="515" t="s">
        <v>2055</v>
      </c>
      <c r="B755" s="468" t="s">
        <v>2054</v>
      </c>
      <c r="C755" s="761"/>
      <c r="D755" s="285">
        <f t="shared" ref="D755:F756" si="176">D756</f>
        <v>2919.6</v>
      </c>
      <c r="E755" s="285">
        <f t="shared" si="176"/>
        <v>3007.6</v>
      </c>
      <c r="F755" s="285">
        <f t="shared" si="176"/>
        <v>3007.6</v>
      </c>
      <c r="G755" s="462"/>
    </row>
    <row r="756" spans="1:7" ht="47.25" x14ac:dyDescent="0.25">
      <c r="A756" s="515" t="s">
        <v>922</v>
      </c>
      <c r="B756" s="468" t="s">
        <v>2054</v>
      </c>
      <c r="C756" s="761">
        <v>100</v>
      </c>
      <c r="D756" s="285">
        <f t="shared" si="176"/>
        <v>2919.6</v>
      </c>
      <c r="E756" s="285">
        <f t="shared" si="176"/>
        <v>3007.6</v>
      </c>
      <c r="F756" s="285">
        <f t="shared" si="176"/>
        <v>3007.6</v>
      </c>
      <c r="G756" s="462"/>
    </row>
    <row r="757" spans="1:7" x14ac:dyDescent="0.25">
      <c r="A757" s="515" t="s">
        <v>1748</v>
      </c>
      <c r="B757" s="468" t="s">
        <v>2054</v>
      </c>
      <c r="C757" s="761">
        <v>120</v>
      </c>
      <c r="D757" s="285">
        <f>'Функц. 2021-2023'!F143</f>
        <v>2919.6</v>
      </c>
      <c r="E757" s="285">
        <f>'Функц. 2021-2023'!H143</f>
        <v>3007.6</v>
      </c>
      <c r="F757" s="285">
        <f>'Функц. 2021-2023'!J143</f>
        <v>3007.6</v>
      </c>
      <c r="G757" s="462"/>
    </row>
    <row r="758" spans="1:7" s="505" customFormat="1" x14ac:dyDescent="0.25">
      <c r="A758" s="809" t="s">
        <v>2196</v>
      </c>
      <c r="B758" s="823" t="s">
        <v>1816</v>
      </c>
      <c r="C758" s="771"/>
      <c r="D758" s="289">
        <f>D759+D765+D762+D768</f>
        <v>4529.7999999999993</v>
      </c>
      <c r="E758" s="289">
        <f>E759+E765+E762+E768</f>
        <v>10400.900000000001</v>
      </c>
      <c r="F758" s="289">
        <f>F759+F765+F762+F768</f>
        <v>7029</v>
      </c>
      <c r="G758" s="462"/>
    </row>
    <row r="759" spans="1:7" x14ac:dyDescent="0.25">
      <c r="A759" s="526" t="s">
        <v>2133</v>
      </c>
      <c r="B759" s="468" t="s">
        <v>2134</v>
      </c>
      <c r="C759" s="761"/>
      <c r="D759" s="285">
        <f t="shared" ref="D759:F760" si="177">D760</f>
        <v>1716.7999999999993</v>
      </c>
      <c r="E759" s="285">
        <f t="shared" si="177"/>
        <v>8889.9000000000015</v>
      </c>
      <c r="F759" s="285">
        <f t="shared" si="177"/>
        <v>5518</v>
      </c>
      <c r="G759" s="462"/>
    </row>
    <row r="760" spans="1:7" x14ac:dyDescent="0.25">
      <c r="A760" s="515" t="s">
        <v>924</v>
      </c>
      <c r="B760" s="468" t="s">
        <v>2134</v>
      </c>
      <c r="C760" s="761">
        <v>800</v>
      </c>
      <c r="D760" s="285">
        <f t="shared" si="177"/>
        <v>1716.7999999999993</v>
      </c>
      <c r="E760" s="285">
        <f t="shared" si="177"/>
        <v>8889.9000000000015</v>
      </c>
      <c r="F760" s="285">
        <f t="shared" si="177"/>
        <v>5518</v>
      </c>
      <c r="G760" s="462"/>
    </row>
    <row r="761" spans="1:7" x14ac:dyDescent="0.25">
      <c r="A761" s="515" t="s">
        <v>1815</v>
      </c>
      <c r="B761" s="468" t="s">
        <v>2134</v>
      </c>
      <c r="C761" s="761">
        <v>870</v>
      </c>
      <c r="D761" s="285">
        <f>'Функц. 2021-2023'!F166</f>
        <v>1716.7999999999993</v>
      </c>
      <c r="E761" s="285">
        <f>'Функц. 2021-2023'!H166</f>
        <v>8889.9000000000015</v>
      </c>
      <c r="F761" s="285">
        <f>'Функц. 2021-2023'!J166</f>
        <v>5518</v>
      </c>
      <c r="G761" s="462"/>
    </row>
    <row r="762" spans="1:7" ht="31.5" x14ac:dyDescent="0.25">
      <c r="A762" s="526" t="s">
        <v>2159</v>
      </c>
      <c r="B762" s="468" t="s">
        <v>2160</v>
      </c>
      <c r="C762" s="761"/>
      <c r="D762" s="285">
        <f t="shared" ref="D762:F763" si="178">D763</f>
        <v>1411</v>
      </c>
      <c r="E762" s="285">
        <f t="shared" si="178"/>
        <v>1411</v>
      </c>
      <c r="F762" s="285">
        <f t="shared" si="178"/>
        <v>1411</v>
      </c>
      <c r="G762" s="462"/>
    </row>
    <row r="763" spans="1:7" x14ac:dyDescent="0.25">
      <c r="A763" s="515" t="s">
        <v>924</v>
      </c>
      <c r="B763" s="468" t="s">
        <v>2160</v>
      </c>
      <c r="C763" s="761">
        <v>800</v>
      </c>
      <c r="D763" s="285">
        <f t="shared" si="178"/>
        <v>1411</v>
      </c>
      <c r="E763" s="285">
        <f t="shared" si="178"/>
        <v>1411</v>
      </c>
      <c r="F763" s="285">
        <f t="shared" si="178"/>
        <v>1411</v>
      </c>
      <c r="G763" s="462"/>
    </row>
    <row r="764" spans="1:7" x14ac:dyDescent="0.25">
      <c r="A764" s="515" t="s">
        <v>1815</v>
      </c>
      <c r="B764" s="468" t="s">
        <v>2160</v>
      </c>
      <c r="C764" s="761">
        <v>870</v>
      </c>
      <c r="D764" s="285">
        <f>'Функц. 2021-2023'!F169</f>
        <v>1411</v>
      </c>
      <c r="E764" s="285">
        <f>'Функц. 2021-2023'!H169</f>
        <v>1411</v>
      </c>
      <c r="F764" s="285">
        <f>'Функц. 2021-2023'!J169</f>
        <v>1411</v>
      </c>
      <c r="G764" s="462"/>
    </row>
    <row r="765" spans="1:7" x14ac:dyDescent="0.25">
      <c r="A765" s="526" t="s">
        <v>1947</v>
      </c>
      <c r="B765" s="468" t="s">
        <v>1948</v>
      </c>
      <c r="C765" s="773"/>
      <c r="D765" s="285">
        <f t="shared" ref="D765:F766" si="179">D766</f>
        <v>724.90000000000009</v>
      </c>
      <c r="E765" s="285">
        <f t="shared" si="179"/>
        <v>100</v>
      </c>
      <c r="F765" s="285">
        <f t="shared" si="179"/>
        <v>100</v>
      </c>
      <c r="G765" s="462"/>
    </row>
    <row r="766" spans="1:7" x14ac:dyDescent="0.25">
      <c r="A766" s="515" t="s">
        <v>924</v>
      </c>
      <c r="B766" s="468" t="s">
        <v>1948</v>
      </c>
      <c r="C766" s="773">
        <v>800</v>
      </c>
      <c r="D766" s="285">
        <f t="shared" si="179"/>
        <v>724.90000000000009</v>
      </c>
      <c r="E766" s="285">
        <f t="shared" si="179"/>
        <v>100</v>
      </c>
      <c r="F766" s="285">
        <f t="shared" si="179"/>
        <v>100</v>
      </c>
      <c r="G766" s="462"/>
    </row>
    <row r="767" spans="1:7" x14ac:dyDescent="0.25">
      <c r="A767" s="515" t="s">
        <v>1811</v>
      </c>
      <c r="B767" s="468" t="s">
        <v>1948</v>
      </c>
      <c r="C767" s="773">
        <v>830</v>
      </c>
      <c r="D767" s="285">
        <f>'Функц. 2021-2023'!F267</f>
        <v>724.90000000000009</v>
      </c>
      <c r="E767" s="285">
        <f>'Функц. 2021-2023'!H267</f>
        <v>100</v>
      </c>
      <c r="F767" s="285">
        <f>'Функц. 2021-2023'!J267</f>
        <v>100</v>
      </c>
      <c r="G767" s="462"/>
    </row>
    <row r="768" spans="1:7" s="514" customFormat="1" x14ac:dyDescent="0.25">
      <c r="A768" s="547" t="s">
        <v>2259</v>
      </c>
      <c r="B768" s="550" t="s">
        <v>2260</v>
      </c>
      <c r="C768" s="779"/>
      <c r="D768" s="291">
        <f>D769+D772</f>
        <v>677.1</v>
      </c>
      <c r="E768" s="291">
        <f>E769+E772</f>
        <v>0</v>
      </c>
      <c r="F768" s="291">
        <f>F769+F772</f>
        <v>0</v>
      </c>
      <c r="G768" s="462"/>
    </row>
    <row r="769" spans="1:7" s="514" customFormat="1" x14ac:dyDescent="0.25">
      <c r="A769" s="524" t="s">
        <v>2399</v>
      </c>
      <c r="B769" s="550" t="s">
        <v>2400</v>
      </c>
      <c r="C769" s="773"/>
      <c r="D769" s="285">
        <f>D771</f>
        <v>578</v>
      </c>
      <c r="E769" s="285">
        <f>E771</f>
        <v>0</v>
      </c>
      <c r="F769" s="285">
        <f>F771</f>
        <v>0</v>
      </c>
      <c r="G769" s="462"/>
    </row>
    <row r="770" spans="1:7" s="514" customFormat="1" x14ac:dyDescent="0.25">
      <c r="A770" s="520" t="s">
        <v>924</v>
      </c>
      <c r="B770" s="550" t="s">
        <v>2400</v>
      </c>
      <c r="C770" s="773">
        <v>800</v>
      </c>
      <c r="D770" s="285">
        <f>D771</f>
        <v>578</v>
      </c>
      <c r="E770" s="285">
        <f>E771</f>
        <v>0</v>
      </c>
      <c r="F770" s="285">
        <f>F771</f>
        <v>0</v>
      </c>
      <c r="G770" s="462"/>
    </row>
    <row r="771" spans="1:7" s="514" customFormat="1" x14ac:dyDescent="0.25">
      <c r="A771" s="520" t="s">
        <v>1320</v>
      </c>
      <c r="B771" s="550" t="s">
        <v>2400</v>
      </c>
      <c r="C771" s="773">
        <v>850</v>
      </c>
      <c r="D771" s="285">
        <f>'Функц. 2021-2023'!F271</f>
        <v>578</v>
      </c>
      <c r="E771" s="285">
        <f>'Функц. 2021-2023'!H271</f>
        <v>0</v>
      </c>
      <c r="F771" s="285">
        <f>'Функц. 2021-2023'!J271</f>
        <v>0</v>
      </c>
      <c r="G771" s="462"/>
    </row>
    <row r="772" spans="1:7" s="514" customFormat="1" ht="109.9" customHeight="1" x14ac:dyDescent="0.25">
      <c r="A772" s="520" t="s">
        <v>2413</v>
      </c>
      <c r="B772" s="550" t="s">
        <v>2412</v>
      </c>
      <c r="C772" s="776"/>
      <c r="D772" s="285">
        <f>D773</f>
        <v>99.1</v>
      </c>
      <c r="E772" s="285"/>
      <c r="F772" s="285"/>
      <c r="G772" s="462"/>
    </row>
    <row r="773" spans="1:7" s="514" customFormat="1" x14ac:dyDescent="0.25">
      <c r="A773" s="520" t="s">
        <v>924</v>
      </c>
      <c r="B773" s="550" t="s">
        <v>2412</v>
      </c>
      <c r="C773" s="776" t="s">
        <v>2242</v>
      </c>
      <c r="D773" s="285">
        <f>D774</f>
        <v>99.1</v>
      </c>
      <c r="E773" s="285">
        <f>E774</f>
        <v>0</v>
      </c>
      <c r="F773" s="285">
        <f>F774</f>
        <v>0</v>
      </c>
      <c r="G773" s="462"/>
    </row>
    <row r="774" spans="1:7" s="514" customFormat="1" ht="16.5" thickBot="1" x14ac:dyDescent="0.3">
      <c r="A774" s="520" t="s">
        <v>1320</v>
      </c>
      <c r="B774" s="550" t="s">
        <v>2412</v>
      </c>
      <c r="C774" s="776" t="s">
        <v>2394</v>
      </c>
      <c r="D774" s="291">
        <f>'Функц. 2021-2023'!F724</f>
        <v>99.1</v>
      </c>
      <c r="E774" s="291">
        <f>'Функц. 2021-2023'!H724</f>
        <v>0</v>
      </c>
      <c r="F774" s="291">
        <f>'Функц. 2021-2023'!J724</f>
        <v>0</v>
      </c>
      <c r="G774" s="462"/>
    </row>
    <row r="775" spans="1:7" ht="16.5" thickBot="1" x14ac:dyDescent="0.3">
      <c r="A775" s="810" t="s">
        <v>1220</v>
      </c>
      <c r="B775" s="824"/>
      <c r="C775" s="787"/>
      <c r="D775" s="743">
        <f>D713+D714+D758</f>
        <v>3740054.6999999993</v>
      </c>
      <c r="E775" s="743">
        <f>E713+E714+E758</f>
        <v>2395684.2999999998</v>
      </c>
      <c r="F775" s="743">
        <f>F713+F714+F758</f>
        <v>1711212.6</v>
      </c>
      <c r="G775" s="462"/>
    </row>
    <row r="776" spans="1:7" x14ac:dyDescent="0.25">
      <c r="A776" s="473"/>
      <c r="B776" s="499"/>
      <c r="C776" s="287"/>
      <c r="D776" s="288"/>
      <c r="E776" s="288"/>
    </row>
    <row r="777" spans="1:7" x14ac:dyDescent="0.25">
      <c r="A777" s="274"/>
      <c r="B777" s="499"/>
      <c r="C777" s="287"/>
      <c r="D777" s="288"/>
      <c r="E777" s="288"/>
    </row>
    <row r="778" spans="1:7" x14ac:dyDescent="0.25">
      <c r="A778" s="274"/>
      <c r="B778" s="499"/>
      <c r="C778" s="287"/>
      <c r="D778" s="288"/>
      <c r="E778" s="288"/>
    </row>
    <row r="779" spans="1:7" x14ac:dyDescent="0.25">
      <c r="A779" s="274"/>
      <c r="B779" s="499"/>
      <c r="C779" s="287"/>
      <c r="D779" s="288"/>
      <c r="E779" s="288"/>
    </row>
    <row r="780" spans="1:7" x14ac:dyDescent="0.25">
      <c r="A780" s="274"/>
      <c r="B780" s="499"/>
      <c r="C780" s="287"/>
      <c r="D780" s="288"/>
      <c r="E780" s="288"/>
    </row>
    <row r="781" spans="1:7" x14ac:dyDescent="0.25">
      <c r="A781" s="274"/>
      <c r="B781" s="499"/>
      <c r="C781" s="287"/>
      <c r="D781" s="288"/>
      <c r="E781" s="288"/>
    </row>
    <row r="782" spans="1:7" x14ac:dyDescent="0.25">
      <c r="A782" s="274"/>
      <c r="B782" s="499"/>
      <c r="C782" s="287"/>
      <c r="D782" s="288"/>
      <c r="E782" s="288"/>
    </row>
    <row r="783" spans="1:7" x14ac:dyDescent="0.25">
      <c r="A783" s="274"/>
      <c r="B783" s="499"/>
      <c r="C783" s="287"/>
      <c r="D783" s="288"/>
      <c r="E783" s="288"/>
    </row>
    <row r="784" spans="1:7" x14ac:dyDescent="0.25">
      <c r="A784" s="274"/>
      <c r="B784" s="499"/>
      <c r="C784" s="287"/>
      <c r="D784" s="288"/>
      <c r="E784" s="288"/>
    </row>
    <row r="785" spans="1:5" x14ac:dyDescent="0.25">
      <c r="A785" s="274"/>
      <c r="B785" s="499"/>
      <c r="C785" s="287"/>
      <c r="D785" s="288"/>
      <c r="E785" s="288"/>
    </row>
    <row r="786" spans="1:5" x14ac:dyDescent="0.25">
      <c r="A786" s="274"/>
      <c r="B786" s="499"/>
      <c r="C786" s="287"/>
      <c r="D786" s="288"/>
      <c r="E786" s="288"/>
    </row>
    <row r="787" spans="1:5" x14ac:dyDescent="0.25">
      <c r="A787" s="274"/>
      <c r="B787" s="499"/>
      <c r="C787" s="287"/>
      <c r="D787" s="288"/>
      <c r="E787" s="288"/>
    </row>
    <row r="788" spans="1:5" x14ac:dyDescent="0.25">
      <c r="A788" s="274"/>
      <c r="B788" s="499"/>
      <c r="C788" s="287"/>
      <c r="D788" s="288"/>
      <c r="E788" s="288"/>
    </row>
    <row r="789" spans="1:5" x14ac:dyDescent="0.25">
      <c r="A789" s="274"/>
      <c r="B789" s="499"/>
      <c r="C789" s="287"/>
      <c r="D789" s="288"/>
      <c r="E789" s="288"/>
    </row>
    <row r="790" spans="1:5" x14ac:dyDescent="0.25">
      <c r="A790" s="274"/>
      <c r="B790" s="499"/>
      <c r="C790" s="287"/>
      <c r="D790" s="288"/>
      <c r="E790" s="288"/>
    </row>
    <row r="791" spans="1:5" x14ac:dyDescent="0.25">
      <c r="A791" s="274"/>
      <c r="B791" s="499"/>
      <c r="C791" s="287"/>
      <c r="D791" s="288"/>
      <c r="E791" s="288"/>
    </row>
    <row r="792" spans="1:5" x14ac:dyDescent="0.25">
      <c r="A792" s="274"/>
      <c r="B792" s="499"/>
      <c r="C792" s="287"/>
      <c r="D792" s="288"/>
      <c r="E792" s="288"/>
    </row>
    <row r="793" spans="1:5" x14ac:dyDescent="0.25">
      <c r="A793" s="274"/>
      <c r="B793" s="499"/>
      <c r="C793" s="287"/>
      <c r="D793" s="288"/>
      <c r="E793" s="288"/>
    </row>
    <row r="794" spans="1:5" x14ac:dyDescent="0.25">
      <c r="A794" s="274"/>
      <c r="B794" s="499"/>
      <c r="C794" s="287"/>
      <c r="D794" s="288"/>
      <c r="E794" s="288"/>
    </row>
    <row r="795" spans="1:5" x14ac:dyDescent="0.25">
      <c r="A795" s="274"/>
      <c r="B795" s="499"/>
      <c r="C795" s="287"/>
      <c r="D795" s="288"/>
      <c r="E795" s="288"/>
    </row>
    <row r="796" spans="1:5" x14ac:dyDescent="0.25">
      <c r="A796" s="274"/>
      <c r="B796" s="499"/>
      <c r="C796" s="287"/>
      <c r="D796" s="288"/>
      <c r="E796" s="288"/>
    </row>
    <row r="797" spans="1:5" x14ac:dyDescent="0.25">
      <c r="A797" s="274"/>
      <c r="B797" s="499"/>
      <c r="C797" s="287"/>
      <c r="D797" s="288"/>
      <c r="E797" s="288"/>
    </row>
    <row r="798" spans="1:5" x14ac:dyDescent="0.25">
      <c r="A798" s="274"/>
      <c r="B798" s="499"/>
      <c r="C798" s="287"/>
      <c r="D798" s="288"/>
      <c r="E798" s="288"/>
    </row>
    <row r="799" spans="1:5" x14ac:dyDescent="0.25">
      <c r="A799" s="274"/>
      <c r="B799" s="499"/>
      <c r="C799" s="287"/>
      <c r="D799" s="288"/>
      <c r="E799" s="288"/>
    </row>
    <row r="800" spans="1:5" x14ac:dyDescent="0.25">
      <c r="A800" s="274"/>
      <c r="B800" s="499"/>
      <c r="C800" s="287"/>
      <c r="D800" s="288"/>
      <c r="E800" s="288"/>
    </row>
    <row r="801" spans="1:10" x14ac:dyDescent="0.25">
      <c r="A801" s="274"/>
      <c r="B801" s="499"/>
      <c r="C801" s="287"/>
      <c r="D801" s="288"/>
      <c r="E801" s="288"/>
    </row>
    <row r="802" spans="1:10" x14ac:dyDescent="0.25">
      <c r="A802" s="274"/>
      <c r="B802" s="499"/>
      <c r="C802" s="287"/>
      <c r="D802" s="288"/>
      <c r="E802" s="288"/>
    </row>
    <row r="803" spans="1:10" x14ac:dyDescent="0.25">
      <c r="A803" s="274"/>
      <c r="B803" s="499"/>
      <c r="C803" s="287"/>
      <c r="D803" s="288"/>
      <c r="E803" s="288"/>
    </row>
    <row r="804" spans="1:10" x14ac:dyDescent="0.25">
      <c r="A804" s="274"/>
      <c r="B804" s="499"/>
      <c r="C804" s="287"/>
      <c r="D804" s="288"/>
      <c r="E804" s="288"/>
    </row>
    <row r="805" spans="1:10" x14ac:dyDescent="0.25">
      <c r="A805" s="274"/>
      <c r="B805" s="499"/>
      <c r="C805" s="287"/>
      <c r="D805" s="288"/>
      <c r="E805" s="288"/>
    </row>
    <row r="806" spans="1:10" x14ac:dyDescent="0.25">
      <c r="A806" s="274"/>
      <c r="B806" s="499"/>
      <c r="C806" s="287"/>
      <c r="D806" s="288"/>
      <c r="E806" s="288"/>
    </row>
    <row r="807" spans="1:10" x14ac:dyDescent="0.25">
      <c r="A807" s="274"/>
      <c r="B807" s="499"/>
      <c r="C807" s="287"/>
      <c r="D807" s="288"/>
      <c r="E807" s="288"/>
    </row>
    <row r="808" spans="1:10" x14ac:dyDescent="0.25">
      <c r="A808" s="274"/>
      <c r="B808" s="499"/>
      <c r="C808" s="287"/>
      <c r="D808" s="288"/>
      <c r="E808" s="288"/>
    </row>
    <row r="809" spans="1:10" x14ac:dyDescent="0.25">
      <c r="A809" s="274"/>
      <c r="B809" s="499"/>
      <c r="C809" s="287"/>
      <c r="D809" s="288"/>
      <c r="E809" s="288"/>
    </row>
    <row r="810" spans="1:10" x14ac:dyDescent="0.25">
      <c r="A810" s="274"/>
      <c r="B810" s="499"/>
      <c r="C810" s="287"/>
      <c r="D810" s="288"/>
      <c r="E810" s="288"/>
    </row>
    <row r="811" spans="1:10" x14ac:dyDescent="0.25">
      <c r="A811" s="274"/>
      <c r="B811" s="499"/>
      <c r="C811" s="287"/>
      <c r="D811" s="288"/>
      <c r="E811" s="288"/>
    </row>
    <row r="812" spans="1:10" x14ac:dyDescent="0.25">
      <c r="A812" s="274"/>
      <c r="B812" s="499"/>
      <c r="C812" s="287"/>
      <c r="D812" s="288"/>
      <c r="E812" s="288"/>
    </row>
    <row r="813" spans="1:10" x14ac:dyDescent="0.25">
      <c r="A813" s="274"/>
      <c r="B813" s="499"/>
      <c r="C813" s="287"/>
      <c r="D813" s="288"/>
      <c r="E813" s="288"/>
    </row>
    <row r="814" spans="1:10" x14ac:dyDescent="0.25">
      <c r="A814" s="274"/>
      <c r="B814" s="499"/>
      <c r="C814" s="287"/>
      <c r="D814" s="288"/>
      <c r="E814" s="288"/>
    </row>
    <row r="815" spans="1:10" x14ac:dyDescent="0.25">
      <c r="A815" s="274"/>
      <c r="B815" s="499"/>
      <c r="C815" s="287"/>
      <c r="D815" s="288"/>
      <c r="E815" s="288"/>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c r="F2646" s="439"/>
      <c r="G2646" s="439"/>
      <c r="H2646" s="439"/>
      <c r="I2646" s="439"/>
      <c r="J2646" s="439"/>
    </row>
    <row r="2647" spans="1:10" x14ac:dyDescent="0.25">
      <c r="A2647" s="274"/>
      <c r="B2647" s="499"/>
      <c r="C2647" s="287"/>
      <c r="D2647" s="288"/>
      <c r="E2647" s="288"/>
      <c r="F2647" s="439"/>
      <c r="G2647" s="439"/>
      <c r="H2647" s="439"/>
      <c r="I2647" s="439"/>
      <c r="J2647" s="439"/>
    </row>
    <row r="2648" spans="1:10" x14ac:dyDescent="0.25">
      <c r="A2648" s="274"/>
      <c r="B2648" s="499"/>
      <c r="C2648" s="287"/>
      <c r="D2648" s="288"/>
      <c r="E2648" s="288"/>
      <c r="F2648" s="439"/>
      <c r="G2648" s="439"/>
      <c r="H2648" s="439"/>
      <c r="I2648" s="439"/>
      <c r="J2648" s="439"/>
    </row>
    <row r="2649" spans="1:10" x14ac:dyDescent="0.25">
      <c r="A2649" s="274"/>
      <c r="B2649" s="499"/>
      <c r="C2649" s="287"/>
      <c r="D2649" s="288"/>
      <c r="E2649" s="288"/>
      <c r="F2649" s="439"/>
      <c r="G2649" s="439"/>
      <c r="H2649" s="439"/>
      <c r="I2649" s="439"/>
      <c r="J2649" s="439"/>
    </row>
    <row r="2650" spans="1:10" x14ac:dyDescent="0.25">
      <c r="A2650" s="274"/>
      <c r="B2650" s="499"/>
      <c r="C2650" s="287"/>
      <c r="D2650" s="288"/>
      <c r="E2650" s="288"/>
      <c r="F2650" s="439"/>
      <c r="G2650" s="439"/>
      <c r="H2650" s="439"/>
      <c r="I2650" s="439"/>
      <c r="J2650" s="439"/>
    </row>
    <row r="2651" spans="1:10" x14ac:dyDescent="0.25">
      <c r="A2651" s="274"/>
      <c r="B2651" s="499"/>
      <c r="C2651" s="287"/>
      <c r="D2651" s="288"/>
      <c r="E2651" s="288"/>
      <c r="F2651" s="439"/>
      <c r="G2651" s="439"/>
      <c r="H2651" s="439"/>
      <c r="I2651" s="439"/>
      <c r="J2651" s="439"/>
    </row>
    <row r="2652" spans="1:10" x14ac:dyDescent="0.25">
      <c r="A2652" s="274"/>
      <c r="B2652" s="499"/>
      <c r="C2652" s="287"/>
      <c r="D2652" s="288"/>
      <c r="E2652" s="288"/>
      <c r="F2652" s="439"/>
      <c r="G2652" s="439"/>
      <c r="H2652" s="439"/>
      <c r="I2652" s="439"/>
      <c r="J2652" s="439"/>
    </row>
    <row r="2653" spans="1:10" x14ac:dyDescent="0.25">
      <c r="A2653" s="274"/>
      <c r="B2653" s="499"/>
      <c r="C2653" s="287"/>
      <c r="D2653" s="288"/>
      <c r="E2653" s="288"/>
      <c r="F2653" s="439"/>
      <c r="G2653" s="439"/>
      <c r="H2653" s="439"/>
      <c r="I2653" s="439"/>
      <c r="J2653" s="439"/>
    </row>
    <row r="2654" spans="1:10" x14ac:dyDescent="0.25">
      <c r="A2654" s="274"/>
      <c r="B2654" s="499"/>
      <c r="C2654" s="287"/>
      <c r="D2654" s="288"/>
      <c r="E2654" s="288"/>
      <c r="F2654" s="439"/>
      <c r="G2654" s="439"/>
      <c r="H2654" s="439"/>
      <c r="I2654" s="439"/>
      <c r="J2654" s="439"/>
    </row>
    <row r="2655" spans="1:10" x14ac:dyDescent="0.25">
      <c r="A2655" s="274"/>
      <c r="B2655" s="499"/>
      <c r="C2655" s="287"/>
      <c r="D2655" s="288"/>
      <c r="E2655" s="288"/>
      <c r="F2655" s="439"/>
      <c r="G2655" s="439"/>
      <c r="H2655" s="439"/>
      <c r="I2655" s="439"/>
      <c r="J2655" s="439"/>
    </row>
    <row r="2656" spans="1:10" x14ac:dyDescent="0.25">
      <c r="A2656" s="274"/>
      <c r="B2656" s="499"/>
      <c r="C2656" s="287"/>
      <c r="D2656" s="288"/>
      <c r="E2656" s="288"/>
      <c r="F2656" s="439"/>
      <c r="G2656" s="439"/>
      <c r="H2656" s="439"/>
      <c r="I2656" s="439"/>
      <c r="J2656" s="439"/>
    </row>
    <row r="2657" spans="1:10" x14ac:dyDescent="0.25">
      <c r="A2657" s="274"/>
      <c r="B2657" s="499"/>
      <c r="C2657" s="287"/>
      <c r="D2657" s="288"/>
      <c r="E2657" s="288"/>
      <c r="F2657" s="439"/>
      <c r="G2657" s="439"/>
      <c r="H2657" s="439"/>
      <c r="I2657" s="439"/>
      <c r="J2657" s="439"/>
    </row>
    <row r="2658" spans="1:10" x14ac:dyDescent="0.25">
      <c r="A2658" s="274"/>
      <c r="B2658" s="499"/>
      <c r="C2658" s="287"/>
      <c r="D2658" s="288"/>
      <c r="E2658" s="288"/>
      <c r="F2658" s="439"/>
      <c r="G2658" s="439"/>
      <c r="H2658" s="439"/>
      <c r="I2658" s="439"/>
      <c r="J2658" s="439"/>
    </row>
    <row r="2659" spans="1:10" x14ac:dyDescent="0.25">
      <c r="A2659" s="274"/>
      <c r="B2659" s="499"/>
      <c r="C2659" s="287"/>
      <c r="D2659" s="288"/>
      <c r="E2659" s="288"/>
      <c r="F2659" s="439"/>
      <c r="G2659" s="439"/>
      <c r="H2659" s="439"/>
      <c r="I2659" s="439"/>
      <c r="J2659" s="439"/>
    </row>
    <row r="2660" spans="1:10" x14ac:dyDescent="0.25">
      <c r="A2660" s="274"/>
      <c r="B2660" s="499"/>
      <c r="C2660" s="287"/>
      <c r="D2660" s="288"/>
      <c r="E2660" s="288"/>
      <c r="F2660" s="439"/>
      <c r="G2660" s="439"/>
      <c r="H2660" s="439"/>
      <c r="I2660" s="439"/>
      <c r="J2660" s="439"/>
    </row>
    <row r="2661" spans="1:10" x14ac:dyDescent="0.25">
      <c r="A2661" s="274"/>
      <c r="B2661" s="499"/>
      <c r="C2661" s="287"/>
      <c r="D2661" s="288"/>
      <c r="E2661" s="288"/>
      <c r="F2661" s="439"/>
      <c r="G2661" s="439"/>
      <c r="H2661" s="439"/>
      <c r="I2661" s="439"/>
      <c r="J2661" s="439"/>
    </row>
    <row r="2662" spans="1:10" x14ac:dyDescent="0.25">
      <c r="A2662" s="274"/>
      <c r="B2662" s="499"/>
      <c r="C2662" s="287"/>
      <c r="D2662" s="288"/>
      <c r="E2662" s="288"/>
      <c r="F2662" s="439"/>
      <c r="G2662" s="439"/>
      <c r="H2662" s="439"/>
      <c r="I2662" s="439"/>
      <c r="J2662" s="439"/>
    </row>
    <row r="2663" spans="1:10" x14ac:dyDescent="0.25">
      <c r="A2663" s="274"/>
      <c r="B2663" s="499"/>
      <c r="C2663" s="287"/>
      <c r="D2663" s="288"/>
      <c r="E2663" s="288"/>
      <c r="F2663" s="439"/>
      <c r="G2663" s="439"/>
      <c r="H2663" s="439"/>
      <c r="I2663" s="439"/>
      <c r="J2663" s="439"/>
    </row>
    <row r="2664" spans="1:10" x14ac:dyDescent="0.25">
      <c r="A2664" s="274"/>
      <c r="B2664" s="499"/>
      <c r="C2664" s="287"/>
      <c r="D2664" s="288"/>
      <c r="E2664" s="288"/>
      <c r="F2664" s="439"/>
      <c r="G2664" s="439"/>
      <c r="H2664" s="439"/>
      <c r="I2664" s="439"/>
      <c r="J2664" s="439"/>
    </row>
    <row r="2665" spans="1:10" x14ac:dyDescent="0.25">
      <c r="A2665" s="274"/>
      <c r="B2665" s="499"/>
      <c r="C2665" s="287"/>
      <c r="D2665" s="288"/>
      <c r="E2665" s="288"/>
      <c r="F2665" s="439"/>
      <c r="G2665" s="439"/>
      <c r="H2665" s="439"/>
      <c r="I2665" s="439"/>
      <c r="J2665" s="439"/>
    </row>
    <row r="2666" spans="1:10" x14ac:dyDescent="0.25">
      <c r="A2666" s="274"/>
      <c r="B2666" s="499"/>
      <c r="C2666" s="287"/>
      <c r="D2666" s="288"/>
      <c r="E2666" s="288"/>
      <c r="F2666" s="439"/>
      <c r="G2666" s="439"/>
      <c r="H2666" s="439"/>
      <c r="I2666" s="439"/>
      <c r="J2666" s="439"/>
    </row>
    <row r="2667" spans="1:10" x14ac:dyDescent="0.25">
      <c r="A2667" s="274"/>
      <c r="B2667" s="499"/>
      <c r="C2667" s="287"/>
      <c r="D2667" s="288"/>
      <c r="E2667" s="288"/>
      <c r="F2667" s="439"/>
      <c r="G2667" s="439"/>
      <c r="H2667" s="439"/>
      <c r="I2667" s="439"/>
      <c r="J2667" s="439"/>
    </row>
    <row r="2668" spans="1:10" x14ac:dyDescent="0.25">
      <c r="A2668" s="274"/>
      <c r="B2668" s="499"/>
      <c r="C2668" s="287"/>
      <c r="D2668" s="288"/>
      <c r="E2668" s="288"/>
      <c r="F2668" s="439"/>
      <c r="G2668" s="439"/>
      <c r="H2668" s="439"/>
      <c r="I2668" s="439"/>
      <c r="J2668" s="439"/>
    </row>
    <row r="2669" spans="1:10" x14ac:dyDescent="0.25">
      <c r="A2669" s="274"/>
      <c r="B2669" s="499"/>
      <c r="C2669" s="287"/>
      <c r="D2669" s="288"/>
      <c r="E2669" s="288"/>
      <c r="F2669" s="439"/>
      <c r="G2669" s="439"/>
      <c r="H2669" s="439"/>
      <c r="I2669" s="439"/>
      <c r="J2669" s="439"/>
    </row>
    <row r="2670" spans="1:10" x14ac:dyDescent="0.25">
      <c r="A2670" s="274"/>
      <c r="B2670" s="499"/>
      <c r="C2670" s="287"/>
      <c r="D2670" s="288"/>
      <c r="E2670" s="288"/>
      <c r="F2670" s="439"/>
      <c r="G2670" s="439"/>
      <c r="H2670" s="439"/>
      <c r="I2670" s="439"/>
      <c r="J2670" s="439"/>
    </row>
    <row r="2671" spans="1:10" x14ac:dyDescent="0.25">
      <c r="A2671" s="274"/>
      <c r="B2671" s="499"/>
      <c r="C2671" s="287"/>
      <c r="D2671" s="288"/>
      <c r="E2671" s="288"/>
      <c r="F2671" s="439"/>
      <c r="G2671" s="439"/>
      <c r="H2671" s="439"/>
      <c r="I2671" s="439"/>
      <c r="J2671" s="439"/>
    </row>
    <row r="2672" spans="1:10" x14ac:dyDescent="0.25">
      <c r="A2672" s="274"/>
      <c r="B2672" s="499"/>
      <c r="C2672" s="287"/>
      <c r="D2672" s="288"/>
      <c r="E2672" s="288"/>
      <c r="F2672" s="439"/>
      <c r="G2672" s="439"/>
      <c r="H2672" s="439"/>
      <c r="I2672" s="439"/>
      <c r="J2672" s="439"/>
    </row>
    <row r="2673" spans="1:10" x14ac:dyDescent="0.25">
      <c r="A2673" s="274"/>
      <c r="B2673" s="499"/>
      <c r="C2673" s="287"/>
      <c r="D2673" s="288"/>
      <c r="E2673" s="288"/>
      <c r="F2673" s="439"/>
      <c r="G2673" s="439"/>
      <c r="H2673" s="439"/>
      <c r="I2673" s="439"/>
      <c r="J2673" s="439"/>
    </row>
    <row r="2674" spans="1:10" x14ac:dyDescent="0.25">
      <c r="A2674" s="274"/>
      <c r="B2674" s="499"/>
      <c r="C2674" s="287"/>
      <c r="D2674" s="288"/>
      <c r="E2674" s="288"/>
      <c r="F2674" s="439"/>
      <c r="G2674" s="439"/>
      <c r="H2674" s="439"/>
      <c r="I2674" s="439"/>
      <c r="J2674" s="439"/>
    </row>
    <row r="2675" spans="1:10" x14ac:dyDescent="0.25">
      <c r="A2675" s="274"/>
      <c r="B2675" s="499"/>
      <c r="C2675" s="287"/>
      <c r="D2675" s="288"/>
      <c r="E2675" s="288"/>
      <c r="F2675" s="439"/>
      <c r="G2675" s="439"/>
      <c r="H2675" s="439"/>
      <c r="I2675" s="439"/>
      <c r="J2675" s="439"/>
    </row>
    <row r="2676" spans="1:10" x14ac:dyDescent="0.25">
      <c r="A2676" s="274"/>
      <c r="B2676" s="499"/>
      <c r="C2676" s="287"/>
      <c r="D2676" s="288"/>
      <c r="E2676" s="288"/>
      <c r="F2676" s="439"/>
      <c r="G2676" s="439"/>
      <c r="H2676" s="439"/>
      <c r="I2676" s="439"/>
      <c r="J2676" s="439"/>
    </row>
    <row r="2677" spans="1:10" x14ac:dyDescent="0.25">
      <c r="A2677" s="274"/>
      <c r="B2677" s="499"/>
      <c r="C2677" s="287"/>
      <c r="D2677" s="288"/>
      <c r="E2677" s="288"/>
      <c r="F2677" s="439"/>
      <c r="G2677" s="439"/>
      <c r="H2677" s="439"/>
      <c r="I2677" s="439"/>
      <c r="J2677" s="439"/>
    </row>
    <row r="2678" spans="1:10" x14ac:dyDescent="0.25">
      <c r="A2678" s="274"/>
      <c r="B2678" s="499"/>
      <c r="C2678" s="287"/>
      <c r="D2678" s="288"/>
      <c r="E2678" s="288"/>
      <c r="F2678" s="439"/>
      <c r="G2678" s="439"/>
      <c r="H2678" s="439"/>
      <c r="I2678" s="439"/>
      <c r="J2678" s="439"/>
    </row>
    <row r="2679" spans="1:10" x14ac:dyDescent="0.25">
      <c r="A2679" s="274"/>
      <c r="B2679" s="499"/>
      <c r="C2679" s="287"/>
      <c r="D2679" s="288"/>
      <c r="E2679" s="288"/>
    </row>
    <row r="2680" spans="1:10" x14ac:dyDescent="0.25">
      <c r="A2680" s="274"/>
      <c r="B2680" s="499"/>
      <c r="C2680" s="287"/>
      <c r="D2680" s="288"/>
      <c r="E2680" s="288"/>
    </row>
    <row r="2681" spans="1:10" x14ac:dyDescent="0.25">
      <c r="A2681" s="274"/>
      <c r="B2681" s="499"/>
      <c r="C2681" s="287"/>
      <c r="D2681" s="288"/>
      <c r="E2681" s="288"/>
    </row>
    <row r="2682" spans="1:10" x14ac:dyDescent="0.25">
      <c r="A2682" s="274"/>
      <c r="B2682" s="499"/>
      <c r="C2682" s="287"/>
      <c r="D2682" s="288"/>
      <c r="E2682" s="288"/>
    </row>
    <row r="2683" spans="1:10" x14ac:dyDescent="0.25">
      <c r="A2683" s="274"/>
      <c r="B2683" s="499"/>
      <c r="C2683" s="287"/>
      <c r="D2683" s="288"/>
      <c r="E2683" s="288"/>
    </row>
    <row r="2684" spans="1:10" x14ac:dyDescent="0.25">
      <c r="A2684" s="274"/>
      <c r="B2684" s="499"/>
      <c r="C2684" s="287"/>
      <c r="D2684" s="288"/>
      <c r="E2684" s="288"/>
    </row>
    <row r="2685" spans="1:10" x14ac:dyDescent="0.25">
      <c r="A2685" s="274"/>
      <c r="B2685" s="499"/>
      <c r="C2685" s="287"/>
      <c r="D2685" s="288"/>
      <c r="E2685" s="288"/>
    </row>
    <row r="2686" spans="1:10" x14ac:dyDescent="0.25">
      <c r="A2686" s="274"/>
      <c r="B2686" s="499"/>
      <c r="C2686" s="287"/>
      <c r="D2686" s="288"/>
      <c r="E2686" s="288"/>
    </row>
    <row r="2687" spans="1:10" x14ac:dyDescent="0.25">
      <c r="A2687" s="274"/>
      <c r="B2687" s="499"/>
      <c r="C2687" s="287"/>
      <c r="D2687" s="288"/>
      <c r="E2687" s="288"/>
    </row>
    <row r="2688" spans="1:10"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c r="B6550" s="499"/>
      <c r="C6550" s="287"/>
      <c r="D6550" s="288"/>
      <c r="E6550" s="288"/>
    </row>
    <row r="6551" spans="1:5" x14ac:dyDescent="0.25">
      <c r="A6551" s="274"/>
      <c r="B6551" s="499"/>
      <c r="C6551" s="287"/>
      <c r="D6551" s="288"/>
      <c r="E6551" s="288"/>
    </row>
    <row r="6552" spans="1:5" x14ac:dyDescent="0.25">
      <c r="A6552" s="274"/>
      <c r="B6552" s="499"/>
      <c r="C6552" s="287"/>
      <c r="D6552" s="288"/>
      <c r="E6552" s="288"/>
    </row>
    <row r="6553" spans="1:5" x14ac:dyDescent="0.25">
      <c r="A6553" s="274"/>
      <c r="B6553" s="499"/>
      <c r="C6553" s="287"/>
      <c r="D6553" s="288"/>
      <c r="E6553" s="288"/>
    </row>
    <row r="6554" spans="1:5" x14ac:dyDescent="0.25">
      <c r="A6554" s="274"/>
      <c r="B6554" s="499"/>
      <c r="C6554" s="287"/>
      <c r="D6554" s="288"/>
      <c r="E6554" s="288"/>
    </row>
    <row r="6555" spans="1:5" x14ac:dyDescent="0.25">
      <c r="A6555" s="274"/>
      <c r="B6555" s="499"/>
      <c r="C6555" s="287"/>
      <c r="D6555" s="288"/>
      <c r="E6555" s="288"/>
    </row>
    <row r="6556" spans="1:5" x14ac:dyDescent="0.25">
      <c r="A6556" s="274"/>
      <c r="B6556" s="499"/>
      <c r="C6556" s="287"/>
      <c r="D6556" s="288"/>
      <c r="E6556" s="288"/>
    </row>
    <row r="6557" spans="1:5" x14ac:dyDescent="0.25">
      <c r="A6557" s="274"/>
      <c r="B6557" s="499"/>
      <c r="C6557" s="287"/>
      <c r="D6557" s="288"/>
      <c r="E6557" s="288"/>
    </row>
    <row r="6558" spans="1:5" x14ac:dyDescent="0.25">
      <c r="A6558" s="274"/>
      <c r="B6558" s="499"/>
      <c r="C6558" s="287"/>
      <c r="D6558" s="288"/>
      <c r="E6558" s="288"/>
    </row>
    <row r="6559" spans="1:5" x14ac:dyDescent="0.25">
      <c r="A6559" s="274"/>
      <c r="B6559" s="499"/>
      <c r="C6559" s="287"/>
      <c r="D6559" s="288"/>
      <c r="E6559" s="288"/>
    </row>
    <row r="6560" spans="1:5" x14ac:dyDescent="0.25">
      <c r="A6560" s="274"/>
      <c r="B6560" s="499"/>
      <c r="C6560" s="287"/>
      <c r="D6560" s="288"/>
      <c r="E6560" s="288"/>
    </row>
    <row r="6561" spans="1:5" x14ac:dyDescent="0.25">
      <c r="A6561" s="274"/>
      <c r="B6561" s="499"/>
      <c r="C6561" s="287"/>
      <c r="D6561" s="288"/>
      <c r="E6561" s="288"/>
    </row>
    <row r="6562" spans="1:5" x14ac:dyDescent="0.25">
      <c r="A6562" s="274"/>
      <c r="B6562" s="499"/>
      <c r="C6562" s="287"/>
      <c r="D6562" s="288"/>
      <c r="E6562" s="288"/>
    </row>
    <row r="6563" spans="1:5" x14ac:dyDescent="0.25">
      <c r="A6563" s="274"/>
      <c r="B6563" s="499"/>
      <c r="C6563" s="287"/>
      <c r="D6563" s="288"/>
      <c r="E6563" s="288"/>
    </row>
    <row r="6564" spans="1:5" x14ac:dyDescent="0.25">
      <c r="A6564" s="274"/>
      <c r="B6564" s="499"/>
      <c r="C6564" s="287"/>
      <c r="D6564" s="288"/>
      <c r="E6564" s="288"/>
    </row>
    <row r="6565" spans="1:5" x14ac:dyDescent="0.25">
      <c r="A6565" s="274"/>
      <c r="B6565" s="499"/>
      <c r="C6565" s="287"/>
      <c r="D6565" s="288"/>
      <c r="E6565" s="288"/>
    </row>
    <row r="6566" spans="1:5" x14ac:dyDescent="0.25">
      <c r="A6566" s="274"/>
      <c r="B6566" s="499"/>
      <c r="C6566" s="287"/>
      <c r="D6566" s="288"/>
      <c r="E6566" s="288"/>
    </row>
    <row r="6567" spans="1:5" x14ac:dyDescent="0.25">
      <c r="A6567" s="274"/>
      <c r="B6567" s="499"/>
      <c r="C6567" s="287"/>
      <c r="D6567" s="288"/>
      <c r="E6567" s="288"/>
    </row>
    <row r="6568" spans="1:5" x14ac:dyDescent="0.25">
      <c r="A6568" s="274"/>
      <c r="B6568" s="499"/>
      <c r="C6568" s="287"/>
      <c r="D6568" s="288"/>
      <c r="E6568" s="288"/>
    </row>
    <row r="6569" spans="1:5" x14ac:dyDescent="0.25">
      <c r="A6569" s="274"/>
      <c r="B6569" s="499"/>
      <c r="C6569" s="287"/>
      <c r="D6569" s="288"/>
      <c r="E6569" s="288"/>
    </row>
    <row r="6570" spans="1:5" x14ac:dyDescent="0.25">
      <c r="A6570" s="274"/>
      <c r="B6570" s="499"/>
      <c r="C6570" s="287"/>
      <c r="D6570" s="288"/>
      <c r="E6570" s="288"/>
    </row>
    <row r="6571" spans="1:5" x14ac:dyDescent="0.25">
      <c r="A6571" s="274"/>
      <c r="B6571" s="499"/>
      <c r="C6571" s="287"/>
      <c r="D6571" s="288"/>
      <c r="E6571" s="288"/>
    </row>
    <row r="6572" spans="1:5" x14ac:dyDescent="0.25">
      <c r="A6572" s="274"/>
      <c r="B6572" s="499"/>
      <c r="C6572" s="287"/>
      <c r="D6572" s="288"/>
      <c r="E6572" s="288"/>
    </row>
    <row r="6573" spans="1:5" x14ac:dyDescent="0.25">
      <c r="A6573" s="274"/>
      <c r="B6573" s="499"/>
      <c r="C6573" s="287"/>
      <c r="D6573" s="288"/>
      <c r="E6573" s="288"/>
    </row>
    <row r="6574" spans="1:5" x14ac:dyDescent="0.25">
      <c r="A6574" s="274"/>
      <c r="B6574" s="499"/>
      <c r="C6574" s="287"/>
      <c r="D6574" s="288"/>
      <c r="E6574" s="288"/>
    </row>
    <row r="6575" spans="1:5" x14ac:dyDescent="0.25">
      <c r="A6575" s="274"/>
      <c r="B6575" s="499"/>
      <c r="C6575" s="287"/>
      <c r="D6575" s="288"/>
      <c r="E6575" s="288"/>
    </row>
    <row r="6576" spans="1:5" x14ac:dyDescent="0.25">
      <c r="A6576" s="274"/>
      <c r="B6576" s="499"/>
      <c r="C6576" s="287"/>
      <c r="D6576" s="288"/>
      <c r="E6576" s="288"/>
    </row>
    <row r="6577" spans="1:5" x14ac:dyDescent="0.25">
      <c r="A6577" s="274"/>
      <c r="B6577" s="499"/>
      <c r="C6577" s="287"/>
      <c r="D6577" s="288"/>
      <c r="E6577" s="288"/>
    </row>
    <row r="6578" spans="1:5" x14ac:dyDescent="0.25">
      <c r="A6578" s="274"/>
      <c r="B6578" s="499"/>
      <c r="C6578" s="287"/>
      <c r="D6578" s="288"/>
      <c r="E6578" s="288"/>
    </row>
    <row r="6579" spans="1:5" x14ac:dyDescent="0.25">
      <c r="A6579" s="274"/>
      <c r="B6579" s="499"/>
      <c r="C6579" s="287"/>
      <c r="D6579" s="288"/>
      <c r="E6579" s="288"/>
    </row>
    <row r="6580" spans="1:5" x14ac:dyDescent="0.25">
      <c r="A6580" s="274"/>
      <c r="B6580" s="499"/>
      <c r="C6580" s="287"/>
      <c r="D6580" s="288"/>
      <c r="E6580" s="288"/>
    </row>
    <row r="6581" spans="1:5" x14ac:dyDescent="0.25">
      <c r="A6581" s="274"/>
      <c r="B6581" s="499"/>
      <c r="C6581" s="287"/>
      <c r="D6581" s="288"/>
      <c r="E6581" s="288"/>
    </row>
    <row r="6582" spans="1:5" x14ac:dyDescent="0.25">
      <c r="A6582" s="274"/>
      <c r="B6582" s="499"/>
      <c r="C6582" s="287"/>
      <c r="D6582" s="288"/>
      <c r="E6582" s="288"/>
    </row>
    <row r="6583" spans="1:5" x14ac:dyDescent="0.25">
      <c r="A6583"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3" zoomScale="90" zoomScaleNormal="75" zoomScaleSheetLayoutView="90" workbookViewId="0">
      <selection activeCell="H64" sqref="H64"/>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7" t="s">
        <v>2334</v>
      </c>
      <c r="C1" s="858"/>
      <c r="D1" s="858"/>
      <c r="E1" s="858"/>
      <c r="F1" s="858"/>
      <c r="G1" s="460"/>
      <c r="H1" s="460"/>
    </row>
    <row r="2" spans="1:8" s="276" customFormat="1" ht="17.45" customHeight="1" x14ac:dyDescent="0.25">
      <c r="B2" s="731"/>
      <c r="C2" s="732"/>
      <c r="D2" s="732"/>
      <c r="E2" s="851" t="s">
        <v>2387</v>
      </c>
      <c r="F2" s="850"/>
      <c r="G2" s="460"/>
      <c r="H2" s="460"/>
    </row>
    <row r="3" spans="1:8" s="460" customFormat="1" ht="17.45" customHeight="1" x14ac:dyDescent="0.25">
      <c r="B3" s="849" t="s">
        <v>2320</v>
      </c>
      <c r="C3" s="863"/>
      <c r="D3" s="863"/>
      <c r="E3" s="863"/>
      <c r="F3" s="858"/>
    </row>
    <row r="4" spans="1:8" s="460" customFormat="1" ht="17.45" customHeight="1" x14ac:dyDescent="0.25">
      <c r="B4" s="860" t="s">
        <v>2321</v>
      </c>
      <c r="C4" s="862"/>
      <c r="D4" s="862"/>
      <c r="E4" s="862"/>
      <c r="F4" s="858"/>
    </row>
    <row r="5" spans="1:8" s="736" customFormat="1" ht="17.45" customHeight="1" x14ac:dyDescent="0.2">
      <c r="E5" s="471"/>
    </row>
    <row r="6" spans="1:8" s="736" customFormat="1" ht="17.45" customHeight="1" x14ac:dyDescent="0.2">
      <c r="B6" s="857" t="s">
        <v>2393</v>
      </c>
      <c r="C6" s="858"/>
      <c r="D6" s="858"/>
      <c r="E6" s="858"/>
      <c r="F6" s="858"/>
    </row>
    <row r="7" spans="1:8" s="460" customFormat="1" ht="17.45" customHeight="1" x14ac:dyDescent="0.25">
      <c r="B7" s="849" t="s">
        <v>2320</v>
      </c>
      <c r="C7" s="863"/>
      <c r="D7" s="863"/>
      <c r="E7" s="863"/>
      <c r="F7" s="858"/>
    </row>
    <row r="8" spans="1:8" s="460" customFormat="1" ht="17.45" customHeight="1" x14ac:dyDescent="0.25">
      <c r="B8" s="860" t="s">
        <v>2391</v>
      </c>
      <c r="C8" s="862"/>
      <c r="D8" s="862"/>
      <c r="E8" s="862"/>
      <c r="F8" s="858"/>
    </row>
    <row r="9" spans="1:8" s="276" customFormat="1" ht="12.75" x14ac:dyDescent="0.2">
      <c r="D9" s="869"/>
      <c r="E9" s="869"/>
    </row>
    <row r="10" spans="1:8" s="736" customFormat="1" ht="12.75" x14ac:dyDescent="0.2">
      <c r="D10" s="737"/>
      <c r="E10" s="737"/>
    </row>
    <row r="11" spans="1:8" ht="88.9" customHeight="1" x14ac:dyDescent="0.2">
      <c r="A11" s="870" t="s">
        <v>2332</v>
      </c>
      <c r="B11" s="870"/>
      <c r="C11" s="870"/>
      <c r="D11" s="855"/>
      <c r="E11" s="855"/>
      <c r="F11" s="855"/>
      <c r="G11" s="463"/>
      <c r="H11" s="463"/>
    </row>
    <row r="12" spans="1:8" ht="4.1500000000000004" hidden="1" customHeight="1" thickBot="1" x14ac:dyDescent="0.25">
      <c r="A12" s="240"/>
      <c r="B12" s="241"/>
      <c r="C12" s="241"/>
      <c r="E12" s="856"/>
      <c r="F12" s="856"/>
      <c r="G12" s="856"/>
      <c r="H12" s="856"/>
    </row>
    <row r="13" spans="1:8" s="280" customFormat="1" ht="27" customHeight="1" thickBot="1" x14ac:dyDescent="0.25">
      <c r="A13" s="240"/>
      <c r="B13" s="241"/>
      <c r="C13" s="241"/>
      <c r="F13" s="244" t="s">
        <v>1833</v>
      </c>
      <c r="G13" s="459"/>
      <c r="H13" s="459"/>
    </row>
    <row r="14" spans="1:8" ht="35.1" customHeight="1" x14ac:dyDescent="0.2">
      <c r="A14" s="871" t="s">
        <v>1601</v>
      </c>
      <c r="B14" s="873" t="s">
        <v>37</v>
      </c>
      <c r="C14" s="875" t="s">
        <v>391</v>
      </c>
      <c r="D14" s="877" t="s">
        <v>2228</v>
      </c>
      <c r="E14" s="867" t="s">
        <v>2229</v>
      </c>
      <c r="F14" s="867" t="s">
        <v>2305</v>
      </c>
    </row>
    <row r="15" spans="1:8" ht="13.9" customHeight="1" thickBot="1" x14ac:dyDescent="0.25">
      <c r="A15" s="872"/>
      <c r="B15" s="874"/>
      <c r="C15" s="876"/>
      <c r="D15" s="878"/>
      <c r="E15" s="868"/>
      <c r="F15" s="868"/>
    </row>
    <row r="16" spans="1:8" ht="16.5" thickBot="1" x14ac:dyDescent="0.25">
      <c r="A16" s="706">
        <v>1</v>
      </c>
      <c r="B16" s="707">
        <v>2</v>
      </c>
      <c r="C16" s="708">
        <v>3</v>
      </c>
      <c r="D16" s="703">
        <v>4</v>
      </c>
      <c r="E16" s="709">
        <v>5</v>
      </c>
      <c r="F16" s="703">
        <v>6</v>
      </c>
    </row>
    <row r="17" spans="1:6" ht="33" customHeight="1" x14ac:dyDescent="0.2">
      <c r="A17" s="698" t="s">
        <v>482</v>
      </c>
      <c r="B17" s="704" t="s">
        <v>566</v>
      </c>
      <c r="C17" s="705"/>
      <c r="D17" s="699">
        <f>D18+D19+D20+D21+D22+D23+D24</f>
        <v>271199.3</v>
      </c>
      <c r="E17" s="699">
        <f>E18+E19+E20+E21+E22+E23+E24</f>
        <v>223800.00000000003</v>
      </c>
      <c r="F17" s="699">
        <f>F18+F19+F20+F21+F22+F23+F24</f>
        <v>213096.7</v>
      </c>
    </row>
    <row r="18" spans="1:6" ht="45" customHeight="1" x14ac:dyDescent="0.2">
      <c r="A18" s="673" t="s">
        <v>1299</v>
      </c>
      <c r="B18" s="679" t="s">
        <v>566</v>
      </c>
      <c r="C18" s="680" t="s">
        <v>567</v>
      </c>
      <c r="D18" s="693">
        <f>'Функц. 2021-2023'!F16</f>
        <v>2587.8000000000002</v>
      </c>
      <c r="E18" s="693">
        <f>'Функц. 2021-2023'!H16</f>
        <v>2587.8000000000002</v>
      </c>
      <c r="F18" s="693">
        <f>'Функц. 2021-2023'!J16</f>
        <v>2587.8000000000002</v>
      </c>
    </row>
    <row r="19" spans="1:6" ht="63.75" customHeight="1" x14ac:dyDescent="0.2">
      <c r="A19" s="673" t="s">
        <v>1300</v>
      </c>
      <c r="B19" s="679" t="s">
        <v>566</v>
      </c>
      <c r="C19" s="680" t="s">
        <v>193</v>
      </c>
      <c r="D19" s="693">
        <f>'Функц. 2021-2023'!F23</f>
        <v>12037.1</v>
      </c>
      <c r="E19" s="693">
        <f>'Функц. 2021-2023'!H23</f>
        <v>10588.1</v>
      </c>
      <c r="F19" s="693">
        <f>'Функц. 2021-2023'!J23</f>
        <v>10588.1</v>
      </c>
    </row>
    <row r="20" spans="1:6" ht="62.25" customHeight="1" x14ac:dyDescent="0.2">
      <c r="A20" s="673" t="s">
        <v>1301</v>
      </c>
      <c r="B20" s="679" t="s">
        <v>566</v>
      </c>
      <c r="C20" s="680" t="s">
        <v>1182</v>
      </c>
      <c r="D20" s="693">
        <f>'Функц. 2021-2023'!F56</f>
        <v>64248.200000000004</v>
      </c>
      <c r="E20" s="717">
        <f>'Функц. 2021-2023'!H56</f>
        <v>59121.3</v>
      </c>
      <c r="F20" s="717">
        <f>'Функц. 2021-2023'!J56</f>
        <v>59643.3</v>
      </c>
    </row>
    <row r="21" spans="1:6" ht="46.5" customHeight="1" x14ac:dyDescent="0.2">
      <c r="A21" s="673" t="s">
        <v>1618</v>
      </c>
      <c r="B21" s="679" t="s">
        <v>566</v>
      </c>
      <c r="C21" s="680" t="s">
        <v>1747</v>
      </c>
      <c r="D21" s="693">
        <f>'Функц. 2021-2023'!F100</f>
        <v>24506.400000000001</v>
      </c>
      <c r="E21" s="717">
        <f>'Функц. 2021-2023'!H100</f>
        <v>24349.300000000003</v>
      </c>
      <c r="F21" s="717">
        <f>'Функц. 2021-2023'!J100</f>
        <v>24349.300000000003</v>
      </c>
    </row>
    <row r="22" spans="1:6" ht="26.25" customHeight="1" x14ac:dyDescent="0.2">
      <c r="A22" s="674" t="s">
        <v>1619</v>
      </c>
      <c r="B22" s="679" t="s">
        <v>566</v>
      </c>
      <c r="C22" s="680" t="s">
        <v>205</v>
      </c>
      <c r="D22" s="693">
        <f>'Функц. 2021-2023'!F144</f>
        <v>4405</v>
      </c>
      <c r="E22" s="717">
        <f>'Функц. 2021-2023'!H144</f>
        <v>4405</v>
      </c>
      <c r="F22" s="717">
        <f>'Функц. 2021-2023'!J144</f>
        <v>4405</v>
      </c>
    </row>
    <row r="23" spans="1:6" ht="25.5" customHeight="1" x14ac:dyDescent="0.2">
      <c r="A23" s="673" t="s">
        <v>1620</v>
      </c>
      <c r="B23" s="679" t="s">
        <v>566</v>
      </c>
      <c r="C23" s="680">
        <v>11</v>
      </c>
      <c r="D23" s="693">
        <f>'Функц. 2021-2023'!F162</f>
        <v>3127.7999999999993</v>
      </c>
      <c r="E23" s="717">
        <f>'Функц. 2021-2023'!H162</f>
        <v>10300.900000000001</v>
      </c>
      <c r="F23" s="717">
        <f>'Функц. 2021-2023'!J162</f>
        <v>6929</v>
      </c>
    </row>
    <row r="24" spans="1:6" ht="28.5" customHeight="1" x14ac:dyDescent="0.2">
      <c r="A24" s="673" t="s">
        <v>1836</v>
      </c>
      <c r="B24" s="679" t="s">
        <v>566</v>
      </c>
      <c r="C24" s="680">
        <v>13</v>
      </c>
      <c r="D24" s="693">
        <f>'Функц. 2021-2023'!F170</f>
        <v>160286.99999999997</v>
      </c>
      <c r="E24" s="717">
        <f>'Функц. 2021-2023'!H170</f>
        <v>112447.6</v>
      </c>
      <c r="F24" s="717">
        <f>'Функц. 2021-2023'!J170</f>
        <v>104594.20000000001</v>
      </c>
    </row>
    <row r="25" spans="1:6" ht="32.450000000000003" customHeight="1" x14ac:dyDescent="0.2">
      <c r="A25" s="672" t="s">
        <v>271</v>
      </c>
      <c r="B25" s="681" t="s">
        <v>567</v>
      </c>
      <c r="C25" s="678"/>
      <c r="D25" s="692">
        <f>D26+D27</f>
        <v>4078.7</v>
      </c>
      <c r="E25" s="692">
        <f>E26+E27</f>
        <v>3973</v>
      </c>
      <c r="F25" s="692">
        <f>F26+F27</f>
        <v>3973</v>
      </c>
    </row>
    <row r="26" spans="1:6" ht="23.25" customHeight="1" x14ac:dyDescent="0.2">
      <c r="A26" s="674" t="s">
        <v>1621</v>
      </c>
      <c r="B26" s="679" t="s">
        <v>567</v>
      </c>
      <c r="C26" s="680" t="s">
        <v>193</v>
      </c>
      <c r="D26" s="693">
        <f>'Функц. 2021-2023'!F273</f>
        <v>3773</v>
      </c>
      <c r="E26" s="717">
        <f>'Функц. 2021-2023'!H273</f>
        <v>3773</v>
      </c>
      <c r="F26" s="717">
        <f>'Функц. 2021-2023'!J273</f>
        <v>3773</v>
      </c>
    </row>
    <row r="27" spans="1:6" ht="26.25" customHeight="1" x14ac:dyDescent="0.2">
      <c r="A27" s="673" t="s">
        <v>1622</v>
      </c>
      <c r="B27" s="679" t="s">
        <v>567</v>
      </c>
      <c r="C27" s="680" t="s">
        <v>1182</v>
      </c>
      <c r="D27" s="693">
        <f>'Функц. 2021-2023'!F280</f>
        <v>305.7</v>
      </c>
      <c r="E27" s="717">
        <f>'Функц. 2021-2023'!H280</f>
        <v>200</v>
      </c>
      <c r="F27" s="717">
        <f>'Функц. 2021-2023'!J280</f>
        <v>200</v>
      </c>
    </row>
    <row r="28" spans="1:6" ht="30" customHeight="1" x14ac:dyDescent="0.2">
      <c r="A28" s="672" t="s">
        <v>1050</v>
      </c>
      <c r="B28" s="681" t="s">
        <v>193</v>
      </c>
      <c r="C28" s="678"/>
      <c r="D28" s="692">
        <f>D29+D31+D30</f>
        <v>43379.100000000006</v>
      </c>
      <c r="E28" s="692">
        <f>E29+E31+E30</f>
        <v>27440.400000000001</v>
      </c>
      <c r="F28" s="692">
        <f>F29+F31+F30</f>
        <v>27440.400000000001</v>
      </c>
    </row>
    <row r="29" spans="1:6" ht="42.75" customHeight="1" x14ac:dyDescent="0.2">
      <c r="A29" s="673" t="s">
        <v>2328</v>
      </c>
      <c r="B29" s="679" t="s">
        <v>193</v>
      </c>
      <c r="C29" s="680" t="s">
        <v>406</v>
      </c>
      <c r="D29" s="693">
        <f>'Функц. 2021-2023'!F288</f>
        <v>1319.9</v>
      </c>
      <c r="E29" s="717">
        <f>'Функц. 2021-2023'!H288</f>
        <v>1290</v>
      </c>
      <c r="F29" s="717">
        <f>'Функц. 2021-2023'!J288</f>
        <v>1290</v>
      </c>
    </row>
    <row r="30" spans="1:6" s="460" customFormat="1" ht="42.75" customHeight="1" x14ac:dyDescent="0.2">
      <c r="A30" s="675" t="s">
        <v>2327</v>
      </c>
      <c r="B30" s="679" t="s">
        <v>193</v>
      </c>
      <c r="C30" s="680" t="s">
        <v>768</v>
      </c>
      <c r="D30" s="693">
        <f>'Функц. 2021-2023'!F300</f>
        <v>22129.899999999998</v>
      </c>
      <c r="E30" s="717">
        <f>'Функц. 2021-2023'!H300</f>
        <v>18952.400000000001</v>
      </c>
      <c r="F30" s="717">
        <f>'Функц. 2021-2023'!J300</f>
        <v>18952.400000000001</v>
      </c>
    </row>
    <row r="31" spans="1:6" ht="42.75" customHeight="1" x14ac:dyDescent="0.2">
      <c r="A31" s="673" t="s">
        <v>1623</v>
      </c>
      <c r="B31" s="679" t="s">
        <v>193</v>
      </c>
      <c r="C31" s="680">
        <v>14</v>
      </c>
      <c r="D31" s="693">
        <f>'Функц. 2021-2023'!F335</f>
        <v>19929.300000000003</v>
      </c>
      <c r="E31" s="717">
        <f>'Функц. 2021-2023'!H335</f>
        <v>7198</v>
      </c>
      <c r="F31" s="717">
        <f>'Функц. 2021-2023'!J335</f>
        <v>7198</v>
      </c>
    </row>
    <row r="32" spans="1:6" ht="26.25" customHeight="1" x14ac:dyDescent="0.2">
      <c r="A32" s="672" t="s">
        <v>994</v>
      </c>
      <c r="B32" s="681" t="s">
        <v>1182</v>
      </c>
      <c r="C32" s="678"/>
      <c r="D32" s="692">
        <f>D34+D37+D35+D36+D33</f>
        <v>117984.9</v>
      </c>
      <c r="E32" s="692">
        <f>E34+E37+E35+E36+E33</f>
        <v>50685.7</v>
      </c>
      <c r="F32" s="692">
        <f>F34+F37+F35+F36+F33</f>
        <v>52753.7</v>
      </c>
    </row>
    <row r="33" spans="1:6" s="276" customFormat="1" ht="26.25" customHeight="1" x14ac:dyDescent="0.3">
      <c r="A33" s="676" t="s">
        <v>1831</v>
      </c>
      <c r="B33" s="682" t="s">
        <v>1182</v>
      </c>
      <c r="C33" s="683" t="s">
        <v>175</v>
      </c>
      <c r="D33" s="693">
        <f>'Функц. 2021-2023'!F364</f>
        <v>1070</v>
      </c>
      <c r="E33" s="717">
        <f>'Функц. 2021-2023'!H358</f>
        <v>655</v>
      </c>
      <c r="F33" s="717">
        <f>'Функц. 2021-2023'!J358</f>
        <v>655</v>
      </c>
    </row>
    <row r="34" spans="1:6" ht="23.45" customHeight="1" x14ac:dyDescent="0.2">
      <c r="A34" s="673" t="s">
        <v>1624</v>
      </c>
      <c r="B34" s="679" t="s">
        <v>1182</v>
      </c>
      <c r="C34" s="680" t="s">
        <v>290</v>
      </c>
      <c r="D34" s="693">
        <f>'Функц. 2021-2023'!F365</f>
        <v>21336.9</v>
      </c>
      <c r="E34" s="717">
        <f>'Функц. 2021-2023'!H365</f>
        <v>20965.7</v>
      </c>
      <c r="F34" s="717">
        <f>'Функц. 2021-2023'!J365</f>
        <v>20965.7</v>
      </c>
    </row>
    <row r="35" spans="1:6" ht="24" customHeight="1" x14ac:dyDescent="0.2">
      <c r="A35" s="674" t="s">
        <v>1625</v>
      </c>
      <c r="B35" s="679" t="s">
        <v>1182</v>
      </c>
      <c r="C35" s="680" t="s">
        <v>406</v>
      </c>
      <c r="D35" s="693">
        <f>'Функц. 2021-2023'!F383</f>
        <v>92301</v>
      </c>
      <c r="E35" s="717">
        <f>'Функц. 2021-2023'!H383</f>
        <v>28046</v>
      </c>
      <c r="F35" s="717">
        <f>'Функц. 2021-2023'!J383</f>
        <v>30113</v>
      </c>
    </row>
    <row r="36" spans="1:6" ht="24" customHeight="1" x14ac:dyDescent="0.2">
      <c r="A36" s="674" t="s">
        <v>1756</v>
      </c>
      <c r="B36" s="679" t="s">
        <v>1182</v>
      </c>
      <c r="C36" s="680">
        <v>10</v>
      </c>
      <c r="D36" s="693">
        <f>'Функц. 2021-2023'!F414</f>
        <v>2651</v>
      </c>
      <c r="E36" s="717">
        <f>'Функц. 2021-2023'!H414</f>
        <v>693</v>
      </c>
      <c r="F36" s="717">
        <f>'Функц. 2021-2023'!J414</f>
        <v>694</v>
      </c>
    </row>
    <row r="37" spans="1:6" ht="22.15" customHeight="1" x14ac:dyDescent="0.2">
      <c r="A37" s="673" t="s">
        <v>1626</v>
      </c>
      <c r="B37" s="679" t="s">
        <v>1182</v>
      </c>
      <c r="C37" s="680">
        <v>12</v>
      </c>
      <c r="D37" s="693">
        <f>'Функц. 2021-2023'!F433</f>
        <v>626</v>
      </c>
      <c r="E37" s="717">
        <f>'Функц. 2021-2023'!H433</f>
        <v>326</v>
      </c>
      <c r="F37" s="717">
        <f>'Функц. 2021-2023'!J433</f>
        <v>326</v>
      </c>
    </row>
    <row r="38" spans="1:6" ht="26.25" customHeight="1" x14ac:dyDescent="0.2">
      <c r="A38" s="672" t="s">
        <v>173</v>
      </c>
      <c r="B38" s="681" t="s">
        <v>175</v>
      </c>
      <c r="C38" s="678"/>
      <c r="D38" s="692">
        <f>D39+D41+D42+D40</f>
        <v>176487.40000000002</v>
      </c>
      <c r="E38" s="692">
        <f>E39+E41+E42+E40</f>
        <v>68782.100000000006</v>
      </c>
      <c r="F38" s="692">
        <f>F39+F41+F42+F40</f>
        <v>65152.100000000006</v>
      </c>
    </row>
    <row r="39" spans="1:6" ht="24.75" customHeight="1" x14ac:dyDescent="0.2">
      <c r="A39" s="673" t="s">
        <v>1627</v>
      </c>
      <c r="B39" s="679" t="s">
        <v>175</v>
      </c>
      <c r="C39" s="680" t="s">
        <v>566</v>
      </c>
      <c r="D39" s="693">
        <f>'Функц. 2021-2023'!F450</f>
        <v>13518.1</v>
      </c>
      <c r="E39" s="717">
        <f>'Функц. 2021-2023'!H450</f>
        <v>10102.1</v>
      </c>
      <c r="F39" s="717">
        <f>'Функц. 2021-2023'!J450</f>
        <v>10102.1</v>
      </c>
    </row>
    <row r="40" spans="1:6" s="449" customFormat="1" ht="24.75" customHeight="1" x14ac:dyDescent="0.2">
      <c r="A40" s="675" t="s">
        <v>2158</v>
      </c>
      <c r="B40" s="684" t="s">
        <v>175</v>
      </c>
      <c r="C40" s="685" t="s">
        <v>567</v>
      </c>
      <c r="D40" s="693">
        <f>'Функц. 2021-2023'!F467</f>
        <v>11150</v>
      </c>
      <c r="E40" s="717">
        <f>'Функц. 2021-2023'!H467</f>
        <v>9348.7000000000007</v>
      </c>
      <c r="F40" s="717">
        <f>'Функц. 2021-2023'!J467</f>
        <v>0</v>
      </c>
    </row>
    <row r="41" spans="1:6" ht="27.75" customHeight="1" x14ac:dyDescent="0.2">
      <c r="A41" s="673" t="s">
        <v>1628</v>
      </c>
      <c r="B41" s="679" t="s">
        <v>175</v>
      </c>
      <c r="C41" s="680" t="s">
        <v>193</v>
      </c>
      <c r="D41" s="693">
        <f>'Функц. 2021-2023'!F478</f>
        <v>128190</v>
      </c>
      <c r="E41" s="717">
        <f>'Функц. 2021-2023'!H478</f>
        <v>25633.5</v>
      </c>
      <c r="F41" s="717">
        <f>'Функц. 2021-2023'!J478</f>
        <v>31499.200000000001</v>
      </c>
    </row>
    <row r="42" spans="1:6" ht="24.75" customHeight="1" thickBot="1" x14ac:dyDescent="0.25">
      <c r="A42" s="673" t="s">
        <v>1629</v>
      </c>
      <c r="B42" s="679" t="s">
        <v>175</v>
      </c>
      <c r="C42" s="680" t="s">
        <v>175</v>
      </c>
      <c r="D42" s="693">
        <f>'Функц. 2021-2023'!F577</f>
        <v>23629.300000000003</v>
      </c>
      <c r="E42" s="717">
        <f>'Функц. 2021-2023'!H577</f>
        <v>23697.800000000003</v>
      </c>
      <c r="F42" s="717">
        <f>'Функц. 2021-2023'!J577</f>
        <v>23550.800000000003</v>
      </c>
    </row>
    <row r="43" spans="1:6" s="736" customFormat="1" ht="20.45" customHeight="1" thickBot="1" x14ac:dyDescent="0.25">
      <c r="A43" s="700">
        <v>1</v>
      </c>
      <c r="B43" s="701">
        <v>2</v>
      </c>
      <c r="C43" s="702">
        <v>3</v>
      </c>
      <c r="D43" s="722">
        <v>4</v>
      </c>
      <c r="E43" s="722">
        <v>5</v>
      </c>
      <c r="F43" s="722">
        <v>6</v>
      </c>
    </row>
    <row r="44" spans="1:6" s="460" customFormat="1" ht="24.75" customHeight="1" x14ac:dyDescent="0.3">
      <c r="A44" s="662" t="s">
        <v>866</v>
      </c>
      <c r="B44" s="686" t="s">
        <v>1747</v>
      </c>
      <c r="C44" s="687"/>
      <c r="D44" s="692">
        <f>D45</f>
        <v>1712885.9000000001</v>
      </c>
      <c r="E44" s="692">
        <f>E45</f>
        <v>651397.6</v>
      </c>
      <c r="F44" s="692">
        <f>F45</f>
        <v>10</v>
      </c>
    </row>
    <row r="45" spans="1:6" s="460" customFormat="1" ht="24.75" customHeight="1" x14ac:dyDescent="0.3">
      <c r="A45" s="832" t="s">
        <v>1702</v>
      </c>
      <c r="B45" s="825" t="s">
        <v>1747</v>
      </c>
      <c r="C45" s="826" t="s">
        <v>567</v>
      </c>
      <c r="D45" s="827">
        <f>'Функц. 2021-2023'!F642</f>
        <v>1712885.9000000001</v>
      </c>
      <c r="E45" s="828">
        <f>'Функц. 2021-2023'!H653</f>
        <v>651397.6</v>
      </c>
      <c r="F45" s="828">
        <f>'Функц. 2021-2023'!J642</f>
        <v>10</v>
      </c>
    </row>
    <row r="46" spans="1:6" ht="26.25" customHeight="1" x14ac:dyDescent="0.2">
      <c r="A46" s="833" t="s">
        <v>174</v>
      </c>
      <c r="B46" s="829" t="s">
        <v>205</v>
      </c>
      <c r="C46" s="830"/>
      <c r="D46" s="831">
        <f>D47+D48+D50+D51+D49</f>
        <v>1101561.5999999999</v>
      </c>
      <c r="E46" s="831">
        <f>E47+E48+E50+E51+E49</f>
        <v>1092782.0999999999</v>
      </c>
      <c r="F46" s="831">
        <f>F47+F48+F50+F51+F49</f>
        <v>1081135.3</v>
      </c>
    </row>
    <row r="47" spans="1:6" ht="30" customHeight="1" x14ac:dyDescent="0.2">
      <c r="A47" s="673" t="s">
        <v>1630</v>
      </c>
      <c r="B47" s="689" t="s">
        <v>205</v>
      </c>
      <c r="C47" s="680" t="s">
        <v>566</v>
      </c>
      <c r="D47" s="693">
        <f>'Функц. 2021-2023'!F655</f>
        <v>433920.8</v>
      </c>
      <c r="E47" s="693">
        <f>'Функц. 2021-2023'!H655</f>
        <v>425351.9</v>
      </c>
      <c r="F47" s="693">
        <f>'Функц. 2021-2023'!J655</f>
        <v>425351.9</v>
      </c>
    </row>
    <row r="48" spans="1:6" ht="24.75" customHeight="1" x14ac:dyDescent="0.2">
      <c r="A48" s="673" t="s">
        <v>1631</v>
      </c>
      <c r="B48" s="689" t="s">
        <v>205</v>
      </c>
      <c r="C48" s="680" t="s">
        <v>567</v>
      </c>
      <c r="D48" s="694">
        <f>'Функц. 2021-2023'!F669</f>
        <v>510443.39999999997</v>
      </c>
      <c r="E48" s="694">
        <f>'Функц. 2021-2023'!H669</f>
        <v>508695.1</v>
      </c>
      <c r="F48" s="694">
        <f>'Функц. 2021-2023'!J669</f>
        <v>516839.6</v>
      </c>
    </row>
    <row r="49" spans="1:6" ht="27.75" customHeight="1" x14ac:dyDescent="0.2">
      <c r="A49" s="673" t="s">
        <v>1830</v>
      </c>
      <c r="B49" s="689" t="s">
        <v>205</v>
      </c>
      <c r="C49" s="680" t="s">
        <v>193</v>
      </c>
      <c r="D49" s="693">
        <f>'Функц. 2021-2023'!F725</f>
        <v>130030.39999999999</v>
      </c>
      <c r="E49" s="717">
        <f>'Функц. 2021-2023'!H725</f>
        <v>115630.39999999999</v>
      </c>
      <c r="F49" s="717">
        <f>'Функц. 2021-2023'!J725</f>
        <v>115630.39999999999</v>
      </c>
    </row>
    <row r="50" spans="1:6" ht="25.5" customHeight="1" x14ac:dyDescent="0.2">
      <c r="A50" s="673" t="s">
        <v>1812</v>
      </c>
      <c r="B50" s="679" t="s">
        <v>205</v>
      </c>
      <c r="C50" s="680" t="s">
        <v>205</v>
      </c>
      <c r="D50" s="693">
        <f>'Функц. 2021-2023'!F760</f>
        <v>1868.5</v>
      </c>
      <c r="E50" s="717">
        <f>'Функц. 2021-2023'!H760</f>
        <v>1620.5</v>
      </c>
      <c r="F50" s="717">
        <f>'Функц. 2021-2023'!J760</f>
        <v>1620.5</v>
      </c>
    </row>
    <row r="51" spans="1:6" ht="28.5" customHeight="1" x14ac:dyDescent="0.2">
      <c r="A51" s="673" t="s">
        <v>1632</v>
      </c>
      <c r="B51" s="679" t="s">
        <v>205</v>
      </c>
      <c r="C51" s="680" t="s">
        <v>406</v>
      </c>
      <c r="D51" s="693">
        <f>'Функц. 2021-2023'!F779</f>
        <v>25298.500000000004</v>
      </c>
      <c r="E51" s="717">
        <f>'Функц. 2021-2023'!H779</f>
        <v>41484.200000000004</v>
      </c>
      <c r="F51" s="717">
        <f>'Функц. 2021-2023'!J779</f>
        <v>21692.9</v>
      </c>
    </row>
    <row r="52" spans="1:6" ht="37.35" customHeight="1" x14ac:dyDescent="0.2">
      <c r="A52" s="672" t="s">
        <v>403</v>
      </c>
      <c r="B52" s="681" t="s">
        <v>290</v>
      </c>
      <c r="C52" s="688"/>
      <c r="D52" s="692">
        <f>D53</f>
        <v>95581.599999999991</v>
      </c>
      <c r="E52" s="692">
        <f>E53</f>
        <v>89536</v>
      </c>
      <c r="F52" s="692">
        <f>F53</f>
        <v>89536</v>
      </c>
    </row>
    <row r="53" spans="1:6" ht="27.75" customHeight="1" x14ac:dyDescent="0.2">
      <c r="A53" s="673" t="s">
        <v>1633</v>
      </c>
      <c r="B53" s="679" t="s">
        <v>290</v>
      </c>
      <c r="C53" s="680" t="s">
        <v>566</v>
      </c>
      <c r="D53" s="693">
        <f>'Функц. 2021-2023'!F839</f>
        <v>95581.599999999991</v>
      </c>
      <c r="E53" s="717">
        <f>'Функц. 2021-2023'!H839</f>
        <v>89536</v>
      </c>
      <c r="F53" s="717">
        <f>'Функц. 2021-2023'!J839</f>
        <v>89536</v>
      </c>
    </row>
    <row r="54" spans="1:6" ht="36" customHeight="1" x14ac:dyDescent="0.2">
      <c r="A54" s="672" t="s">
        <v>759</v>
      </c>
      <c r="B54" s="690" t="s">
        <v>406</v>
      </c>
      <c r="C54" s="680"/>
      <c r="D54" s="692">
        <f>D55</f>
        <v>4880</v>
      </c>
      <c r="E54" s="692">
        <f>E55</f>
        <v>3780</v>
      </c>
      <c r="F54" s="692">
        <f>F55</f>
        <v>3780</v>
      </c>
    </row>
    <row r="55" spans="1:6" ht="27.75" customHeight="1" x14ac:dyDescent="0.2">
      <c r="A55" s="677" t="s">
        <v>1634</v>
      </c>
      <c r="B55" s="691" t="s">
        <v>406</v>
      </c>
      <c r="C55" s="680" t="s">
        <v>406</v>
      </c>
      <c r="D55" s="693">
        <f>'Функц. 2021-2023'!F892</f>
        <v>4880</v>
      </c>
      <c r="E55" s="717">
        <f>'Функц. 2021-2023'!H892</f>
        <v>3780</v>
      </c>
      <c r="F55" s="717">
        <f>'Функц. 2021-2023'!J892</f>
        <v>3780</v>
      </c>
    </row>
    <row r="56" spans="1:6" ht="28.5" customHeight="1" x14ac:dyDescent="0.2">
      <c r="A56" s="672" t="s">
        <v>1746</v>
      </c>
      <c r="B56" s="681" t="s">
        <v>768</v>
      </c>
      <c r="C56" s="688"/>
      <c r="D56" s="692">
        <f>D57+D58+D60+D59</f>
        <v>104801.90000000001</v>
      </c>
      <c r="E56" s="692">
        <f>E57+E58+E60+E59</f>
        <v>74725.600000000006</v>
      </c>
      <c r="F56" s="692">
        <f>F57+F58+F60+F59</f>
        <v>65553.600000000006</v>
      </c>
    </row>
    <row r="57" spans="1:6" ht="20.25" customHeight="1" x14ac:dyDescent="0.2">
      <c r="A57" s="673" t="s">
        <v>1635</v>
      </c>
      <c r="B57" s="679">
        <v>10</v>
      </c>
      <c r="C57" s="680" t="s">
        <v>566</v>
      </c>
      <c r="D57" s="693">
        <f>'Функц. 2021-2023'!F900</f>
        <v>7640.6000000000013</v>
      </c>
      <c r="E57" s="717">
        <f>'Функц. 2021-2023'!H900</f>
        <v>7648.6000000000013</v>
      </c>
      <c r="F57" s="717">
        <f>'Функц. 2021-2023'!J900</f>
        <v>7648.6000000000013</v>
      </c>
    </row>
    <row r="58" spans="1:6" ht="27.75" customHeight="1" x14ac:dyDescent="0.2">
      <c r="A58" s="673" t="s">
        <v>1636</v>
      </c>
      <c r="B58" s="679">
        <v>10</v>
      </c>
      <c r="C58" s="680" t="s">
        <v>193</v>
      </c>
      <c r="D58" s="693">
        <f>'Функц. 2021-2023'!F907</f>
        <v>19062</v>
      </c>
      <c r="E58" s="717">
        <f>'Функц. 2021-2023'!H907</f>
        <v>19747</v>
      </c>
      <c r="F58" s="717">
        <f>'Функц. 2021-2023'!J907</f>
        <v>20478</v>
      </c>
    </row>
    <row r="59" spans="1:6" ht="27.75" customHeight="1" x14ac:dyDescent="0.2">
      <c r="A59" s="673" t="s">
        <v>1637</v>
      </c>
      <c r="B59" s="679">
        <v>10</v>
      </c>
      <c r="C59" s="680" t="s">
        <v>1182</v>
      </c>
      <c r="D59" s="693">
        <f>'Функц. 2021-2023'!F916</f>
        <v>77959.3</v>
      </c>
      <c r="E59" s="717">
        <f>'Функц. 2021-2023'!H916</f>
        <v>47190</v>
      </c>
      <c r="F59" s="717">
        <f>'Функц. 2021-2023'!J916</f>
        <v>37287</v>
      </c>
    </row>
    <row r="60" spans="1:6" ht="28.5" customHeight="1" x14ac:dyDescent="0.2">
      <c r="A60" s="673" t="s">
        <v>1638</v>
      </c>
      <c r="B60" s="679">
        <v>10</v>
      </c>
      <c r="C60" s="680" t="s">
        <v>1747</v>
      </c>
      <c r="D60" s="693">
        <f>'Функц. 2021-2023'!F939</f>
        <v>140</v>
      </c>
      <c r="E60" s="717">
        <f>'Функц. 2021-2023'!H939</f>
        <v>140</v>
      </c>
      <c r="F60" s="717">
        <f>'Функц. 2021-2023'!J939</f>
        <v>140</v>
      </c>
    </row>
    <row r="61" spans="1:6" ht="34.35" customHeight="1" x14ac:dyDescent="0.2">
      <c r="A61" s="672" t="s">
        <v>282</v>
      </c>
      <c r="B61" s="690">
        <v>11</v>
      </c>
      <c r="C61" s="678"/>
      <c r="D61" s="692">
        <f>D63+D62</f>
        <v>91881.8</v>
      </c>
      <c r="E61" s="692">
        <f>E63+E62</f>
        <v>83781.8</v>
      </c>
      <c r="F61" s="692">
        <f>F63+F62</f>
        <v>83781.8</v>
      </c>
    </row>
    <row r="62" spans="1:6" ht="24.75" customHeight="1" x14ac:dyDescent="0.2">
      <c r="A62" s="674" t="s">
        <v>1639</v>
      </c>
      <c r="B62" s="679">
        <v>11</v>
      </c>
      <c r="C62" s="680" t="s">
        <v>566</v>
      </c>
      <c r="D62" s="693">
        <f>'Функц. 2021-2023'!F950</f>
        <v>32271.200000000001</v>
      </c>
      <c r="E62" s="717">
        <f>'Функц. 2021-2023'!H950</f>
        <v>29271.200000000001</v>
      </c>
      <c r="F62" s="717">
        <f>'Функц. 2021-2023'!J950</f>
        <v>29271.200000000001</v>
      </c>
    </row>
    <row r="63" spans="1:6" ht="28.5" customHeight="1" x14ac:dyDescent="0.2">
      <c r="A63" s="674" t="s">
        <v>1640</v>
      </c>
      <c r="B63" s="679">
        <v>11</v>
      </c>
      <c r="C63" s="680" t="s">
        <v>567</v>
      </c>
      <c r="D63" s="693">
        <f>'Функц. 2021-2023'!F957</f>
        <v>59610.600000000006</v>
      </c>
      <c r="E63" s="717">
        <f>'Функц. 2021-2023'!H957</f>
        <v>54510.600000000006</v>
      </c>
      <c r="F63" s="717">
        <f>'Функц. 2021-2023'!J957</f>
        <v>54510.600000000006</v>
      </c>
    </row>
    <row r="64" spans="1:6" ht="36.6" customHeight="1" x14ac:dyDescent="0.2">
      <c r="A64" s="672" t="s">
        <v>1641</v>
      </c>
      <c r="B64" s="690">
        <v>13</v>
      </c>
      <c r="C64" s="678"/>
      <c r="D64" s="692">
        <f>D65</f>
        <v>15332.500000000002</v>
      </c>
      <c r="E64" s="692">
        <f>E65</f>
        <v>25000</v>
      </c>
      <c r="F64" s="692">
        <f>F65</f>
        <v>25000</v>
      </c>
    </row>
    <row r="65" spans="1:6" ht="39.6" customHeight="1" thickBot="1" x14ac:dyDescent="0.25">
      <c r="A65" s="710" t="s">
        <v>1642</v>
      </c>
      <c r="B65" s="711">
        <v>13</v>
      </c>
      <c r="C65" s="712" t="s">
        <v>566</v>
      </c>
      <c r="D65" s="697">
        <f>'Функц. 2021-2023'!F981</f>
        <v>15332.500000000002</v>
      </c>
      <c r="E65" s="718">
        <f>'Функц. 2021-2023'!H986</f>
        <v>25000</v>
      </c>
      <c r="F65" s="718">
        <f>'Функц. 2021-2023'!J986</f>
        <v>25000</v>
      </c>
    </row>
    <row r="66" spans="1:6" ht="35.1" customHeight="1" thickBot="1" x14ac:dyDescent="0.25">
      <c r="A66" s="713" t="s">
        <v>1314</v>
      </c>
      <c r="B66" s="714"/>
      <c r="C66" s="715"/>
      <c r="D66" s="716">
        <f>D64+D61+D56+D54+D52+D46+D38+D32+D28+D25+D17+D44</f>
        <v>3740054.7</v>
      </c>
      <c r="E66" s="716">
        <f>E64+E61+E56+E54+E52+E46+E38+E32+E28+E25+E17+E44</f>
        <v>2395684.2999999998</v>
      </c>
      <c r="F66" s="716">
        <f>F64+F61+F56+F54+F52+F46+F38+F32+F28+F25+F17+F44</f>
        <v>1711212.6</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58"/>
  <sheetViews>
    <sheetView view="pageBreakPreview" topLeftCell="X926" zoomScale="87" zoomScaleNormal="100" zoomScaleSheetLayoutView="87" workbookViewId="0">
      <selection activeCell="X1015" sqref="X1015"/>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5"/>
      <c r="AA1" s="535"/>
      <c r="AB1" s="847"/>
      <c r="AC1" s="848"/>
      <c r="AD1" s="848"/>
      <c r="AE1" s="739"/>
      <c r="AF1" s="739" t="s">
        <v>2319</v>
      </c>
      <c r="AG1" s="452"/>
      <c r="AH1" s="452"/>
    </row>
    <row r="2" spans="1:38" ht="15.75" x14ac:dyDescent="0.25">
      <c r="Y2" s="507"/>
      <c r="Z2" s="535"/>
      <c r="AA2" s="535"/>
      <c r="AB2" s="738"/>
      <c r="AC2" s="739"/>
      <c r="AD2" s="739"/>
      <c r="AE2" s="849" t="s">
        <v>2387</v>
      </c>
      <c r="AF2" s="850"/>
      <c r="AG2" s="644"/>
      <c r="AH2" s="644"/>
    </row>
    <row r="3" spans="1:38" ht="15.75" x14ac:dyDescent="0.25">
      <c r="AB3" s="664"/>
      <c r="AC3" s="738"/>
      <c r="AD3" s="849" t="s">
        <v>2317</v>
      </c>
      <c r="AE3" s="851"/>
      <c r="AF3" s="851"/>
      <c r="AG3" s="644"/>
      <c r="AH3" s="644"/>
    </row>
    <row r="4" spans="1:38" ht="15.75" x14ac:dyDescent="0.25">
      <c r="AB4" s="849" t="s">
        <v>2318</v>
      </c>
      <c r="AC4" s="851"/>
      <c r="AD4" s="851"/>
      <c r="AE4" s="851"/>
      <c r="AF4" s="851"/>
      <c r="AG4" s="660"/>
      <c r="AH4" s="660"/>
    </row>
    <row r="5" spans="1:38" ht="14.45" customHeight="1" x14ac:dyDescent="0.25">
      <c r="AG5" s="728"/>
      <c r="AH5" s="728"/>
    </row>
    <row r="6" spans="1:38" hidden="1" x14ac:dyDescent="0.25">
      <c r="AG6" s="728"/>
      <c r="AH6" s="728"/>
    </row>
    <row r="7" spans="1:38" ht="15.75" x14ac:dyDescent="0.25">
      <c r="AB7" s="847"/>
      <c r="AC7" s="848"/>
      <c r="AD7" s="848"/>
      <c r="AE7" s="739"/>
      <c r="AF7" s="739" t="s">
        <v>2388</v>
      </c>
      <c r="AG7" s="728"/>
      <c r="AH7" s="728"/>
    </row>
    <row r="8" spans="1:38" ht="15.75" x14ac:dyDescent="0.25">
      <c r="AB8" s="664"/>
      <c r="AC8" s="738"/>
      <c r="AD8" s="849" t="s">
        <v>2317</v>
      </c>
      <c r="AE8" s="851"/>
      <c r="AF8" s="851"/>
      <c r="AG8" s="728"/>
      <c r="AH8" s="728"/>
    </row>
    <row r="9" spans="1:38" ht="15.75" x14ac:dyDescent="0.25">
      <c r="AB9" s="849" t="s">
        <v>2389</v>
      </c>
      <c r="AC9" s="851"/>
      <c r="AD9" s="851"/>
      <c r="AE9" s="851"/>
      <c r="AF9" s="851"/>
      <c r="AG9" s="728"/>
      <c r="AH9" s="728"/>
    </row>
    <row r="10" spans="1:38" ht="15.75" x14ac:dyDescent="0.25">
      <c r="AB10" s="661"/>
      <c r="AC10" s="661"/>
      <c r="AD10" s="661"/>
      <c r="AE10" s="660"/>
      <c r="AF10" s="660"/>
      <c r="AG10" s="660"/>
      <c r="AH10" s="660"/>
    </row>
    <row r="11" spans="1:38" ht="15.75" x14ac:dyDescent="0.25">
      <c r="AB11" s="661"/>
      <c r="AC11" s="661"/>
      <c r="AD11" s="661"/>
      <c r="AE11" s="660"/>
      <c r="AF11" s="660"/>
      <c r="AG11" s="660"/>
      <c r="AH11" s="660"/>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0"/>
      <c r="AA12" s="660"/>
      <c r="AB12" s="435"/>
      <c r="AC12" s="660"/>
      <c r="AD12" s="450"/>
      <c r="AE12" s="450"/>
      <c r="AF12" s="450"/>
      <c r="AG12" s="450"/>
      <c r="AH12" s="450"/>
    </row>
    <row r="13" spans="1:38" s="308" customFormat="1" ht="58.9" customHeight="1" x14ac:dyDescent="0.3">
      <c r="A13" s="881"/>
      <c r="B13" s="882"/>
      <c r="C13" s="882"/>
      <c r="D13" s="882"/>
      <c r="E13" s="882"/>
      <c r="F13" s="882"/>
      <c r="G13" s="882"/>
      <c r="H13" s="882"/>
      <c r="I13" s="882"/>
      <c r="J13" s="882"/>
      <c r="K13" s="882"/>
      <c r="L13" s="882"/>
      <c r="M13" s="882"/>
      <c r="N13" s="882"/>
      <c r="O13" s="882"/>
      <c r="P13" s="882"/>
      <c r="Q13" s="882"/>
      <c r="R13" s="882"/>
      <c r="S13" s="882"/>
      <c r="T13" s="882"/>
      <c r="U13" s="307"/>
      <c r="W13" s="307"/>
      <c r="X13" s="883" t="s">
        <v>2329</v>
      </c>
      <c r="Y13" s="883"/>
      <c r="Z13" s="854"/>
      <c r="AA13" s="854"/>
      <c r="AB13" s="854"/>
      <c r="AC13" s="854"/>
      <c r="AD13" s="888"/>
      <c r="AE13" s="888"/>
      <c r="AF13" s="855"/>
      <c r="AG13" s="645"/>
      <c r="AH13" s="645"/>
      <c r="AI13" s="309"/>
      <c r="AJ13" s="884"/>
      <c r="AK13" s="853"/>
      <c r="AL13" s="853"/>
    </row>
    <row r="14" spans="1:38" s="308" customFormat="1" ht="20.25" x14ac:dyDescent="0.3">
      <c r="A14" s="881"/>
      <c r="B14" s="882"/>
      <c r="C14" s="882"/>
      <c r="D14" s="882"/>
      <c r="E14" s="882"/>
      <c r="F14" s="882"/>
      <c r="G14" s="882"/>
      <c r="H14" s="882"/>
      <c r="I14" s="882"/>
      <c r="J14" s="882"/>
      <c r="K14" s="882"/>
      <c r="L14" s="882"/>
      <c r="M14" s="882"/>
      <c r="N14" s="882"/>
      <c r="O14" s="882"/>
      <c r="P14" s="882"/>
      <c r="Q14" s="882"/>
      <c r="R14" s="882"/>
      <c r="S14" s="882"/>
      <c r="T14" s="882"/>
      <c r="U14" s="310"/>
      <c r="V14" s="309"/>
      <c r="W14" s="309"/>
      <c r="X14" s="883"/>
      <c r="Y14" s="883"/>
      <c r="Z14" s="883"/>
      <c r="AA14" s="883"/>
      <c r="AB14" s="883"/>
      <c r="AC14" s="883"/>
      <c r="AD14" s="451"/>
      <c r="AJ14" s="885"/>
      <c r="AK14" s="886"/>
      <c r="AL14" s="886"/>
    </row>
    <row r="15" spans="1:38" ht="17.25" thickBot="1" x14ac:dyDescent="0.3">
      <c r="A15" s="311"/>
      <c r="B15" s="312"/>
      <c r="C15" s="313"/>
      <c r="D15" s="313"/>
      <c r="E15" s="313"/>
      <c r="F15" s="313"/>
      <c r="G15" s="879"/>
      <c r="H15" s="880"/>
      <c r="I15" s="880"/>
      <c r="J15" s="880"/>
      <c r="K15" s="880"/>
      <c r="L15" s="880"/>
      <c r="M15" s="880"/>
      <c r="N15" s="880"/>
      <c r="O15" s="880"/>
      <c r="P15" s="303"/>
      <c r="Q15" s="300"/>
      <c r="R15" s="314"/>
      <c r="S15" s="305"/>
      <c r="T15" s="300"/>
      <c r="U15" s="315"/>
      <c r="V15" s="316"/>
      <c r="AD15" s="261"/>
      <c r="AF15" s="451" t="s">
        <v>1833</v>
      </c>
      <c r="AG15" s="451"/>
      <c r="AH15" s="451"/>
      <c r="AJ15" s="884"/>
      <c r="AK15" s="887"/>
      <c r="AL15" s="887"/>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6" t="s">
        <v>1601</v>
      </c>
      <c r="Y16" s="453" t="s">
        <v>306</v>
      </c>
      <c r="Z16" s="253" t="s">
        <v>37</v>
      </c>
      <c r="AA16" s="253" t="s">
        <v>391</v>
      </c>
      <c r="AB16" s="253" t="s">
        <v>38</v>
      </c>
      <c r="AC16" s="570" t="s">
        <v>1393</v>
      </c>
      <c r="AD16" s="470" t="s">
        <v>2218</v>
      </c>
      <c r="AE16" s="470" t="s">
        <v>2219</v>
      </c>
      <c r="AF16" s="470" t="s">
        <v>2306</v>
      </c>
      <c r="AG16" s="646"/>
      <c r="AH16" s="646"/>
      <c r="AJ16" s="884"/>
      <c r="AK16" s="887"/>
      <c r="AL16" s="887"/>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7">
        <v>1</v>
      </c>
      <c r="Y17" s="571">
        <v>2</v>
      </c>
      <c r="Z17" s="491">
        <v>3</v>
      </c>
      <c r="AA17" s="491">
        <v>4</v>
      </c>
      <c r="AB17" s="491">
        <v>5</v>
      </c>
      <c r="AC17" s="572">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8" t="s">
        <v>1819</v>
      </c>
      <c r="Y18" s="573" t="s">
        <v>1395</v>
      </c>
      <c r="Z18" s="537"/>
      <c r="AA18" s="537"/>
      <c r="AB18" s="538"/>
      <c r="AC18" s="574"/>
      <c r="AD18" s="744">
        <f>AD19+AD157+AD172+AD240+AD297+AD373+AD429+AD482+AD490+AD508+AD535</f>
        <v>593619.30000000005</v>
      </c>
      <c r="AE18" s="744">
        <f t="shared" ref="AE18:AF18" si="0">AE19+AE157+AE172+AE240+AE297+AE373+AE429+AE482+AE490+AE508+AE535</f>
        <v>507173.80000000005</v>
      </c>
      <c r="AF18" s="744">
        <f t="shared" si="0"/>
        <v>496320.60000000003</v>
      </c>
      <c r="AG18" s="647"/>
      <c r="AH18" s="647"/>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59" t="s">
        <v>482</v>
      </c>
      <c r="Y19" s="575" t="s">
        <v>1395</v>
      </c>
      <c r="Z19" s="262" t="s">
        <v>566</v>
      </c>
      <c r="AA19" s="247"/>
      <c r="AB19" s="271"/>
      <c r="AC19" s="576"/>
      <c r="AD19" s="745">
        <f>AD20+AD27+AD71+AD79</f>
        <v>170711.1</v>
      </c>
      <c r="AE19" s="479">
        <f>AE20+AE27+AE71+AE79</f>
        <v>147052.79999999999</v>
      </c>
      <c r="AF19" s="479">
        <f>AF20+AF27+AF71+AF79</f>
        <v>136369.5</v>
      </c>
      <c r="AG19" s="647"/>
      <c r="AH19" s="647"/>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0" t="s">
        <v>249</v>
      </c>
      <c r="Y20" s="246" t="s">
        <v>1395</v>
      </c>
      <c r="Z20" s="235" t="s">
        <v>566</v>
      </c>
      <c r="AA20" s="235" t="s">
        <v>567</v>
      </c>
      <c r="AB20" s="249"/>
      <c r="AC20" s="577" t="s">
        <v>2291</v>
      </c>
      <c r="AD20" s="292">
        <f t="shared" ref="AD20:AF23" si="1">AD21</f>
        <v>2587.8000000000002</v>
      </c>
      <c r="AE20" s="476">
        <f t="shared" si="1"/>
        <v>2587.8000000000002</v>
      </c>
      <c r="AF20" s="476">
        <f t="shared" si="1"/>
        <v>2587.8000000000002</v>
      </c>
      <c r="AG20" s="554"/>
      <c r="AH20" s="554"/>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49" t="s">
        <v>1899</v>
      </c>
      <c r="Y21" s="246" t="s">
        <v>1395</v>
      </c>
      <c r="Z21" s="235" t="s">
        <v>566</v>
      </c>
      <c r="AA21" s="235" t="s">
        <v>567</v>
      </c>
      <c r="AB21" s="443" t="s">
        <v>1772</v>
      </c>
      <c r="AC21" s="577"/>
      <c r="AD21" s="292">
        <f>AD22</f>
        <v>2587.8000000000002</v>
      </c>
      <c r="AE21" s="476">
        <f>AE22</f>
        <v>2587.8000000000002</v>
      </c>
      <c r="AF21" s="476">
        <f>AF22</f>
        <v>2587.8000000000002</v>
      </c>
      <c r="AG21" s="554"/>
      <c r="AH21" s="554"/>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49" t="s">
        <v>1908</v>
      </c>
      <c r="Y22" s="246" t="s">
        <v>1395</v>
      </c>
      <c r="Z22" s="235" t="s">
        <v>566</v>
      </c>
      <c r="AA22" s="235" t="s">
        <v>567</v>
      </c>
      <c r="AB22" s="443" t="s">
        <v>1909</v>
      </c>
      <c r="AC22" s="577"/>
      <c r="AD22" s="292">
        <f t="shared" si="1"/>
        <v>2587.8000000000002</v>
      </c>
      <c r="AE22" s="476">
        <f t="shared" si="1"/>
        <v>2587.8000000000002</v>
      </c>
      <c r="AF22" s="476">
        <f t="shared" si="1"/>
        <v>2587.8000000000002</v>
      </c>
      <c r="AG22" s="554"/>
      <c r="AH22" s="554"/>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49" t="s">
        <v>1910</v>
      </c>
      <c r="Y23" s="246" t="s">
        <v>1395</v>
      </c>
      <c r="Z23" s="235" t="s">
        <v>566</v>
      </c>
      <c r="AA23" s="235" t="s">
        <v>567</v>
      </c>
      <c r="AB23" s="443" t="s">
        <v>1911</v>
      </c>
      <c r="AC23" s="577"/>
      <c r="AD23" s="292">
        <f t="shared" si="1"/>
        <v>2587.8000000000002</v>
      </c>
      <c r="AE23" s="476">
        <f t="shared" si="1"/>
        <v>2587.8000000000002</v>
      </c>
      <c r="AF23" s="476">
        <f t="shared" si="1"/>
        <v>2587.8000000000002</v>
      </c>
      <c r="AG23" s="554"/>
      <c r="AH23" s="554"/>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49" t="s">
        <v>1912</v>
      </c>
      <c r="Y24" s="246" t="s">
        <v>1395</v>
      </c>
      <c r="Z24" s="235" t="s">
        <v>566</v>
      </c>
      <c r="AA24" s="235" t="s">
        <v>567</v>
      </c>
      <c r="AB24" s="443" t="s">
        <v>1913</v>
      </c>
      <c r="AC24" s="577"/>
      <c r="AD24" s="292">
        <f t="shared" ref="AD24:AF25" si="2">AD25</f>
        <v>2587.8000000000002</v>
      </c>
      <c r="AE24" s="476">
        <f t="shared" si="2"/>
        <v>2587.8000000000002</v>
      </c>
      <c r="AF24" s="476">
        <f t="shared" si="2"/>
        <v>2587.8000000000002</v>
      </c>
      <c r="AG24" s="554"/>
      <c r="AH24" s="554"/>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0" t="s">
        <v>922</v>
      </c>
      <c r="Y25" s="246" t="s">
        <v>1395</v>
      </c>
      <c r="Z25" s="235" t="s">
        <v>566</v>
      </c>
      <c r="AA25" s="235" t="s">
        <v>567</v>
      </c>
      <c r="AB25" s="443" t="s">
        <v>1913</v>
      </c>
      <c r="AC25" s="577">
        <v>100</v>
      </c>
      <c r="AD25" s="292">
        <f t="shared" si="2"/>
        <v>2587.8000000000002</v>
      </c>
      <c r="AE25" s="476">
        <f t="shared" si="2"/>
        <v>2587.8000000000002</v>
      </c>
      <c r="AF25" s="476">
        <f t="shared" si="2"/>
        <v>2587.8000000000002</v>
      </c>
      <c r="AG25" s="554"/>
      <c r="AH25" s="554"/>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0" t="s">
        <v>1748</v>
      </c>
      <c r="Y26" s="246" t="s">
        <v>1395</v>
      </c>
      <c r="Z26" s="235" t="s">
        <v>566</v>
      </c>
      <c r="AA26" s="235" t="s">
        <v>567</v>
      </c>
      <c r="AB26" s="443" t="s">
        <v>1913</v>
      </c>
      <c r="AC26" s="577">
        <v>120</v>
      </c>
      <c r="AD26" s="292">
        <v>2587.8000000000002</v>
      </c>
      <c r="AE26" s="476">
        <v>2587.8000000000002</v>
      </c>
      <c r="AF26" s="476">
        <v>2587.8000000000002</v>
      </c>
      <c r="AG26" s="554"/>
      <c r="AH26" s="554"/>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0" t="s">
        <v>1241</v>
      </c>
      <c r="Y27" s="246" t="s">
        <v>1395</v>
      </c>
      <c r="Z27" s="235" t="s">
        <v>566</v>
      </c>
      <c r="AA27" s="235" t="s">
        <v>1182</v>
      </c>
      <c r="AB27" s="249"/>
      <c r="AC27" s="577"/>
      <c r="AD27" s="292">
        <f>AD28+AD40+AD48+AD65</f>
        <v>64248.200000000004</v>
      </c>
      <c r="AE27" s="476">
        <f>AE28+AE40+AE48+AE65</f>
        <v>59121.3</v>
      </c>
      <c r="AF27" s="476">
        <f>AF28+AF40+AF48+AF65</f>
        <v>59643.3</v>
      </c>
      <c r="AG27" s="554"/>
      <c r="AH27" s="554"/>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1" t="s">
        <v>1999</v>
      </c>
      <c r="Y28" s="246" t="s">
        <v>1395</v>
      </c>
      <c r="Z28" s="235" t="s">
        <v>566</v>
      </c>
      <c r="AA28" s="235" t="s">
        <v>1182</v>
      </c>
      <c r="AB28" s="443" t="s">
        <v>1775</v>
      </c>
      <c r="AC28" s="577"/>
      <c r="AD28" s="292">
        <f>AD29</f>
        <v>1723.9</v>
      </c>
      <c r="AE28" s="476">
        <f>AE29</f>
        <v>1601</v>
      </c>
      <c r="AF28" s="476">
        <f>AF29</f>
        <v>2123</v>
      </c>
      <c r="AG28" s="554"/>
      <c r="AH28" s="554"/>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8" t="s">
        <v>2340</v>
      </c>
      <c r="Y29" s="246" t="s">
        <v>1395</v>
      </c>
      <c r="Z29" s="235" t="s">
        <v>566</v>
      </c>
      <c r="AA29" s="235" t="s">
        <v>1182</v>
      </c>
      <c r="AB29" s="443" t="s">
        <v>1802</v>
      </c>
      <c r="AC29" s="577"/>
      <c r="AD29" s="292">
        <f>AD30+AD34</f>
        <v>1723.9</v>
      </c>
      <c r="AE29" s="476">
        <f>AE30+AE34</f>
        <v>1601</v>
      </c>
      <c r="AF29" s="476">
        <f>AF30+AF34</f>
        <v>2123</v>
      </c>
      <c r="AG29" s="554"/>
      <c r="AH29" s="554"/>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2" t="s">
        <v>2015</v>
      </c>
      <c r="Y30" s="246" t="s">
        <v>1395</v>
      </c>
      <c r="Z30" s="235" t="s">
        <v>566</v>
      </c>
      <c r="AA30" s="235" t="s">
        <v>1182</v>
      </c>
      <c r="AB30" s="443" t="s">
        <v>1803</v>
      </c>
      <c r="AC30" s="577"/>
      <c r="AD30" s="292">
        <f t="shared" ref="AD30:AF32" si="3">AD31</f>
        <v>114.89999999999998</v>
      </c>
      <c r="AE30" s="476">
        <f t="shared" si="3"/>
        <v>0</v>
      </c>
      <c r="AF30" s="476">
        <f t="shared" si="3"/>
        <v>521</v>
      </c>
      <c r="AG30" s="554"/>
      <c r="AH30" s="554"/>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2" t="s">
        <v>2016</v>
      </c>
      <c r="Y31" s="246" t="s">
        <v>1395</v>
      </c>
      <c r="Z31" s="235" t="s">
        <v>566</v>
      </c>
      <c r="AA31" s="235" t="s">
        <v>1182</v>
      </c>
      <c r="AB31" s="443" t="s">
        <v>2017</v>
      </c>
      <c r="AC31" s="577"/>
      <c r="AD31" s="292">
        <f t="shared" si="3"/>
        <v>114.89999999999998</v>
      </c>
      <c r="AE31" s="476">
        <f t="shared" si="3"/>
        <v>0</v>
      </c>
      <c r="AF31" s="476">
        <f t="shared" si="3"/>
        <v>521</v>
      </c>
      <c r="AG31" s="554"/>
      <c r="AH31" s="554"/>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0" t="s">
        <v>1782</v>
      </c>
      <c r="Y32" s="246" t="s">
        <v>1395</v>
      </c>
      <c r="Z32" s="235" t="s">
        <v>566</v>
      </c>
      <c r="AA32" s="235" t="s">
        <v>1182</v>
      </c>
      <c r="AB32" s="443" t="s">
        <v>2017</v>
      </c>
      <c r="AC32" s="238">
        <v>200</v>
      </c>
      <c r="AD32" s="292">
        <f t="shared" si="3"/>
        <v>114.89999999999998</v>
      </c>
      <c r="AE32" s="476">
        <f t="shared" si="3"/>
        <v>0</v>
      </c>
      <c r="AF32" s="476">
        <f t="shared" si="3"/>
        <v>521</v>
      </c>
      <c r="AG32" s="554"/>
      <c r="AH32" s="554"/>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0" t="s">
        <v>1274</v>
      </c>
      <c r="Y33" s="246" t="s">
        <v>1395</v>
      </c>
      <c r="Z33" s="235" t="s">
        <v>566</v>
      </c>
      <c r="AA33" s="235" t="s">
        <v>1182</v>
      </c>
      <c r="AB33" s="443" t="s">
        <v>2017</v>
      </c>
      <c r="AC33" s="238">
        <v>240</v>
      </c>
      <c r="AD33" s="292">
        <f>294.2-179.3</f>
        <v>114.89999999999998</v>
      </c>
      <c r="AE33" s="476">
        <f>857-336-521</f>
        <v>0</v>
      </c>
      <c r="AF33" s="476">
        <v>521</v>
      </c>
      <c r="AG33" s="669"/>
      <c r="AH33" s="554"/>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2" t="s">
        <v>2018</v>
      </c>
      <c r="Y34" s="246" t="s">
        <v>1395</v>
      </c>
      <c r="Z34" s="235" t="s">
        <v>566</v>
      </c>
      <c r="AA34" s="235" t="s">
        <v>1182</v>
      </c>
      <c r="AB34" s="443" t="s">
        <v>2019</v>
      </c>
      <c r="AC34" s="577"/>
      <c r="AD34" s="292">
        <f>AD35</f>
        <v>1609</v>
      </c>
      <c r="AE34" s="476">
        <f>AE35</f>
        <v>1601</v>
      </c>
      <c r="AF34" s="476">
        <f>AF35</f>
        <v>1602</v>
      </c>
      <c r="AG34" s="554"/>
      <c r="AH34" s="554"/>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2" t="s">
        <v>2020</v>
      </c>
      <c r="Y35" s="246" t="s">
        <v>1395</v>
      </c>
      <c r="Z35" s="235" t="s">
        <v>566</v>
      </c>
      <c r="AA35" s="235" t="s">
        <v>1182</v>
      </c>
      <c r="AB35" s="443" t="s">
        <v>2021</v>
      </c>
      <c r="AC35" s="577"/>
      <c r="AD35" s="292">
        <f>AD36+AD38</f>
        <v>1609</v>
      </c>
      <c r="AE35" s="476">
        <f>AE36+AE38</f>
        <v>1601</v>
      </c>
      <c r="AF35" s="476">
        <f>AF36+AF38</f>
        <v>1602</v>
      </c>
      <c r="AG35" s="554"/>
      <c r="AH35" s="554"/>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0" t="s">
        <v>922</v>
      </c>
      <c r="Y36" s="246" t="s">
        <v>1395</v>
      </c>
      <c r="Z36" s="235" t="s">
        <v>566</v>
      </c>
      <c r="AA36" s="235" t="s">
        <v>1182</v>
      </c>
      <c r="AB36" s="443" t="s">
        <v>2021</v>
      </c>
      <c r="AC36" s="577">
        <v>100</v>
      </c>
      <c r="AD36" s="292">
        <f>AD37</f>
        <v>1529.5</v>
      </c>
      <c r="AE36" s="476">
        <f>AE37</f>
        <v>1529.5</v>
      </c>
      <c r="AF36" s="476">
        <f>AF37</f>
        <v>1529.5</v>
      </c>
      <c r="AG36" s="554"/>
      <c r="AH36" s="554"/>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0" t="s">
        <v>1748</v>
      </c>
      <c r="Y37" s="246" t="s">
        <v>1395</v>
      </c>
      <c r="Z37" s="235" t="s">
        <v>566</v>
      </c>
      <c r="AA37" s="235" t="s">
        <v>1182</v>
      </c>
      <c r="AB37" s="443" t="s">
        <v>2021</v>
      </c>
      <c r="AC37" s="577">
        <v>120</v>
      </c>
      <c r="AD37" s="292">
        <v>1529.5</v>
      </c>
      <c r="AE37" s="476">
        <v>1529.5</v>
      </c>
      <c r="AF37" s="476">
        <v>1529.5</v>
      </c>
      <c r="AG37" s="554"/>
      <c r="AH37" s="554"/>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0" t="s">
        <v>1782</v>
      </c>
      <c r="Y38" s="246" t="s">
        <v>1395</v>
      </c>
      <c r="Z38" s="235" t="s">
        <v>566</v>
      </c>
      <c r="AA38" s="235" t="s">
        <v>1182</v>
      </c>
      <c r="AB38" s="443" t="s">
        <v>2021</v>
      </c>
      <c r="AC38" s="238">
        <v>200</v>
      </c>
      <c r="AD38" s="292">
        <f>AD39</f>
        <v>79.5</v>
      </c>
      <c r="AE38" s="476">
        <f>AE39</f>
        <v>71.5</v>
      </c>
      <c r="AF38" s="476">
        <f>AF39</f>
        <v>72.5</v>
      </c>
      <c r="AG38" s="554"/>
      <c r="AH38" s="554"/>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0" t="s">
        <v>1274</v>
      </c>
      <c r="Y39" s="246" t="s">
        <v>1395</v>
      </c>
      <c r="Z39" s="235" t="s">
        <v>566</v>
      </c>
      <c r="AA39" s="235" t="s">
        <v>1182</v>
      </c>
      <c r="AB39" s="443" t="s">
        <v>2021</v>
      </c>
      <c r="AC39" s="238">
        <v>240</v>
      </c>
      <c r="AD39" s="292">
        <v>79.5</v>
      </c>
      <c r="AE39" s="476">
        <v>71.5</v>
      </c>
      <c r="AF39" s="476">
        <v>72.5</v>
      </c>
      <c r="AG39" s="554"/>
      <c r="AH39" s="554"/>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1" t="s">
        <v>2022</v>
      </c>
      <c r="Y40" s="246" t="s">
        <v>1395</v>
      </c>
      <c r="Z40" s="235" t="s">
        <v>566</v>
      </c>
      <c r="AA40" s="235" t="s">
        <v>1182</v>
      </c>
      <c r="AB40" s="249" t="s">
        <v>1760</v>
      </c>
      <c r="AC40" s="238"/>
      <c r="AD40" s="292">
        <f t="shared" ref="AD40:AF42" si="4">AD41</f>
        <v>2195</v>
      </c>
      <c r="AE40" s="476">
        <f t="shared" si="4"/>
        <v>2195</v>
      </c>
      <c r="AF40" s="476">
        <f t="shared" si="4"/>
        <v>2195</v>
      </c>
      <c r="AG40" s="554"/>
      <c r="AH40" s="554"/>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1" t="s">
        <v>2029</v>
      </c>
      <c r="Y41" s="246" t="s">
        <v>1395</v>
      </c>
      <c r="Z41" s="235" t="s">
        <v>566</v>
      </c>
      <c r="AA41" s="235" t="s">
        <v>1182</v>
      </c>
      <c r="AB41" s="249" t="s">
        <v>1761</v>
      </c>
      <c r="AC41" s="238"/>
      <c r="AD41" s="292">
        <f t="shared" si="4"/>
        <v>2195</v>
      </c>
      <c r="AE41" s="476">
        <f t="shared" si="4"/>
        <v>2195</v>
      </c>
      <c r="AF41" s="476">
        <f t="shared" si="4"/>
        <v>2195</v>
      </c>
      <c r="AG41" s="554"/>
      <c r="AH41" s="554"/>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1" t="s">
        <v>2037</v>
      </c>
      <c r="Y42" s="246" t="s">
        <v>1395</v>
      </c>
      <c r="Z42" s="235" t="s">
        <v>566</v>
      </c>
      <c r="AA42" s="235" t="s">
        <v>1182</v>
      </c>
      <c r="AB42" s="443" t="s">
        <v>1795</v>
      </c>
      <c r="AC42" s="238"/>
      <c r="AD42" s="292">
        <f t="shared" si="4"/>
        <v>2195</v>
      </c>
      <c r="AE42" s="476">
        <f t="shared" si="4"/>
        <v>2195</v>
      </c>
      <c r="AF42" s="476">
        <f t="shared" si="4"/>
        <v>2195</v>
      </c>
      <c r="AG42" s="554"/>
      <c r="AH42" s="554"/>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4" t="s">
        <v>2280</v>
      </c>
      <c r="Y43" s="246" t="s">
        <v>1395</v>
      </c>
      <c r="Z43" s="235" t="s">
        <v>566</v>
      </c>
      <c r="AA43" s="235" t="s">
        <v>1182</v>
      </c>
      <c r="AB43" s="249" t="s">
        <v>1797</v>
      </c>
      <c r="AC43" s="238"/>
      <c r="AD43" s="292">
        <f>AD44+AD46</f>
        <v>2195</v>
      </c>
      <c r="AE43" s="476">
        <f>AE44+AE46</f>
        <v>2195</v>
      </c>
      <c r="AF43" s="476">
        <f>AF44+AF46</f>
        <v>2195</v>
      </c>
      <c r="AG43" s="554"/>
      <c r="AH43" s="554"/>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0" t="s">
        <v>922</v>
      </c>
      <c r="Y44" s="246" t="s">
        <v>1395</v>
      </c>
      <c r="Z44" s="235" t="s">
        <v>566</v>
      </c>
      <c r="AA44" s="235" t="s">
        <v>1182</v>
      </c>
      <c r="AB44" s="443" t="s">
        <v>1797</v>
      </c>
      <c r="AC44" s="577">
        <v>100</v>
      </c>
      <c r="AD44" s="292">
        <f>AD45</f>
        <v>1878</v>
      </c>
      <c r="AE44" s="476">
        <f>AE45</f>
        <v>1878</v>
      </c>
      <c r="AF44" s="476">
        <f>AF45</f>
        <v>1878</v>
      </c>
      <c r="AG44" s="554"/>
      <c r="AH44" s="554"/>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0" t="s">
        <v>1748</v>
      </c>
      <c r="Y45" s="246" t="s">
        <v>1395</v>
      </c>
      <c r="Z45" s="235" t="s">
        <v>566</v>
      </c>
      <c r="AA45" s="235" t="s">
        <v>1182</v>
      </c>
      <c r="AB45" s="249" t="s">
        <v>1797</v>
      </c>
      <c r="AC45" s="238">
        <v>120</v>
      </c>
      <c r="AD45" s="292">
        <v>1878</v>
      </c>
      <c r="AE45" s="476">
        <v>1878</v>
      </c>
      <c r="AF45" s="476">
        <v>1878</v>
      </c>
      <c r="AG45" s="554"/>
      <c r="AH45" s="554"/>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0" t="s">
        <v>1782</v>
      </c>
      <c r="Y46" s="246" t="s">
        <v>1395</v>
      </c>
      <c r="Z46" s="235" t="s">
        <v>566</v>
      </c>
      <c r="AA46" s="235" t="s">
        <v>1182</v>
      </c>
      <c r="AB46" s="249" t="s">
        <v>1797</v>
      </c>
      <c r="AC46" s="238">
        <v>200</v>
      </c>
      <c r="AD46" s="292">
        <f>AD47</f>
        <v>317</v>
      </c>
      <c r="AE46" s="476">
        <f>AE47</f>
        <v>317</v>
      </c>
      <c r="AF46" s="476">
        <f>AF47</f>
        <v>317</v>
      </c>
      <c r="AG46" s="554"/>
      <c r="AH46" s="554"/>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0" t="s">
        <v>1274</v>
      </c>
      <c r="Y47" s="246" t="s">
        <v>1395</v>
      </c>
      <c r="Z47" s="235" t="s">
        <v>566</v>
      </c>
      <c r="AA47" s="235" t="s">
        <v>1182</v>
      </c>
      <c r="AB47" s="249" t="s">
        <v>1797</v>
      </c>
      <c r="AC47" s="238">
        <v>240</v>
      </c>
      <c r="AD47" s="292">
        <v>317</v>
      </c>
      <c r="AE47" s="476">
        <v>317</v>
      </c>
      <c r="AF47" s="476">
        <v>317</v>
      </c>
      <c r="AG47" s="554"/>
      <c r="AH47" s="554"/>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49" t="s">
        <v>1899</v>
      </c>
      <c r="Y48" s="246" t="s">
        <v>1395</v>
      </c>
      <c r="Z48" s="235" t="s">
        <v>566</v>
      </c>
      <c r="AA48" s="235" t="s">
        <v>1182</v>
      </c>
      <c r="AB48" s="443" t="s">
        <v>1772</v>
      </c>
      <c r="AC48" s="577"/>
      <c r="AD48" s="292">
        <f t="shared" ref="AD48:AF50" si="5">AD49</f>
        <v>51993.3</v>
      </c>
      <c r="AE48" s="476">
        <f t="shared" si="5"/>
        <v>51993.3</v>
      </c>
      <c r="AF48" s="476">
        <f t="shared" si="5"/>
        <v>51993.3</v>
      </c>
      <c r="AG48" s="554"/>
      <c r="AH48" s="554"/>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49" t="s">
        <v>1908</v>
      </c>
      <c r="Y49" s="246" t="s">
        <v>1395</v>
      </c>
      <c r="Z49" s="235" t="s">
        <v>566</v>
      </c>
      <c r="AA49" s="235" t="s">
        <v>1182</v>
      </c>
      <c r="AB49" s="443" t="s">
        <v>1909</v>
      </c>
      <c r="AC49" s="238"/>
      <c r="AD49" s="292">
        <f t="shared" si="5"/>
        <v>51993.3</v>
      </c>
      <c r="AE49" s="476">
        <f t="shared" si="5"/>
        <v>51993.3</v>
      </c>
      <c r="AF49" s="476">
        <f t="shared" si="5"/>
        <v>51993.3</v>
      </c>
      <c r="AG49" s="554"/>
      <c r="AH49" s="554"/>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49" t="s">
        <v>1910</v>
      </c>
      <c r="Y50" s="246" t="s">
        <v>1395</v>
      </c>
      <c r="Z50" s="235" t="s">
        <v>566</v>
      </c>
      <c r="AA50" s="235" t="s">
        <v>1182</v>
      </c>
      <c r="AB50" s="443" t="s">
        <v>1911</v>
      </c>
      <c r="AC50" s="238"/>
      <c r="AD50" s="292">
        <f t="shared" si="5"/>
        <v>51993.3</v>
      </c>
      <c r="AE50" s="476">
        <f t="shared" si="5"/>
        <v>51993.3</v>
      </c>
      <c r="AF50" s="476">
        <f t="shared" si="5"/>
        <v>51993.3</v>
      </c>
      <c r="AG50" s="554"/>
      <c r="AH50" s="554"/>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49" t="s">
        <v>1914</v>
      </c>
      <c r="Y51" s="246" t="s">
        <v>1395</v>
      </c>
      <c r="Z51" s="235" t="s">
        <v>566</v>
      </c>
      <c r="AA51" s="235" t="s">
        <v>1182</v>
      </c>
      <c r="AB51" s="443" t="s">
        <v>1915</v>
      </c>
      <c r="AC51" s="238"/>
      <c r="AD51" s="292">
        <f>AD52+AD59+AD62</f>
        <v>51993.3</v>
      </c>
      <c r="AE51" s="476">
        <f>AE52+AE59+AE62</f>
        <v>51993.3</v>
      </c>
      <c r="AF51" s="476">
        <f>AF52+AF59+AF62</f>
        <v>51993.3</v>
      </c>
      <c r="AG51" s="554"/>
      <c r="AH51" s="554"/>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0" t="s">
        <v>1916</v>
      </c>
      <c r="Y52" s="578" t="s">
        <v>1395</v>
      </c>
      <c r="Z52" s="445" t="s">
        <v>566</v>
      </c>
      <c r="AA52" s="445" t="s">
        <v>1182</v>
      </c>
      <c r="AB52" s="443" t="s">
        <v>1917</v>
      </c>
      <c r="AC52" s="238"/>
      <c r="AD52" s="292">
        <f>AD55+AD57+AD53</f>
        <v>6330.2999999999993</v>
      </c>
      <c r="AE52" s="292">
        <f t="shared" ref="AE52:AF52" si="6">AE55+AE57+AE53</f>
        <v>6330.3</v>
      </c>
      <c r="AF52" s="292">
        <f t="shared" si="6"/>
        <v>6330.3</v>
      </c>
      <c r="AG52" s="554"/>
      <c r="AH52" s="554"/>
      <c r="AI52" s="456"/>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0" t="s">
        <v>922</v>
      </c>
      <c r="Y53" s="246" t="s">
        <v>1395</v>
      </c>
      <c r="Z53" s="235" t="s">
        <v>566</v>
      </c>
      <c r="AA53" s="235" t="s">
        <v>1182</v>
      </c>
      <c r="AB53" s="443" t="s">
        <v>1917</v>
      </c>
      <c r="AC53" s="238">
        <v>100</v>
      </c>
      <c r="AD53" s="292">
        <f>AD54</f>
        <v>0.4</v>
      </c>
      <c r="AE53" s="292">
        <f t="shared" ref="AE53:AF53" si="7">AE54</f>
        <v>0</v>
      </c>
      <c r="AF53" s="292">
        <f t="shared" si="7"/>
        <v>0</v>
      </c>
      <c r="AG53" s="554"/>
      <c r="AH53" s="554"/>
      <c r="AI53" s="456"/>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0" t="s">
        <v>1748</v>
      </c>
      <c r="Y54" s="246" t="s">
        <v>1395</v>
      </c>
      <c r="Z54" s="235" t="s">
        <v>566</v>
      </c>
      <c r="AA54" s="235" t="s">
        <v>1182</v>
      </c>
      <c r="AB54" s="443" t="s">
        <v>1917</v>
      </c>
      <c r="AC54" s="238">
        <v>120</v>
      </c>
      <c r="AD54" s="292">
        <v>0.4</v>
      </c>
      <c r="AE54" s="476">
        <v>0</v>
      </c>
      <c r="AF54" s="476">
        <v>0</v>
      </c>
      <c r="AG54" s="554"/>
      <c r="AH54" s="554"/>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0" t="s">
        <v>1782</v>
      </c>
      <c r="Y55" s="246" t="s">
        <v>1395</v>
      </c>
      <c r="Z55" s="235" t="s">
        <v>566</v>
      </c>
      <c r="AA55" s="235" t="s">
        <v>1182</v>
      </c>
      <c r="AB55" s="443" t="s">
        <v>1917</v>
      </c>
      <c r="AC55" s="238">
        <v>200</v>
      </c>
      <c r="AD55" s="292">
        <f>AD56</f>
        <v>6326.5</v>
      </c>
      <c r="AE55" s="476">
        <f>AE56</f>
        <v>6330.3</v>
      </c>
      <c r="AF55" s="476">
        <f>AF56</f>
        <v>6330.3</v>
      </c>
      <c r="AG55" s="554"/>
      <c r="AH55" s="554"/>
      <c r="AI55" s="456"/>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0" t="s">
        <v>1274</v>
      </c>
      <c r="Y56" s="246" t="s">
        <v>1395</v>
      </c>
      <c r="Z56" s="235" t="s">
        <v>566</v>
      </c>
      <c r="AA56" s="235" t="s">
        <v>1182</v>
      </c>
      <c r="AB56" s="443" t="s">
        <v>1917</v>
      </c>
      <c r="AC56" s="238">
        <v>240</v>
      </c>
      <c r="AD56" s="292">
        <f>6330.2-0.7-0.5-2.1-0.4</f>
        <v>6326.5</v>
      </c>
      <c r="AE56" s="476">
        <v>6330.3</v>
      </c>
      <c r="AF56" s="476">
        <v>6330.3</v>
      </c>
      <c r="AG56" s="554"/>
      <c r="AH56" s="554"/>
      <c r="AI56" s="456"/>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0" t="s">
        <v>924</v>
      </c>
      <c r="Y57" s="246" t="s">
        <v>1395</v>
      </c>
      <c r="Z57" s="235" t="s">
        <v>566</v>
      </c>
      <c r="AA57" s="235" t="s">
        <v>1182</v>
      </c>
      <c r="AB57" s="443" t="s">
        <v>1917</v>
      </c>
      <c r="AC57" s="238">
        <v>800</v>
      </c>
      <c r="AD57" s="292">
        <f>AD58</f>
        <v>3.4</v>
      </c>
      <c r="AE57" s="476">
        <f>AE58</f>
        <v>0</v>
      </c>
      <c r="AF57" s="476">
        <f>AF58</f>
        <v>0</v>
      </c>
      <c r="AG57" s="554"/>
      <c r="AH57" s="554"/>
      <c r="AI57" s="456"/>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0" t="s">
        <v>1320</v>
      </c>
      <c r="Y58" s="246" t="s">
        <v>1395</v>
      </c>
      <c r="Z58" s="235" t="s">
        <v>566</v>
      </c>
      <c r="AA58" s="235" t="s">
        <v>1182</v>
      </c>
      <c r="AB58" s="443" t="s">
        <v>1917</v>
      </c>
      <c r="AC58" s="238">
        <v>850</v>
      </c>
      <c r="AD58" s="292">
        <f>0.1+0.7+0.5+2.1</f>
        <v>3.4</v>
      </c>
      <c r="AE58" s="476">
        <v>0</v>
      </c>
      <c r="AF58" s="476">
        <v>0</v>
      </c>
      <c r="AG58" s="554"/>
      <c r="AH58" s="554"/>
      <c r="AI58" s="456"/>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0" t="s">
        <v>1918</v>
      </c>
      <c r="Y59" s="246" t="s">
        <v>1395</v>
      </c>
      <c r="Z59" s="235" t="s">
        <v>566</v>
      </c>
      <c r="AA59" s="235" t="s">
        <v>1182</v>
      </c>
      <c r="AB59" s="443" t="s">
        <v>1919</v>
      </c>
      <c r="AC59" s="577"/>
      <c r="AD59" s="292">
        <f t="shared" ref="AD59:AF60" si="8">AD60</f>
        <v>15039.3</v>
      </c>
      <c r="AE59" s="476">
        <f t="shared" si="8"/>
        <v>15039.3</v>
      </c>
      <c r="AF59" s="476">
        <f t="shared" si="8"/>
        <v>15039.3</v>
      </c>
      <c r="AG59" s="554"/>
      <c r="AH59" s="554"/>
      <c r="AI59" s="456"/>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0" t="s">
        <v>922</v>
      </c>
      <c r="Y60" s="246" t="s">
        <v>1395</v>
      </c>
      <c r="Z60" s="235" t="s">
        <v>566</v>
      </c>
      <c r="AA60" s="235" t="s">
        <v>1182</v>
      </c>
      <c r="AB60" s="443" t="s">
        <v>1919</v>
      </c>
      <c r="AC60" s="577">
        <v>100</v>
      </c>
      <c r="AD60" s="292">
        <f t="shared" si="8"/>
        <v>15039.3</v>
      </c>
      <c r="AE60" s="476">
        <f t="shared" si="8"/>
        <v>15039.3</v>
      </c>
      <c r="AF60" s="476">
        <f t="shared" si="8"/>
        <v>15039.3</v>
      </c>
      <c r="AG60" s="554"/>
      <c r="AH60" s="554"/>
      <c r="AI60" s="456"/>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0" t="s">
        <v>1748</v>
      </c>
      <c r="Y61" s="246" t="s">
        <v>1395</v>
      </c>
      <c r="Z61" s="235" t="s">
        <v>566</v>
      </c>
      <c r="AA61" s="235" t="s">
        <v>1182</v>
      </c>
      <c r="AB61" s="443" t="s">
        <v>1919</v>
      </c>
      <c r="AC61" s="238">
        <v>120</v>
      </c>
      <c r="AD61" s="292">
        <v>15039.3</v>
      </c>
      <c r="AE61" s="476">
        <v>15039.3</v>
      </c>
      <c r="AF61" s="476">
        <v>15039.3</v>
      </c>
      <c r="AG61" s="554"/>
      <c r="AH61" s="554"/>
      <c r="AI61" s="456"/>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0" t="s">
        <v>1920</v>
      </c>
      <c r="Y62" s="246" t="s">
        <v>1395</v>
      </c>
      <c r="Z62" s="235" t="s">
        <v>566</v>
      </c>
      <c r="AA62" s="235" t="s">
        <v>1182</v>
      </c>
      <c r="AB62" s="443" t="s">
        <v>1921</v>
      </c>
      <c r="AC62" s="577"/>
      <c r="AD62" s="292">
        <f t="shared" ref="AD62:AF63" si="9">AD63</f>
        <v>30623.7</v>
      </c>
      <c r="AE62" s="476">
        <f t="shared" si="9"/>
        <v>30623.7</v>
      </c>
      <c r="AF62" s="476">
        <f t="shared" si="9"/>
        <v>30623.7</v>
      </c>
      <c r="AG62" s="554"/>
      <c r="AH62" s="554"/>
      <c r="AI62" s="456"/>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0" t="s">
        <v>922</v>
      </c>
      <c r="Y63" s="246" t="s">
        <v>1395</v>
      </c>
      <c r="Z63" s="235" t="s">
        <v>566</v>
      </c>
      <c r="AA63" s="235" t="s">
        <v>1182</v>
      </c>
      <c r="AB63" s="443" t="s">
        <v>1921</v>
      </c>
      <c r="AC63" s="577">
        <v>100</v>
      </c>
      <c r="AD63" s="292">
        <f t="shared" si="9"/>
        <v>30623.7</v>
      </c>
      <c r="AE63" s="476">
        <f t="shared" si="9"/>
        <v>30623.7</v>
      </c>
      <c r="AF63" s="476">
        <f t="shared" si="9"/>
        <v>30623.7</v>
      </c>
      <c r="AG63" s="554"/>
      <c r="AH63" s="554"/>
      <c r="AI63" s="456"/>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0" t="s">
        <v>1748</v>
      </c>
      <c r="Y64" s="246" t="s">
        <v>1395</v>
      </c>
      <c r="Z64" s="235" t="s">
        <v>566</v>
      </c>
      <c r="AA64" s="235" t="s">
        <v>1182</v>
      </c>
      <c r="AB64" s="443" t="s">
        <v>1921</v>
      </c>
      <c r="AC64" s="238">
        <v>120</v>
      </c>
      <c r="AD64" s="292">
        <v>30623.7</v>
      </c>
      <c r="AE64" s="476">
        <v>30623.7</v>
      </c>
      <c r="AF64" s="476">
        <v>30623.7</v>
      </c>
      <c r="AG64" s="554"/>
      <c r="AH64" s="554"/>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1" t="s">
        <v>2104</v>
      </c>
      <c r="Y65" s="246" t="s">
        <v>1395</v>
      </c>
      <c r="Z65" s="235" t="s">
        <v>566</v>
      </c>
      <c r="AA65" s="235" t="s">
        <v>1182</v>
      </c>
      <c r="AB65" s="443" t="s">
        <v>1806</v>
      </c>
      <c r="AC65" s="238"/>
      <c r="AD65" s="292">
        <f t="shared" ref="AD65:AF67" si="10">AD66</f>
        <v>8336</v>
      </c>
      <c r="AE65" s="476">
        <f t="shared" si="10"/>
        <v>3332</v>
      </c>
      <c r="AF65" s="476">
        <f t="shared" si="10"/>
        <v>3332</v>
      </c>
      <c r="AG65" s="554"/>
      <c r="AH65" s="554"/>
      <c r="AI65" s="456"/>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1" t="s">
        <v>2105</v>
      </c>
      <c r="Y66" s="246" t="s">
        <v>1395</v>
      </c>
      <c r="Z66" s="235" t="s">
        <v>566</v>
      </c>
      <c r="AA66" s="235" t="s">
        <v>1182</v>
      </c>
      <c r="AB66" s="443" t="s">
        <v>2106</v>
      </c>
      <c r="AC66" s="238"/>
      <c r="AD66" s="292">
        <f t="shared" si="10"/>
        <v>8336</v>
      </c>
      <c r="AE66" s="476">
        <f t="shared" si="10"/>
        <v>3332</v>
      </c>
      <c r="AF66" s="476">
        <f t="shared" si="10"/>
        <v>3332</v>
      </c>
      <c r="AG66" s="554"/>
      <c r="AH66" s="554"/>
      <c r="AI66" s="456"/>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9" t="s">
        <v>2107</v>
      </c>
      <c r="Y67" s="246" t="s">
        <v>1395</v>
      </c>
      <c r="Z67" s="235" t="s">
        <v>566</v>
      </c>
      <c r="AA67" s="235" t="s">
        <v>1182</v>
      </c>
      <c r="AB67" s="443" t="s">
        <v>2108</v>
      </c>
      <c r="AC67" s="238"/>
      <c r="AD67" s="292">
        <f t="shared" si="10"/>
        <v>8336</v>
      </c>
      <c r="AE67" s="476">
        <f t="shared" si="10"/>
        <v>3332</v>
      </c>
      <c r="AF67" s="476">
        <f t="shared" si="10"/>
        <v>3332</v>
      </c>
      <c r="AG67" s="554"/>
      <c r="AH67" s="554"/>
      <c r="AI67" s="456"/>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9" t="s">
        <v>2244</v>
      </c>
      <c r="Y68" s="246" t="s">
        <v>1395</v>
      </c>
      <c r="Z68" s="235" t="s">
        <v>566</v>
      </c>
      <c r="AA68" s="235" t="s">
        <v>1182</v>
      </c>
      <c r="AB68" s="472" t="s">
        <v>2109</v>
      </c>
      <c r="AC68" s="238"/>
      <c r="AD68" s="292">
        <f t="shared" ref="AD68:AF69" si="11">AD69</f>
        <v>8336</v>
      </c>
      <c r="AE68" s="476">
        <f t="shared" si="11"/>
        <v>3332</v>
      </c>
      <c r="AF68" s="476">
        <f t="shared" si="11"/>
        <v>3332</v>
      </c>
      <c r="AG68" s="554"/>
      <c r="AH68" s="554"/>
      <c r="AI68" s="456"/>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20" t="s">
        <v>1782</v>
      </c>
      <c r="Y69" s="246" t="s">
        <v>1395</v>
      </c>
      <c r="Z69" s="235" t="s">
        <v>566</v>
      </c>
      <c r="AA69" s="235" t="s">
        <v>1182</v>
      </c>
      <c r="AB69" s="472" t="s">
        <v>2109</v>
      </c>
      <c r="AC69" s="238">
        <v>200</v>
      </c>
      <c r="AD69" s="292">
        <f t="shared" si="11"/>
        <v>8336</v>
      </c>
      <c r="AE69" s="476">
        <f t="shared" si="11"/>
        <v>3332</v>
      </c>
      <c r="AF69" s="476">
        <f t="shared" si="11"/>
        <v>3332</v>
      </c>
      <c r="AG69" s="554"/>
      <c r="AH69" s="554"/>
      <c r="AI69" s="456"/>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20" t="s">
        <v>1274</v>
      </c>
      <c r="Y70" s="246" t="s">
        <v>1395</v>
      </c>
      <c r="Z70" s="235" t="s">
        <v>566</v>
      </c>
      <c r="AA70" s="235" t="s">
        <v>1182</v>
      </c>
      <c r="AB70" s="472" t="s">
        <v>2109</v>
      </c>
      <c r="AC70" s="238">
        <v>240</v>
      </c>
      <c r="AD70" s="292">
        <f>46+3286+2714-300+1790+650-600+750</f>
        <v>8336</v>
      </c>
      <c r="AE70" s="476">
        <f>46+3286</f>
        <v>3332</v>
      </c>
      <c r="AF70" s="476">
        <f>46+3286</f>
        <v>3332</v>
      </c>
      <c r="AG70" s="554"/>
      <c r="AH70" s="554"/>
      <c r="AI70" s="456"/>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20" t="s">
        <v>39</v>
      </c>
      <c r="Y71" s="246" t="s">
        <v>1395</v>
      </c>
      <c r="Z71" s="235" t="s">
        <v>566</v>
      </c>
      <c r="AA71" s="235">
        <v>11</v>
      </c>
      <c r="AB71" s="270"/>
      <c r="AC71" s="238"/>
      <c r="AD71" s="292">
        <f>AD72</f>
        <v>3127.7999999999993</v>
      </c>
      <c r="AE71" s="476">
        <f>AE72</f>
        <v>10300.900000000001</v>
      </c>
      <c r="AF71" s="476">
        <f>AF72</f>
        <v>6929</v>
      </c>
      <c r="AG71" s="554"/>
      <c r="AH71" s="554"/>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0" t="s">
        <v>2196</v>
      </c>
      <c r="Y72" s="246" t="s">
        <v>1395</v>
      </c>
      <c r="Z72" s="235" t="s">
        <v>566</v>
      </c>
      <c r="AA72" s="235">
        <v>11</v>
      </c>
      <c r="AB72" s="249" t="s">
        <v>1816</v>
      </c>
      <c r="AC72" s="238"/>
      <c r="AD72" s="292">
        <f>AD73+AD76</f>
        <v>3127.7999999999993</v>
      </c>
      <c r="AE72" s="476">
        <f>AE73+AE76</f>
        <v>10300.900000000001</v>
      </c>
      <c r="AF72" s="476">
        <f>AF73+AF76</f>
        <v>6929</v>
      </c>
      <c r="AG72" s="554"/>
      <c r="AH72" s="554"/>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2" t="s">
        <v>2133</v>
      </c>
      <c r="Y73" s="246" t="s">
        <v>1395</v>
      </c>
      <c r="Z73" s="235" t="s">
        <v>566</v>
      </c>
      <c r="AA73" s="235">
        <v>11</v>
      </c>
      <c r="AB73" s="443" t="s">
        <v>2134</v>
      </c>
      <c r="AC73" s="238"/>
      <c r="AD73" s="292">
        <f t="shared" ref="AD73:AF74" si="12">AD74</f>
        <v>1716.7999999999993</v>
      </c>
      <c r="AE73" s="476">
        <f t="shared" si="12"/>
        <v>8889.9000000000015</v>
      </c>
      <c r="AF73" s="476">
        <f t="shared" si="12"/>
        <v>5518</v>
      </c>
      <c r="AG73" s="554"/>
      <c r="AH73" s="554"/>
      <c r="AI73" s="456"/>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20" t="s">
        <v>924</v>
      </c>
      <c r="Y74" s="246" t="s">
        <v>1395</v>
      </c>
      <c r="Z74" s="235" t="s">
        <v>566</v>
      </c>
      <c r="AA74" s="235">
        <v>11</v>
      </c>
      <c r="AB74" s="443" t="s">
        <v>2134</v>
      </c>
      <c r="AC74" s="238">
        <v>800</v>
      </c>
      <c r="AD74" s="292">
        <f t="shared" si="12"/>
        <v>1716.7999999999993</v>
      </c>
      <c r="AE74" s="476">
        <f t="shared" si="12"/>
        <v>8889.9000000000015</v>
      </c>
      <c r="AF74" s="476">
        <f t="shared" si="12"/>
        <v>5518</v>
      </c>
      <c r="AG74" s="554"/>
      <c r="AH74" s="554"/>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0" t="s">
        <v>1815</v>
      </c>
      <c r="Y75" s="246" t="s">
        <v>1395</v>
      </c>
      <c r="Z75" s="235" t="s">
        <v>566</v>
      </c>
      <c r="AA75" s="235">
        <v>11</v>
      </c>
      <c r="AB75" s="443" t="s">
        <v>2134</v>
      </c>
      <c r="AC75" s="238">
        <v>870</v>
      </c>
      <c r="AD75" s="292">
        <f>13673.8-8025.7-2126.8-1556.9-247.6</f>
        <v>1716.7999999999993</v>
      </c>
      <c r="AE75" s="476">
        <f>8905.6+764.6+23.2-793.6-9.9</f>
        <v>8889.9000000000015</v>
      </c>
      <c r="AF75" s="476">
        <f>5354.7+2827.2-1683-1293+322-9.9</f>
        <v>5518</v>
      </c>
      <c r="AG75" s="554"/>
      <c r="AH75" s="554"/>
      <c r="AI75" s="456"/>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2" t="s">
        <v>2159</v>
      </c>
      <c r="Y76" s="246" t="s">
        <v>1395</v>
      </c>
      <c r="Z76" s="235" t="s">
        <v>566</v>
      </c>
      <c r="AA76" s="235">
        <v>11</v>
      </c>
      <c r="AB76" s="443" t="s">
        <v>2160</v>
      </c>
      <c r="AC76" s="238"/>
      <c r="AD76" s="292">
        <f t="shared" ref="AD76:AF77" si="13">AD77</f>
        <v>1411</v>
      </c>
      <c r="AE76" s="476">
        <f t="shared" si="13"/>
        <v>1411</v>
      </c>
      <c r="AF76" s="476">
        <f t="shared" si="13"/>
        <v>1411</v>
      </c>
      <c r="AG76" s="554"/>
      <c r="AH76" s="554"/>
      <c r="AI76" s="456"/>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20" t="s">
        <v>924</v>
      </c>
      <c r="Y77" s="246" t="s">
        <v>1395</v>
      </c>
      <c r="Z77" s="235" t="s">
        <v>566</v>
      </c>
      <c r="AA77" s="235">
        <v>11</v>
      </c>
      <c r="AB77" s="443" t="s">
        <v>2160</v>
      </c>
      <c r="AC77" s="238">
        <v>800</v>
      </c>
      <c r="AD77" s="292">
        <f t="shared" si="13"/>
        <v>1411</v>
      </c>
      <c r="AE77" s="476">
        <f t="shared" si="13"/>
        <v>1411</v>
      </c>
      <c r="AF77" s="476">
        <f t="shared" si="13"/>
        <v>1411</v>
      </c>
      <c r="AG77" s="554"/>
      <c r="AH77" s="554"/>
      <c r="AI77" s="456"/>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20" t="s">
        <v>1815</v>
      </c>
      <c r="Y78" s="246" t="s">
        <v>1395</v>
      </c>
      <c r="Z78" s="235" t="s">
        <v>566</v>
      </c>
      <c r="AA78" s="235">
        <v>11</v>
      </c>
      <c r="AB78" s="443" t="s">
        <v>2160</v>
      </c>
      <c r="AC78" s="238">
        <v>870</v>
      </c>
      <c r="AD78" s="292">
        <v>1411</v>
      </c>
      <c r="AE78" s="476">
        <v>1411</v>
      </c>
      <c r="AF78" s="476">
        <v>1411</v>
      </c>
      <c r="AG78" s="554"/>
      <c r="AH78" s="554"/>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20" t="s">
        <v>287</v>
      </c>
      <c r="Y79" s="246" t="s">
        <v>1395</v>
      </c>
      <c r="Z79" s="235" t="s">
        <v>566</v>
      </c>
      <c r="AA79" s="235">
        <v>13</v>
      </c>
      <c r="AB79" s="270"/>
      <c r="AC79" s="238"/>
      <c r="AD79" s="292">
        <f>AD86+AD124+AD139+AD149+AD80</f>
        <v>100747.3</v>
      </c>
      <c r="AE79" s="476">
        <f>AE86+AE124+AE139+AE149+AE80</f>
        <v>75042.8</v>
      </c>
      <c r="AF79" s="476">
        <f>AF86+AF124+AF139+AF149+AF80</f>
        <v>67209.399999999994</v>
      </c>
      <c r="AG79" s="554"/>
      <c r="AH79" s="554"/>
      <c r="AI79" s="456"/>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1" t="s">
        <v>1999</v>
      </c>
      <c r="Y80" s="246" t="s">
        <v>1395</v>
      </c>
      <c r="Z80" s="235" t="s">
        <v>566</v>
      </c>
      <c r="AA80" s="235">
        <v>13</v>
      </c>
      <c r="AB80" s="443" t="s">
        <v>1775</v>
      </c>
      <c r="AC80" s="238"/>
      <c r="AD80" s="292">
        <f t="shared" ref="AD80:AF81" si="14">AD81</f>
        <v>0</v>
      </c>
      <c r="AE80" s="476">
        <f t="shared" si="14"/>
        <v>154</v>
      </c>
      <c r="AF80" s="476">
        <f t="shared" si="14"/>
        <v>0</v>
      </c>
      <c r="AG80" s="554"/>
      <c r="AH80" s="554"/>
      <c r="AI80" s="456"/>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8" t="s">
        <v>2340</v>
      </c>
      <c r="Y81" s="246" t="s">
        <v>1395</v>
      </c>
      <c r="Z81" s="235" t="s">
        <v>566</v>
      </c>
      <c r="AA81" s="235">
        <v>13</v>
      </c>
      <c r="AB81" s="443" t="s">
        <v>1802</v>
      </c>
      <c r="AC81" s="238"/>
      <c r="AD81" s="292">
        <f t="shared" si="14"/>
        <v>0</v>
      </c>
      <c r="AE81" s="476">
        <f t="shared" si="14"/>
        <v>154</v>
      </c>
      <c r="AF81" s="476">
        <f t="shared" si="14"/>
        <v>0</v>
      </c>
      <c r="AG81" s="554"/>
      <c r="AH81" s="554"/>
      <c r="AI81" s="456"/>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2" t="s">
        <v>2015</v>
      </c>
      <c r="Y82" s="246" t="s">
        <v>1395</v>
      </c>
      <c r="Z82" s="235" t="s">
        <v>566</v>
      </c>
      <c r="AA82" s="235">
        <v>13</v>
      </c>
      <c r="AB82" s="443" t="s">
        <v>1803</v>
      </c>
      <c r="AC82" s="577"/>
      <c r="AD82" s="292">
        <f t="shared" ref="AD82:AF84" si="15">AD83</f>
        <v>0</v>
      </c>
      <c r="AE82" s="476">
        <f t="shared" si="15"/>
        <v>154</v>
      </c>
      <c r="AF82" s="476">
        <f t="shared" si="15"/>
        <v>0</v>
      </c>
      <c r="AG82" s="554"/>
      <c r="AH82" s="554"/>
      <c r="AI82" s="456"/>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2" t="s">
        <v>2016</v>
      </c>
      <c r="Y83" s="246" t="s">
        <v>1395</v>
      </c>
      <c r="Z83" s="235" t="s">
        <v>566</v>
      </c>
      <c r="AA83" s="235">
        <v>13</v>
      </c>
      <c r="AB83" s="443" t="s">
        <v>2017</v>
      </c>
      <c r="AC83" s="577"/>
      <c r="AD83" s="292">
        <f t="shared" si="15"/>
        <v>0</v>
      </c>
      <c r="AE83" s="476">
        <f t="shared" si="15"/>
        <v>154</v>
      </c>
      <c r="AF83" s="476">
        <f t="shared" si="15"/>
        <v>0</v>
      </c>
      <c r="AG83" s="554"/>
      <c r="AH83" s="554"/>
      <c r="AI83" s="456"/>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20" t="s">
        <v>1782</v>
      </c>
      <c r="Y84" s="246" t="s">
        <v>1395</v>
      </c>
      <c r="Z84" s="235" t="s">
        <v>566</v>
      </c>
      <c r="AA84" s="235">
        <v>13</v>
      </c>
      <c r="AB84" s="443" t="s">
        <v>2017</v>
      </c>
      <c r="AC84" s="238">
        <v>200</v>
      </c>
      <c r="AD84" s="292">
        <f t="shared" si="15"/>
        <v>0</v>
      </c>
      <c r="AE84" s="476">
        <f t="shared" si="15"/>
        <v>154</v>
      </c>
      <c r="AF84" s="476">
        <f t="shared" si="15"/>
        <v>0</v>
      </c>
      <c r="AG84" s="554"/>
      <c r="AH84" s="554"/>
      <c r="AI84" s="456"/>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20" t="s">
        <v>1274</v>
      </c>
      <c r="Y85" s="246" t="s">
        <v>1395</v>
      </c>
      <c r="Z85" s="235" t="s">
        <v>566</v>
      </c>
      <c r="AA85" s="235">
        <v>13</v>
      </c>
      <c r="AB85" s="443" t="s">
        <v>2017</v>
      </c>
      <c r="AC85" s="238">
        <v>240</v>
      </c>
      <c r="AD85" s="292">
        <v>0</v>
      </c>
      <c r="AE85" s="476">
        <v>154</v>
      </c>
      <c r="AF85" s="476">
        <v>0</v>
      </c>
      <c r="AG85" s="554"/>
      <c r="AH85" s="554"/>
      <c r="AI85" s="456"/>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49" t="s">
        <v>1899</v>
      </c>
      <c r="Y86" s="246" t="s">
        <v>1395</v>
      </c>
      <c r="Z86" s="235" t="s">
        <v>566</v>
      </c>
      <c r="AA86" s="235">
        <v>13</v>
      </c>
      <c r="AB86" s="443" t="s">
        <v>1772</v>
      </c>
      <c r="AC86" s="238"/>
      <c r="AD86" s="292">
        <f>AD87+AD97</f>
        <v>66764.800000000003</v>
      </c>
      <c r="AE86" s="476">
        <f>AE87+AE97</f>
        <v>48044.3</v>
      </c>
      <c r="AF86" s="476">
        <f>AF87+AF97</f>
        <v>40748.9</v>
      </c>
      <c r="AG86" s="554"/>
      <c r="AH86" s="554"/>
      <c r="AI86" s="456"/>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49" t="s">
        <v>1894</v>
      </c>
      <c r="Y87" s="246" t="s">
        <v>1395</v>
      </c>
      <c r="Z87" s="235" t="s">
        <v>566</v>
      </c>
      <c r="AA87" s="235">
        <v>13</v>
      </c>
      <c r="AB87" s="443" t="s">
        <v>1773</v>
      </c>
      <c r="AC87" s="238"/>
      <c r="AD87" s="292">
        <f t="shared" ref="AD87:AF88" si="16">AD88</f>
        <v>7892.4</v>
      </c>
      <c r="AE87" s="476">
        <f t="shared" si="16"/>
        <v>7352</v>
      </c>
      <c r="AF87" s="476">
        <f t="shared" si="16"/>
        <v>10056.6</v>
      </c>
      <c r="AG87" s="554"/>
      <c r="AH87" s="554"/>
      <c r="AI87" s="456"/>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30" t="s">
        <v>1895</v>
      </c>
      <c r="Y88" s="246" t="s">
        <v>1395</v>
      </c>
      <c r="Z88" s="235" t="s">
        <v>566</v>
      </c>
      <c r="AA88" s="235">
        <v>13</v>
      </c>
      <c r="AB88" s="443" t="s">
        <v>1896</v>
      </c>
      <c r="AC88" s="238"/>
      <c r="AD88" s="292">
        <f t="shared" si="16"/>
        <v>7892.4</v>
      </c>
      <c r="AE88" s="476">
        <f t="shared" si="16"/>
        <v>7352</v>
      </c>
      <c r="AF88" s="476">
        <f t="shared" si="16"/>
        <v>10056.6</v>
      </c>
      <c r="AG88" s="554"/>
      <c r="AH88" s="554"/>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2" t="s">
        <v>1897</v>
      </c>
      <c r="Y89" s="246" t="s">
        <v>1395</v>
      </c>
      <c r="Z89" s="235" t="s">
        <v>566</v>
      </c>
      <c r="AA89" s="235">
        <v>13</v>
      </c>
      <c r="AB89" s="443" t="s">
        <v>1898</v>
      </c>
      <c r="AC89" s="577"/>
      <c r="AD89" s="292">
        <f>AD95+AD90+AD92</f>
        <v>7892.4</v>
      </c>
      <c r="AE89" s="476">
        <f>AE95+AE90+AE92</f>
        <v>7352</v>
      </c>
      <c r="AF89" s="476">
        <f>AF95+AF90+AF92</f>
        <v>10056.6</v>
      </c>
      <c r="AG89" s="554"/>
      <c r="AH89" s="554"/>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0" t="s">
        <v>1782</v>
      </c>
      <c r="Y90" s="246" t="s">
        <v>1395</v>
      </c>
      <c r="Z90" s="235" t="s">
        <v>566</v>
      </c>
      <c r="AA90" s="235">
        <v>13</v>
      </c>
      <c r="AB90" s="443" t="s">
        <v>1898</v>
      </c>
      <c r="AC90" s="238">
        <v>200</v>
      </c>
      <c r="AD90" s="292">
        <f>AD91</f>
        <v>60</v>
      </c>
      <c r="AE90" s="476">
        <f>AE91</f>
        <v>60</v>
      </c>
      <c r="AF90" s="476">
        <f>AF91</f>
        <v>60</v>
      </c>
      <c r="AG90" s="554"/>
      <c r="AH90" s="554"/>
      <c r="AI90" s="456"/>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0" t="s">
        <v>1274</v>
      </c>
      <c r="Y91" s="246" t="s">
        <v>1395</v>
      </c>
      <c r="Z91" s="235" t="s">
        <v>566</v>
      </c>
      <c r="AA91" s="235">
        <v>13</v>
      </c>
      <c r="AB91" s="443" t="s">
        <v>1898</v>
      </c>
      <c r="AC91" s="238">
        <v>240</v>
      </c>
      <c r="AD91" s="292">
        <f>240-180</f>
        <v>60</v>
      </c>
      <c r="AE91" s="476">
        <f>240-180</f>
        <v>60</v>
      </c>
      <c r="AF91" s="476">
        <f>240-180</f>
        <v>60</v>
      </c>
      <c r="AG91" s="554"/>
      <c r="AH91" s="554"/>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0" t="s">
        <v>1755</v>
      </c>
      <c r="Y92" s="246" t="s">
        <v>1395</v>
      </c>
      <c r="Z92" s="235" t="s">
        <v>566</v>
      </c>
      <c r="AA92" s="235">
        <v>13</v>
      </c>
      <c r="AB92" s="443" t="s">
        <v>1898</v>
      </c>
      <c r="AC92" s="238">
        <v>300</v>
      </c>
      <c r="AD92" s="292">
        <f>AD93+AD94</f>
        <v>2832.4</v>
      </c>
      <c r="AE92" s="476">
        <f>AE93+AE94</f>
        <v>2292</v>
      </c>
      <c r="AF92" s="476">
        <f>AF93+AF94</f>
        <v>2292</v>
      </c>
      <c r="AG92" s="554"/>
      <c r="AH92" s="554"/>
      <c r="AI92" s="456"/>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0" t="s">
        <v>1805</v>
      </c>
      <c r="Y93" s="246" t="s">
        <v>1395</v>
      </c>
      <c r="Z93" s="235" t="s">
        <v>566</v>
      </c>
      <c r="AA93" s="235">
        <v>13</v>
      </c>
      <c r="AB93" s="443" t="s">
        <v>1898</v>
      </c>
      <c r="AC93" s="238">
        <v>310</v>
      </c>
      <c r="AD93" s="292">
        <f>2112+540.4</f>
        <v>2652.4</v>
      </c>
      <c r="AE93" s="476">
        <v>2112</v>
      </c>
      <c r="AF93" s="476">
        <v>2112</v>
      </c>
      <c r="AG93" s="554"/>
      <c r="AH93" s="554"/>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0" t="s">
        <v>868</v>
      </c>
      <c r="Y94" s="246" t="s">
        <v>1395</v>
      </c>
      <c r="Z94" s="235" t="s">
        <v>566</v>
      </c>
      <c r="AA94" s="235">
        <v>13</v>
      </c>
      <c r="AB94" s="443" t="s">
        <v>1898</v>
      </c>
      <c r="AC94" s="238">
        <v>320</v>
      </c>
      <c r="AD94" s="292">
        <v>180</v>
      </c>
      <c r="AE94" s="476">
        <v>180</v>
      </c>
      <c r="AF94" s="476">
        <v>180</v>
      </c>
      <c r="AG94" s="554"/>
      <c r="AH94" s="554"/>
      <c r="AI94" s="456"/>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20" t="s">
        <v>1343</v>
      </c>
      <c r="Y95" s="246" t="s">
        <v>1395</v>
      </c>
      <c r="Z95" s="235" t="s">
        <v>566</v>
      </c>
      <c r="AA95" s="235">
        <v>13</v>
      </c>
      <c r="AB95" s="443" t="s">
        <v>1898</v>
      </c>
      <c r="AC95" s="238">
        <v>600</v>
      </c>
      <c r="AD95" s="292">
        <f>AD96</f>
        <v>5000</v>
      </c>
      <c r="AE95" s="476">
        <f>AE96</f>
        <v>5000</v>
      </c>
      <c r="AF95" s="476">
        <f>AF96</f>
        <v>7704.6</v>
      </c>
      <c r="AG95" s="554"/>
      <c r="AH95" s="554"/>
      <c r="AI95" s="456"/>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20" t="s">
        <v>1344</v>
      </c>
      <c r="Y96" s="246" t="s">
        <v>1395</v>
      </c>
      <c r="Z96" s="235" t="s">
        <v>566</v>
      </c>
      <c r="AA96" s="235">
        <v>13</v>
      </c>
      <c r="AB96" s="443" t="s">
        <v>1898</v>
      </c>
      <c r="AC96" s="238">
        <v>610</v>
      </c>
      <c r="AD96" s="292">
        <v>5000</v>
      </c>
      <c r="AE96" s="476">
        <v>5000</v>
      </c>
      <c r="AF96" s="476">
        <v>7704.6</v>
      </c>
      <c r="AG96" s="554"/>
      <c r="AH96" s="554"/>
      <c r="AI96" s="456"/>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49" t="s">
        <v>1908</v>
      </c>
      <c r="Y97" s="246" t="s">
        <v>1395</v>
      </c>
      <c r="Z97" s="235" t="s">
        <v>566</v>
      </c>
      <c r="AA97" s="235">
        <v>13</v>
      </c>
      <c r="AB97" s="443" t="s">
        <v>1909</v>
      </c>
      <c r="AC97" s="238"/>
      <c r="AD97" s="292">
        <f>AD98</f>
        <v>58872.4</v>
      </c>
      <c r="AE97" s="476">
        <f>AE98</f>
        <v>40692.300000000003</v>
      </c>
      <c r="AF97" s="476">
        <f>AF98</f>
        <v>30692.300000000003</v>
      </c>
      <c r="AG97" s="554"/>
      <c r="AH97" s="554"/>
      <c r="AI97" s="456"/>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49" t="s">
        <v>1910</v>
      </c>
      <c r="Y98" s="246" t="s">
        <v>1395</v>
      </c>
      <c r="Z98" s="235" t="s">
        <v>566</v>
      </c>
      <c r="AA98" s="235">
        <v>13</v>
      </c>
      <c r="AB98" s="443" t="s">
        <v>1911</v>
      </c>
      <c r="AC98" s="238"/>
      <c r="AD98" s="292">
        <f>AD99+AD102</f>
        <v>58872.4</v>
      </c>
      <c r="AE98" s="476">
        <f>AE99+AE102</f>
        <v>40692.300000000003</v>
      </c>
      <c r="AF98" s="476">
        <f>AF99+AF102</f>
        <v>30692.300000000003</v>
      </c>
      <c r="AG98" s="554"/>
      <c r="AH98" s="554"/>
      <c r="AI98" s="456"/>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2" t="s">
        <v>1944</v>
      </c>
      <c r="Y99" s="579" t="s">
        <v>1395</v>
      </c>
      <c r="Z99" s="235" t="s">
        <v>566</v>
      </c>
      <c r="AA99" s="235">
        <v>13</v>
      </c>
      <c r="AB99" s="472" t="s">
        <v>1945</v>
      </c>
      <c r="AC99" s="238"/>
      <c r="AD99" s="292">
        <f>AD101</f>
        <v>125</v>
      </c>
      <c r="AE99" s="476">
        <f>AE101</f>
        <v>125</v>
      </c>
      <c r="AF99" s="476">
        <f>AF101</f>
        <v>125</v>
      </c>
      <c r="AG99" s="554"/>
      <c r="AH99" s="554"/>
      <c r="AI99" s="456"/>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20" t="s">
        <v>924</v>
      </c>
      <c r="Y100" s="246" t="s">
        <v>1395</v>
      </c>
      <c r="Z100" s="235" t="s">
        <v>566</v>
      </c>
      <c r="AA100" s="235">
        <v>13</v>
      </c>
      <c r="AB100" s="472" t="s">
        <v>1945</v>
      </c>
      <c r="AC100" s="238">
        <v>800</v>
      </c>
      <c r="AD100" s="292">
        <f>AD101</f>
        <v>125</v>
      </c>
      <c r="AE100" s="476">
        <f>AE101</f>
        <v>125</v>
      </c>
      <c r="AF100" s="476">
        <f>AF101</f>
        <v>125</v>
      </c>
      <c r="AG100" s="554"/>
      <c r="AH100" s="554"/>
      <c r="AI100" s="456"/>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20" t="s">
        <v>1320</v>
      </c>
      <c r="Y101" s="246" t="s">
        <v>1395</v>
      </c>
      <c r="Z101" s="235" t="s">
        <v>566</v>
      </c>
      <c r="AA101" s="235">
        <v>13</v>
      </c>
      <c r="AB101" s="472" t="s">
        <v>1945</v>
      </c>
      <c r="AC101" s="238">
        <v>850</v>
      </c>
      <c r="AD101" s="292">
        <v>125</v>
      </c>
      <c r="AE101" s="476">
        <v>125</v>
      </c>
      <c r="AF101" s="476">
        <v>125</v>
      </c>
      <c r="AG101" s="554"/>
      <c r="AH101" s="554"/>
      <c r="AI101" s="456"/>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2" t="s">
        <v>1922</v>
      </c>
      <c r="Y102" s="246" t="s">
        <v>1395</v>
      </c>
      <c r="Z102" s="235" t="s">
        <v>566</v>
      </c>
      <c r="AA102" s="235">
        <v>13</v>
      </c>
      <c r="AB102" s="472" t="s">
        <v>1923</v>
      </c>
      <c r="AC102" s="238"/>
      <c r="AD102" s="292">
        <f>AD103+AD108+AD117</f>
        <v>58747.4</v>
      </c>
      <c r="AE102" s="476">
        <f>AE103+AE108+AE117</f>
        <v>40567.300000000003</v>
      </c>
      <c r="AF102" s="476">
        <f>AF103+AF108+AF117</f>
        <v>30567.300000000003</v>
      </c>
      <c r="AG102" s="554"/>
      <c r="AH102" s="554"/>
      <c r="AI102" s="456"/>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2" t="s">
        <v>1938</v>
      </c>
      <c r="Y103" s="246" t="s">
        <v>1395</v>
      </c>
      <c r="Z103" s="235" t="s">
        <v>566</v>
      </c>
      <c r="AA103" s="235">
        <v>13</v>
      </c>
      <c r="AB103" s="472" t="s">
        <v>1939</v>
      </c>
      <c r="AC103" s="238"/>
      <c r="AD103" s="292">
        <f>AD104+AD106</f>
        <v>8775.0999999999985</v>
      </c>
      <c r="AE103" s="476">
        <f>AE104+AE106</f>
        <v>6396.2</v>
      </c>
      <c r="AF103" s="476">
        <f>AF104+AF106</f>
        <v>4951.2</v>
      </c>
      <c r="AG103" s="554"/>
      <c r="AH103" s="554"/>
      <c r="AI103" s="456"/>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0" t="s">
        <v>922</v>
      </c>
      <c r="Y104" s="246" t="s">
        <v>1395</v>
      </c>
      <c r="Z104" s="235" t="s">
        <v>566</v>
      </c>
      <c r="AA104" s="235">
        <v>13</v>
      </c>
      <c r="AB104" s="472" t="s">
        <v>1939</v>
      </c>
      <c r="AC104" s="580" t="s">
        <v>1798</v>
      </c>
      <c r="AD104" s="292">
        <f>AD105</f>
        <v>7964.7999999999993</v>
      </c>
      <c r="AE104" s="476">
        <f>AE105</f>
        <v>5585.9</v>
      </c>
      <c r="AF104" s="476">
        <f>AF105</f>
        <v>4140.8999999999996</v>
      </c>
      <c r="AG104" s="554"/>
      <c r="AH104" s="554"/>
      <c r="AI104" s="456"/>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0" t="s">
        <v>1569</v>
      </c>
      <c r="Y105" s="246" t="s">
        <v>1395</v>
      </c>
      <c r="Z105" s="235" t="s">
        <v>566</v>
      </c>
      <c r="AA105" s="235">
        <v>13</v>
      </c>
      <c r="AB105" s="472" t="s">
        <v>1939</v>
      </c>
      <c r="AC105" s="580" t="s">
        <v>1799</v>
      </c>
      <c r="AD105" s="292">
        <f>7428.9+535.9</f>
        <v>7964.7999999999993</v>
      </c>
      <c r="AE105" s="476">
        <v>5585.9</v>
      </c>
      <c r="AF105" s="476">
        <v>4140.8999999999996</v>
      </c>
      <c r="AG105" s="554"/>
      <c r="AH105" s="554"/>
      <c r="AI105" s="456"/>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0" t="s">
        <v>1782</v>
      </c>
      <c r="Y106" s="246" t="s">
        <v>1395</v>
      </c>
      <c r="Z106" s="235" t="s">
        <v>566</v>
      </c>
      <c r="AA106" s="235">
        <v>13</v>
      </c>
      <c r="AB106" s="472" t="s">
        <v>1939</v>
      </c>
      <c r="AC106" s="580" t="s">
        <v>821</v>
      </c>
      <c r="AD106" s="292">
        <f>AD107</f>
        <v>810.3</v>
      </c>
      <c r="AE106" s="476">
        <f>AE107</f>
        <v>810.3</v>
      </c>
      <c r="AF106" s="476">
        <f>AF107</f>
        <v>810.3</v>
      </c>
      <c r="AG106" s="554"/>
      <c r="AH106" s="554"/>
      <c r="AI106" s="456"/>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0" t="s">
        <v>1274</v>
      </c>
      <c r="Y107" s="246" t="s">
        <v>1395</v>
      </c>
      <c r="Z107" s="235" t="s">
        <v>566</v>
      </c>
      <c r="AA107" s="235">
        <v>13</v>
      </c>
      <c r="AB107" s="472" t="s">
        <v>1939</v>
      </c>
      <c r="AC107" s="580" t="s">
        <v>1480</v>
      </c>
      <c r="AD107" s="292">
        <v>810.3</v>
      </c>
      <c r="AE107" s="476">
        <v>810.3</v>
      </c>
      <c r="AF107" s="476">
        <v>810.3</v>
      </c>
      <c r="AG107" s="554"/>
      <c r="AH107" s="554"/>
      <c r="AI107" s="456"/>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0" t="s">
        <v>1940</v>
      </c>
      <c r="Y108" s="246" t="s">
        <v>1395</v>
      </c>
      <c r="Z108" s="235" t="s">
        <v>566</v>
      </c>
      <c r="AA108" s="235">
        <v>13</v>
      </c>
      <c r="AB108" s="472" t="s">
        <v>1941</v>
      </c>
      <c r="AC108" s="580"/>
      <c r="AD108" s="292">
        <f>AD109+AD111+AD115+AD113</f>
        <v>39597.4</v>
      </c>
      <c r="AE108" s="476">
        <f>AE109+AE111</f>
        <v>26212.2</v>
      </c>
      <c r="AF108" s="476">
        <f>AF109+AF111</f>
        <v>19567.2</v>
      </c>
      <c r="AG108" s="554"/>
      <c r="AH108" s="554"/>
      <c r="AI108" s="456"/>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0" t="s">
        <v>922</v>
      </c>
      <c r="Y109" s="246" t="s">
        <v>1395</v>
      </c>
      <c r="Z109" s="235" t="s">
        <v>566</v>
      </c>
      <c r="AA109" s="235">
        <v>13</v>
      </c>
      <c r="AB109" s="472" t="s">
        <v>1941</v>
      </c>
      <c r="AC109" s="580" t="s">
        <v>1798</v>
      </c>
      <c r="AD109" s="292">
        <f>AD110</f>
        <v>38951.299999999996</v>
      </c>
      <c r="AE109" s="476">
        <f>AE110</f>
        <v>25611.5</v>
      </c>
      <c r="AF109" s="476">
        <f>AF110</f>
        <v>18966.5</v>
      </c>
      <c r="AG109" s="554"/>
      <c r="AH109" s="554"/>
      <c r="AI109" s="456"/>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0" t="s">
        <v>1569</v>
      </c>
      <c r="Y110" s="246" t="s">
        <v>1395</v>
      </c>
      <c r="Z110" s="235" t="s">
        <v>566</v>
      </c>
      <c r="AA110" s="235">
        <v>13</v>
      </c>
      <c r="AB110" s="472" t="s">
        <v>1941</v>
      </c>
      <c r="AC110" s="580" t="s">
        <v>1799</v>
      </c>
      <c r="AD110" s="292">
        <f>34034.6-20-3-60.3+5000</f>
        <v>38951.299999999996</v>
      </c>
      <c r="AE110" s="476">
        <v>25611.5</v>
      </c>
      <c r="AF110" s="476">
        <v>18966.5</v>
      </c>
      <c r="AG110" s="554"/>
      <c r="AH110" s="554"/>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0" t="s">
        <v>1782</v>
      </c>
      <c r="Y111" s="246" t="s">
        <v>1395</v>
      </c>
      <c r="Z111" s="235" t="s">
        <v>566</v>
      </c>
      <c r="AA111" s="235">
        <v>13</v>
      </c>
      <c r="AB111" s="472" t="s">
        <v>1941</v>
      </c>
      <c r="AC111" s="580" t="s">
        <v>821</v>
      </c>
      <c r="AD111" s="292">
        <f>AD112</f>
        <v>562.80000000000007</v>
      </c>
      <c r="AE111" s="476">
        <f>AE112</f>
        <v>600.70000000000005</v>
      </c>
      <c r="AF111" s="476">
        <f>AF112</f>
        <v>600.70000000000005</v>
      </c>
      <c r="AG111" s="554"/>
      <c r="AH111" s="554"/>
      <c r="AI111" s="456"/>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0" t="s">
        <v>1274</v>
      </c>
      <c r="Y112" s="246" t="s">
        <v>1395</v>
      </c>
      <c r="Z112" s="235" t="s">
        <v>566</v>
      </c>
      <c r="AA112" s="235">
        <v>13</v>
      </c>
      <c r="AB112" s="472" t="s">
        <v>1941</v>
      </c>
      <c r="AC112" s="580" t="s">
        <v>1480</v>
      </c>
      <c r="AD112" s="292">
        <f>600.7-37.9</f>
        <v>562.80000000000007</v>
      </c>
      <c r="AE112" s="476">
        <v>600.70000000000005</v>
      </c>
      <c r="AF112" s="476">
        <v>600.70000000000005</v>
      </c>
      <c r="AG112" s="554"/>
      <c r="AH112" s="554"/>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0" t="s">
        <v>1755</v>
      </c>
      <c r="Y113" s="246" t="s">
        <v>1395</v>
      </c>
      <c r="Z113" s="235" t="s">
        <v>566</v>
      </c>
      <c r="AA113" s="235">
        <v>13</v>
      </c>
      <c r="AB113" s="472" t="s">
        <v>1941</v>
      </c>
      <c r="AC113" s="580" t="s">
        <v>2435</v>
      </c>
      <c r="AD113" s="292">
        <f>AD114</f>
        <v>3</v>
      </c>
      <c r="AE113" s="292">
        <f t="shared" ref="AE113:AF113" si="17">AE114</f>
        <v>0</v>
      </c>
      <c r="AF113" s="292">
        <f t="shared" si="17"/>
        <v>0</v>
      </c>
      <c r="AG113" s="554"/>
      <c r="AH113" s="554"/>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0" t="s">
        <v>868</v>
      </c>
      <c r="Y114" s="246" t="s">
        <v>1395</v>
      </c>
      <c r="Z114" s="235" t="s">
        <v>566</v>
      </c>
      <c r="AA114" s="235">
        <v>13</v>
      </c>
      <c r="AB114" s="472" t="s">
        <v>1941</v>
      </c>
      <c r="AC114" s="580" t="s">
        <v>2436</v>
      </c>
      <c r="AD114" s="292">
        <v>3</v>
      </c>
      <c r="AE114" s="476">
        <v>0</v>
      </c>
      <c r="AF114" s="476">
        <v>0</v>
      </c>
      <c r="AG114" s="554"/>
      <c r="AH114" s="554"/>
      <c r="AI114" s="456"/>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0" t="s">
        <v>924</v>
      </c>
      <c r="Y115" s="246" t="s">
        <v>1395</v>
      </c>
      <c r="Z115" s="235" t="s">
        <v>566</v>
      </c>
      <c r="AA115" s="235">
        <v>13</v>
      </c>
      <c r="AB115" s="472" t="s">
        <v>1941</v>
      </c>
      <c r="AC115" s="580" t="s">
        <v>2242</v>
      </c>
      <c r="AD115" s="292">
        <f>AD116</f>
        <v>80.3</v>
      </c>
      <c r="AE115" s="476">
        <f>AE116</f>
        <v>0</v>
      </c>
      <c r="AF115" s="476">
        <f>AF116</f>
        <v>0</v>
      </c>
      <c r="AG115" s="554"/>
      <c r="AH115" s="554"/>
      <c r="AI115" s="456"/>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0" t="s">
        <v>1320</v>
      </c>
      <c r="Y116" s="246" t="s">
        <v>1395</v>
      </c>
      <c r="Z116" s="235" t="s">
        <v>566</v>
      </c>
      <c r="AA116" s="235">
        <v>13</v>
      </c>
      <c r="AB116" s="472" t="s">
        <v>1941</v>
      </c>
      <c r="AC116" s="580" t="s">
        <v>2394</v>
      </c>
      <c r="AD116" s="292">
        <f>20+60.3</f>
        <v>80.3</v>
      </c>
      <c r="AE116" s="476">
        <v>0</v>
      </c>
      <c r="AF116" s="476">
        <v>0</v>
      </c>
      <c r="AG116" s="554"/>
      <c r="AH116" s="554"/>
      <c r="AI116" s="456"/>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0" t="s">
        <v>2384</v>
      </c>
      <c r="Y117" s="246" t="s">
        <v>1395</v>
      </c>
      <c r="Z117" s="235" t="s">
        <v>566</v>
      </c>
      <c r="AA117" s="235">
        <v>13</v>
      </c>
      <c r="AB117" s="472" t="s">
        <v>2385</v>
      </c>
      <c r="AC117" s="581"/>
      <c r="AD117" s="292">
        <f>AD118+AD120+AD122</f>
        <v>10374.9</v>
      </c>
      <c r="AE117" s="476">
        <f>AE118+AE120</f>
        <v>7958.9000000000005</v>
      </c>
      <c r="AF117" s="476">
        <f>AF118+AF120</f>
        <v>6048.9000000000005</v>
      </c>
      <c r="AG117" s="554"/>
      <c r="AH117" s="554"/>
      <c r="AI117" s="456"/>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0" t="s">
        <v>922</v>
      </c>
      <c r="Y118" s="246" t="s">
        <v>1395</v>
      </c>
      <c r="Z118" s="235" t="s">
        <v>566</v>
      </c>
      <c r="AA118" s="235">
        <v>13</v>
      </c>
      <c r="AB118" s="472" t="s">
        <v>2385</v>
      </c>
      <c r="AC118" s="580" t="s">
        <v>1798</v>
      </c>
      <c r="AD118" s="292">
        <f>AD119</f>
        <v>9775.6</v>
      </c>
      <c r="AE118" s="476">
        <f>AE119</f>
        <v>7359.6</v>
      </c>
      <c r="AF118" s="476">
        <f>AF119</f>
        <v>5449.6</v>
      </c>
      <c r="AG118" s="554"/>
      <c r="AH118" s="554"/>
      <c r="AI118" s="456"/>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0" t="s">
        <v>1569</v>
      </c>
      <c r="Y119" s="246" t="s">
        <v>1395</v>
      </c>
      <c r="Z119" s="235" t="s">
        <v>566</v>
      </c>
      <c r="AA119" s="235">
        <v>13</v>
      </c>
      <c r="AB119" s="472" t="s">
        <v>2385</v>
      </c>
      <c r="AC119" s="580" t="s">
        <v>1799</v>
      </c>
      <c r="AD119" s="292">
        <v>9775.6</v>
      </c>
      <c r="AE119" s="476">
        <v>7359.6</v>
      </c>
      <c r="AF119" s="476">
        <v>5449.6</v>
      </c>
      <c r="AG119" s="554"/>
      <c r="AH119" s="554"/>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0" t="s">
        <v>1782</v>
      </c>
      <c r="Y120" s="246" t="s">
        <v>1395</v>
      </c>
      <c r="Z120" s="235" t="s">
        <v>566</v>
      </c>
      <c r="AA120" s="235">
        <v>13</v>
      </c>
      <c r="AB120" s="472" t="s">
        <v>2385</v>
      </c>
      <c r="AC120" s="580" t="s">
        <v>821</v>
      </c>
      <c r="AD120" s="292">
        <f>AD121</f>
        <v>549.29999999999995</v>
      </c>
      <c r="AE120" s="476">
        <f>AE121</f>
        <v>599.29999999999995</v>
      </c>
      <c r="AF120" s="476">
        <f>AF121</f>
        <v>599.29999999999995</v>
      </c>
      <c r="AG120" s="554"/>
      <c r="AH120" s="554"/>
      <c r="AI120" s="456"/>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0" t="s">
        <v>1274</v>
      </c>
      <c r="Y121" s="246" t="s">
        <v>1395</v>
      </c>
      <c r="Z121" s="235" t="s">
        <v>566</v>
      </c>
      <c r="AA121" s="235">
        <v>13</v>
      </c>
      <c r="AB121" s="472" t="s">
        <v>2385</v>
      </c>
      <c r="AC121" s="580" t="s">
        <v>1480</v>
      </c>
      <c r="AD121" s="292">
        <f>599.3-16.6-18.9-0.6-3-3.9-7</f>
        <v>549.29999999999995</v>
      </c>
      <c r="AE121" s="476">
        <v>599.29999999999995</v>
      </c>
      <c r="AF121" s="476">
        <v>599.29999999999995</v>
      </c>
      <c r="AG121" s="554"/>
      <c r="AH121" s="554"/>
      <c r="AI121" s="456"/>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20" t="s">
        <v>924</v>
      </c>
      <c r="Y122" s="246" t="s">
        <v>1395</v>
      </c>
      <c r="Z122" s="235" t="s">
        <v>566</v>
      </c>
      <c r="AA122" s="235">
        <v>13</v>
      </c>
      <c r="AB122" s="472" t="s">
        <v>2385</v>
      </c>
      <c r="AC122" s="580" t="s">
        <v>2242</v>
      </c>
      <c r="AD122" s="292">
        <f>AD123</f>
        <v>50</v>
      </c>
      <c r="AE122" s="292">
        <f t="shared" ref="AE122:AF122" si="18">AE123</f>
        <v>0</v>
      </c>
      <c r="AF122" s="292">
        <f t="shared" si="18"/>
        <v>0</v>
      </c>
      <c r="AG122" s="554"/>
      <c r="AH122" s="554"/>
      <c r="AI122" s="456"/>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20" t="s">
        <v>1320</v>
      </c>
      <c r="Y123" s="246" t="s">
        <v>1395</v>
      </c>
      <c r="Z123" s="235" t="s">
        <v>566</v>
      </c>
      <c r="AA123" s="235">
        <v>13</v>
      </c>
      <c r="AB123" s="472" t="s">
        <v>2385</v>
      </c>
      <c r="AC123" s="580" t="s">
        <v>2394</v>
      </c>
      <c r="AD123" s="292">
        <f>16.6+18.9+0.6+3+3.9+7</f>
        <v>50</v>
      </c>
      <c r="AE123" s="476">
        <v>0</v>
      </c>
      <c r="AF123" s="476">
        <v>0</v>
      </c>
      <c r="AG123" s="554"/>
      <c r="AH123" s="554"/>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1" t="s">
        <v>2104</v>
      </c>
      <c r="Y124" s="246" t="s">
        <v>1395</v>
      </c>
      <c r="Z124" s="235" t="s">
        <v>566</v>
      </c>
      <c r="AA124" s="235">
        <v>13</v>
      </c>
      <c r="AB124" s="443" t="s">
        <v>1806</v>
      </c>
      <c r="AC124" s="238"/>
      <c r="AD124" s="292">
        <f>AD125+AD130</f>
        <v>776.5</v>
      </c>
      <c r="AE124" s="476">
        <f>AE125+AE130</f>
        <v>437.5</v>
      </c>
      <c r="AF124" s="476">
        <f>AF125+AF130</f>
        <v>53.5</v>
      </c>
      <c r="AG124" s="554"/>
      <c r="AH124" s="554"/>
      <c r="AI124" s="456"/>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1" t="s">
        <v>2105</v>
      </c>
      <c r="Y125" s="246" t="s">
        <v>1395</v>
      </c>
      <c r="Z125" s="235" t="s">
        <v>566</v>
      </c>
      <c r="AA125" s="235">
        <v>13</v>
      </c>
      <c r="AB125" s="443" t="s">
        <v>2106</v>
      </c>
      <c r="AC125" s="238"/>
      <c r="AD125" s="292">
        <f t="shared" ref="AD125:AF126" si="19">AD126</f>
        <v>13.5</v>
      </c>
      <c r="AE125" s="476">
        <f t="shared" si="19"/>
        <v>13.5</v>
      </c>
      <c r="AF125" s="476">
        <f t="shared" si="19"/>
        <v>13.5</v>
      </c>
      <c r="AG125" s="554"/>
      <c r="AH125" s="554"/>
      <c r="AI125" s="456"/>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9" t="s">
        <v>2107</v>
      </c>
      <c r="Y126" s="246" t="s">
        <v>1395</v>
      </c>
      <c r="Z126" s="235" t="s">
        <v>566</v>
      </c>
      <c r="AA126" s="235">
        <v>13</v>
      </c>
      <c r="AB126" s="443" t="s">
        <v>2108</v>
      </c>
      <c r="AC126" s="238"/>
      <c r="AD126" s="292">
        <f t="shared" si="19"/>
        <v>13.5</v>
      </c>
      <c r="AE126" s="476">
        <f t="shared" si="19"/>
        <v>13.5</v>
      </c>
      <c r="AF126" s="476">
        <f t="shared" si="19"/>
        <v>13.5</v>
      </c>
      <c r="AG126" s="554"/>
      <c r="AH126" s="554"/>
      <c r="AI126" s="456"/>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9" t="s">
        <v>2244</v>
      </c>
      <c r="Y127" s="246" t="s">
        <v>1395</v>
      </c>
      <c r="Z127" s="235" t="s">
        <v>566</v>
      </c>
      <c r="AA127" s="235">
        <v>13</v>
      </c>
      <c r="AB127" s="472" t="s">
        <v>2109</v>
      </c>
      <c r="AC127" s="238"/>
      <c r="AD127" s="292">
        <f t="shared" ref="AD127:AF128" si="20">AD128</f>
        <v>13.5</v>
      </c>
      <c r="AE127" s="476">
        <f t="shared" si="20"/>
        <v>13.5</v>
      </c>
      <c r="AF127" s="476">
        <f t="shared" si="20"/>
        <v>13.5</v>
      </c>
      <c r="AG127" s="554"/>
      <c r="AH127" s="554"/>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0" t="s">
        <v>1782</v>
      </c>
      <c r="Y128" s="246" t="s">
        <v>1395</v>
      </c>
      <c r="Z128" s="235" t="s">
        <v>566</v>
      </c>
      <c r="AA128" s="235">
        <v>13</v>
      </c>
      <c r="AB128" s="472" t="s">
        <v>2109</v>
      </c>
      <c r="AC128" s="238">
        <v>200</v>
      </c>
      <c r="AD128" s="292">
        <f t="shared" si="20"/>
        <v>13.5</v>
      </c>
      <c r="AE128" s="476">
        <f t="shared" si="20"/>
        <v>13.5</v>
      </c>
      <c r="AF128" s="476">
        <f t="shared" si="20"/>
        <v>13.5</v>
      </c>
      <c r="AG128" s="554"/>
      <c r="AH128" s="554"/>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20" t="s">
        <v>1274</v>
      </c>
      <c r="Y129" s="246" t="s">
        <v>1395</v>
      </c>
      <c r="Z129" s="235" t="s">
        <v>566</v>
      </c>
      <c r="AA129" s="235">
        <v>13</v>
      </c>
      <c r="AB129" s="472" t="s">
        <v>2109</v>
      </c>
      <c r="AC129" s="238">
        <v>240</v>
      </c>
      <c r="AD129" s="292">
        <v>13.5</v>
      </c>
      <c r="AE129" s="476">
        <v>13.5</v>
      </c>
      <c r="AF129" s="476">
        <v>13.5</v>
      </c>
      <c r="AG129" s="554"/>
      <c r="AH129" s="554"/>
      <c r="AI129" s="456"/>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1" t="s">
        <v>1161</v>
      </c>
      <c r="Y130" s="246" t="s">
        <v>1395</v>
      </c>
      <c r="Z130" s="235" t="s">
        <v>566</v>
      </c>
      <c r="AA130" s="235">
        <v>13</v>
      </c>
      <c r="AB130" s="443" t="s">
        <v>2119</v>
      </c>
      <c r="AC130" s="238"/>
      <c r="AD130" s="292">
        <f>AD131+AD135</f>
        <v>763</v>
      </c>
      <c r="AE130" s="476">
        <f>AE131+AE135</f>
        <v>424</v>
      </c>
      <c r="AF130" s="476">
        <f>AF131+AF135</f>
        <v>40</v>
      </c>
      <c r="AG130" s="554"/>
      <c r="AH130" s="554"/>
      <c r="AI130" s="456"/>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9" t="s">
        <v>2123</v>
      </c>
      <c r="Y131" s="246" t="s">
        <v>1395</v>
      </c>
      <c r="Z131" s="235" t="s">
        <v>566</v>
      </c>
      <c r="AA131" s="235">
        <v>13</v>
      </c>
      <c r="AB131" s="443" t="s">
        <v>2124</v>
      </c>
      <c r="AC131" s="238"/>
      <c r="AD131" s="292">
        <f t="shared" ref="AD131:AF133" si="21">AD132</f>
        <v>2</v>
      </c>
      <c r="AE131" s="476">
        <f t="shared" si="21"/>
        <v>424</v>
      </c>
      <c r="AF131" s="476">
        <f t="shared" si="21"/>
        <v>40</v>
      </c>
      <c r="AG131" s="554"/>
      <c r="AH131" s="554"/>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1" t="s">
        <v>2125</v>
      </c>
      <c r="Y132" s="246" t="s">
        <v>1395</v>
      </c>
      <c r="Z132" s="235" t="s">
        <v>566</v>
      </c>
      <c r="AA132" s="235">
        <v>13</v>
      </c>
      <c r="AB132" s="443" t="s">
        <v>2126</v>
      </c>
      <c r="AC132" s="238"/>
      <c r="AD132" s="292">
        <f t="shared" si="21"/>
        <v>2</v>
      </c>
      <c r="AE132" s="476">
        <f t="shared" si="21"/>
        <v>424</v>
      </c>
      <c r="AF132" s="476">
        <f t="shared" si="21"/>
        <v>40</v>
      </c>
      <c r="AG132" s="554"/>
      <c r="AH132" s="554"/>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0" t="s">
        <v>1782</v>
      </c>
      <c r="Y133" s="246" t="s">
        <v>1395</v>
      </c>
      <c r="Z133" s="235" t="s">
        <v>566</v>
      </c>
      <c r="AA133" s="235">
        <v>13</v>
      </c>
      <c r="AB133" s="443" t="s">
        <v>2126</v>
      </c>
      <c r="AC133" s="238">
        <v>200</v>
      </c>
      <c r="AD133" s="292">
        <f t="shared" si="21"/>
        <v>2</v>
      </c>
      <c r="AE133" s="476">
        <f t="shared" si="21"/>
        <v>424</v>
      </c>
      <c r="AF133" s="476">
        <f t="shared" si="21"/>
        <v>40</v>
      </c>
      <c r="AG133" s="554"/>
      <c r="AH133" s="554"/>
      <c r="AI133" s="456"/>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0" t="s">
        <v>1274</v>
      </c>
      <c r="Y134" s="246" t="s">
        <v>1395</v>
      </c>
      <c r="Z134" s="235" t="s">
        <v>566</v>
      </c>
      <c r="AA134" s="235">
        <v>13</v>
      </c>
      <c r="AB134" s="443" t="s">
        <v>2126</v>
      </c>
      <c r="AC134" s="238">
        <v>240</v>
      </c>
      <c r="AD134" s="292">
        <f>6-4</f>
        <v>2</v>
      </c>
      <c r="AE134" s="476">
        <v>424</v>
      </c>
      <c r="AF134" s="476">
        <v>40</v>
      </c>
      <c r="AG134" s="554"/>
      <c r="AH134" s="554"/>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0" t="s">
        <v>2245</v>
      </c>
      <c r="Y135" s="246" t="s">
        <v>1395</v>
      </c>
      <c r="Z135" s="235" t="s">
        <v>566</v>
      </c>
      <c r="AA135" s="235">
        <v>13</v>
      </c>
      <c r="AB135" s="443" t="s">
        <v>2162</v>
      </c>
      <c r="AC135" s="238"/>
      <c r="AD135" s="292">
        <f t="shared" ref="AD135:AF137" si="22">AD136</f>
        <v>761</v>
      </c>
      <c r="AE135" s="476">
        <f t="shared" si="22"/>
        <v>0</v>
      </c>
      <c r="AF135" s="476">
        <f t="shared" si="22"/>
        <v>0</v>
      </c>
      <c r="AG135" s="554"/>
      <c r="AH135" s="554"/>
      <c r="AI135" s="456"/>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0" t="s">
        <v>2263</v>
      </c>
      <c r="Y136" s="246" t="s">
        <v>1395</v>
      </c>
      <c r="Z136" s="235" t="s">
        <v>566</v>
      </c>
      <c r="AA136" s="235">
        <v>13</v>
      </c>
      <c r="AB136" s="443" t="s">
        <v>2161</v>
      </c>
      <c r="AC136" s="238"/>
      <c r="AD136" s="292">
        <f t="shared" si="22"/>
        <v>761</v>
      </c>
      <c r="AE136" s="476">
        <f t="shared" si="22"/>
        <v>0</v>
      </c>
      <c r="AF136" s="476">
        <f t="shared" si="22"/>
        <v>0</v>
      </c>
      <c r="AG136" s="554"/>
      <c r="AH136" s="554"/>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20" t="s">
        <v>1782</v>
      </c>
      <c r="Y137" s="246" t="s">
        <v>1395</v>
      </c>
      <c r="Z137" s="235" t="s">
        <v>566</v>
      </c>
      <c r="AA137" s="235">
        <v>13</v>
      </c>
      <c r="AB137" s="443" t="s">
        <v>2161</v>
      </c>
      <c r="AC137" s="238">
        <v>200</v>
      </c>
      <c r="AD137" s="292">
        <f t="shared" si="22"/>
        <v>761</v>
      </c>
      <c r="AE137" s="476">
        <f t="shared" si="22"/>
        <v>0</v>
      </c>
      <c r="AF137" s="476">
        <f t="shared" si="22"/>
        <v>0</v>
      </c>
      <c r="AG137" s="554"/>
      <c r="AH137" s="554"/>
      <c r="AI137" s="456"/>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20" t="s">
        <v>1274</v>
      </c>
      <c r="Y138" s="246" t="s">
        <v>1395</v>
      </c>
      <c r="Z138" s="235" t="s">
        <v>566</v>
      </c>
      <c r="AA138" s="235">
        <v>13</v>
      </c>
      <c r="AB138" s="443" t="s">
        <v>2161</v>
      </c>
      <c r="AC138" s="238">
        <v>240</v>
      </c>
      <c r="AD138" s="292">
        <f>1958-1197</f>
        <v>761</v>
      </c>
      <c r="AE138" s="476">
        <v>0</v>
      </c>
      <c r="AF138" s="476">
        <v>0</v>
      </c>
      <c r="AG138" s="554"/>
      <c r="AH138" s="554"/>
      <c r="AI138" s="456"/>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49" t="s">
        <v>1958</v>
      </c>
      <c r="Y139" s="246" t="s">
        <v>1395</v>
      </c>
      <c r="Z139" s="235" t="s">
        <v>566</v>
      </c>
      <c r="AA139" s="235">
        <v>13</v>
      </c>
      <c r="AB139" s="443" t="s">
        <v>1959</v>
      </c>
      <c r="AC139" s="238"/>
      <c r="AD139" s="292">
        <f>AD140</f>
        <v>32528</v>
      </c>
      <c r="AE139" s="292">
        <f t="shared" ref="AE139:AF139" si="23">AE140</f>
        <v>26307</v>
      </c>
      <c r="AF139" s="292">
        <f t="shared" si="23"/>
        <v>26307</v>
      </c>
      <c r="AG139" s="554"/>
      <c r="AH139" s="554"/>
      <c r="AI139" s="456"/>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49" t="s">
        <v>2440</v>
      </c>
      <c r="Y140" s="246" t="s">
        <v>1395</v>
      </c>
      <c r="Z140" s="235" t="s">
        <v>566</v>
      </c>
      <c r="AA140" s="235">
        <v>13</v>
      </c>
      <c r="AB140" s="443" t="s">
        <v>1960</v>
      </c>
      <c r="AC140" s="238"/>
      <c r="AD140" s="292">
        <f>AD141+AD145</f>
        <v>32528</v>
      </c>
      <c r="AE140" s="476">
        <f t="shared" ref="AD140:AF141" si="24">AE141</f>
        <v>26307</v>
      </c>
      <c r="AF140" s="476">
        <f t="shared" si="24"/>
        <v>26307</v>
      </c>
      <c r="AG140" s="554"/>
      <c r="AH140" s="554"/>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49" t="s">
        <v>1961</v>
      </c>
      <c r="Y141" s="246" t="s">
        <v>1395</v>
      </c>
      <c r="Z141" s="235" t="s">
        <v>566</v>
      </c>
      <c r="AA141" s="235">
        <v>13</v>
      </c>
      <c r="AB141" s="443" t="s">
        <v>1962</v>
      </c>
      <c r="AC141" s="238"/>
      <c r="AD141" s="292">
        <f t="shared" si="24"/>
        <v>32307</v>
      </c>
      <c r="AE141" s="476">
        <f t="shared" si="24"/>
        <v>26307</v>
      </c>
      <c r="AF141" s="476">
        <f t="shared" si="24"/>
        <v>26307</v>
      </c>
      <c r="AG141" s="554"/>
      <c r="AH141" s="554"/>
      <c r="AI141" s="456"/>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30" t="s">
        <v>1963</v>
      </c>
      <c r="Y142" s="246" t="s">
        <v>1395</v>
      </c>
      <c r="Z142" s="235" t="s">
        <v>566</v>
      </c>
      <c r="AA142" s="235">
        <v>13</v>
      </c>
      <c r="AB142" s="443" t="s">
        <v>1964</v>
      </c>
      <c r="AC142" s="238"/>
      <c r="AD142" s="292">
        <f t="shared" ref="AD142:AF143" si="25">AD143</f>
        <v>32307</v>
      </c>
      <c r="AE142" s="476">
        <f t="shared" si="25"/>
        <v>26307</v>
      </c>
      <c r="AF142" s="476">
        <f t="shared" si="25"/>
        <v>26307</v>
      </c>
      <c r="AG142" s="554"/>
      <c r="AH142" s="554"/>
      <c r="AI142" s="456"/>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0" t="s">
        <v>1343</v>
      </c>
      <c r="Y143" s="246" t="s">
        <v>1395</v>
      </c>
      <c r="Z143" s="235" t="s">
        <v>566</v>
      </c>
      <c r="AA143" s="235">
        <v>13</v>
      </c>
      <c r="AB143" s="443" t="s">
        <v>1964</v>
      </c>
      <c r="AC143" s="238">
        <v>600</v>
      </c>
      <c r="AD143" s="292">
        <f t="shared" si="25"/>
        <v>32307</v>
      </c>
      <c r="AE143" s="476">
        <f t="shared" si="25"/>
        <v>26307</v>
      </c>
      <c r="AF143" s="476">
        <f t="shared" si="25"/>
        <v>26307</v>
      </c>
      <c r="AG143" s="554"/>
      <c r="AH143" s="554"/>
      <c r="AI143" s="456"/>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0" t="s">
        <v>1344</v>
      </c>
      <c r="Y144" s="246" t="s">
        <v>1395</v>
      </c>
      <c r="Z144" s="235" t="s">
        <v>566</v>
      </c>
      <c r="AA144" s="235">
        <v>13</v>
      </c>
      <c r="AB144" s="443" t="s">
        <v>1964</v>
      </c>
      <c r="AC144" s="238">
        <v>610</v>
      </c>
      <c r="AD144" s="292">
        <v>32307</v>
      </c>
      <c r="AE144" s="476">
        <v>26307</v>
      </c>
      <c r="AF144" s="476">
        <v>26307</v>
      </c>
      <c r="AG144" s="554"/>
      <c r="AH144" s="554"/>
      <c r="AI144" s="456"/>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0" t="s">
        <v>2425</v>
      </c>
      <c r="Y145" s="246" t="s">
        <v>1395</v>
      </c>
      <c r="Z145" s="235" t="s">
        <v>566</v>
      </c>
      <c r="AA145" s="235">
        <v>13</v>
      </c>
      <c r="AB145" s="443" t="s">
        <v>2426</v>
      </c>
      <c r="AC145" s="238"/>
      <c r="AD145" s="292">
        <f>AD146</f>
        <v>221</v>
      </c>
      <c r="AE145" s="292">
        <f t="shared" ref="AE145:AF145" si="26">AE146</f>
        <v>0</v>
      </c>
      <c r="AF145" s="292">
        <f t="shared" si="26"/>
        <v>0</v>
      </c>
      <c r="AG145" s="554"/>
      <c r="AH145" s="554"/>
      <c r="AI145" s="456"/>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0" t="s">
        <v>2443</v>
      </c>
      <c r="Y146" s="246" t="s">
        <v>1395</v>
      </c>
      <c r="Z146" s="235" t="s">
        <v>566</v>
      </c>
      <c r="AA146" s="235">
        <v>13</v>
      </c>
      <c r="AB146" s="443" t="s">
        <v>2427</v>
      </c>
      <c r="AC146" s="238"/>
      <c r="AD146" s="292">
        <f>AD147</f>
        <v>221</v>
      </c>
      <c r="AE146" s="292">
        <f t="shared" ref="AE146:AF146" si="27">AE147</f>
        <v>0</v>
      </c>
      <c r="AF146" s="292">
        <f t="shared" si="27"/>
        <v>0</v>
      </c>
      <c r="AG146" s="554"/>
      <c r="AH146" s="554"/>
      <c r="AI146" s="456"/>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20" t="s">
        <v>1343</v>
      </c>
      <c r="Y147" s="246" t="s">
        <v>1395</v>
      </c>
      <c r="Z147" s="235" t="s">
        <v>566</v>
      </c>
      <c r="AA147" s="235">
        <v>13</v>
      </c>
      <c r="AB147" s="443" t="s">
        <v>2427</v>
      </c>
      <c r="AC147" s="238">
        <v>600</v>
      </c>
      <c r="AD147" s="292">
        <f>AD148</f>
        <v>221</v>
      </c>
      <c r="AE147" s="292">
        <f t="shared" ref="AE147:AF147" si="28">AE148</f>
        <v>0</v>
      </c>
      <c r="AF147" s="292">
        <f t="shared" si="28"/>
        <v>0</v>
      </c>
      <c r="AG147" s="554"/>
      <c r="AH147" s="554"/>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20" t="s">
        <v>1344</v>
      </c>
      <c r="Y148" s="246" t="s">
        <v>1395</v>
      </c>
      <c r="Z148" s="235" t="s">
        <v>566</v>
      </c>
      <c r="AA148" s="235">
        <v>13</v>
      </c>
      <c r="AB148" s="443" t="s">
        <v>2427</v>
      </c>
      <c r="AC148" s="238">
        <v>610</v>
      </c>
      <c r="AD148" s="292">
        <v>221</v>
      </c>
      <c r="AE148" s="476">
        <v>0</v>
      </c>
      <c r="AF148" s="476">
        <v>0</v>
      </c>
      <c r="AG148" s="554"/>
      <c r="AH148" s="554"/>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49" t="s">
        <v>1946</v>
      </c>
      <c r="Y149" s="246" t="s">
        <v>1395</v>
      </c>
      <c r="Z149" s="235" t="s">
        <v>566</v>
      </c>
      <c r="AA149" s="235">
        <v>13</v>
      </c>
      <c r="AB149" s="443" t="s">
        <v>1816</v>
      </c>
      <c r="AC149" s="580"/>
      <c r="AD149" s="292">
        <f>AD150+AD153</f>
        <v>678</v>
      </c>
      <c r="AE149" s="476">
        <f>AE150+AE153</f>
        <v>100</v>
      </c>
      <c r="AF149" s="476">
        <f>AF150+AF153</f>
        <v>100</v>
      </c>
      <c r="AG149" s="554"/>
      <c r="AH149" s="554"/>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2" t="s">
        <v>1947</v>
      </c>
      <c r="Y150" s="246" t="s">
        <v>1395</v>
      </c>
      <c r="Z150" s="242" t="s">
        <v>566</v>
      </c>
      <c r="AA150" s="242">
        <v>13</v>
      </c>
      <c r="AB150" s="443" t="s">
        <v>1948</v>
      </c>
      <c r="AC150" s="582"/>
      <c r="AD150" s="292">
        <f t="shared" ref="AD150:AF151" si="29">AD151</f>
        <v>100</v>
      </c>
      <c r="AE150" s="476">
        <f t="shared" si="29"/>
        <v>100</v>
      </c>
      <c r="AF150" s="476">
        <f t="shared" si="29"/>
        <v>100</v>
      </c>
      <c r="AG150" s="554"/>
      <c r="AH150" s="554"/>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4" t="s">
        <v>924</v>
      </c>
      <c r="Y151" s="579" t="s">
        <v>1395</v>
      </c>
      <c r="Z151" s="242" t="s">
        <v>566</v>
      </c>
      <c r="AA151" s="242">
        <v>13</v>
      </c>
      <c r="AB151" s="443" t="s">
        <v>1948</v>
      </c>
      <c r="AC151" s="582">
        <v>800</v>
      </c>
      <c r="AD151" s="292">
        <f t="shared" si="29"/>
        <v>100</v>
      </c>
      <c r="AE151" s="476">
        <f t="shared" si="29"/>
        <v>100</v>
      </c>
      <c r="AF151" s="476">
        <f t="shared" si="29"/>
        <v>100</v>
      </c>
      <c r="AG151" s="554"/>
      <c r="AH151" s="554"/>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4" t="s">
        <v>1811</v>
      </c>
      <c r="Y152" s="579" t="s">
        <v>1395</v>
      </c>
      <c r="Z152" s="242" t="s">
        <v>566</v>
      </c>
      <c r="AA152" s="242">
        <v>13</v>
      </c>
      <c r="AB152" s="443" t="s">
        <v>1948</v>
      </c>
      <c r="AC152" s="582">
        <v>830</v>
      </c>
      <c r="AD152" s="292">
        <v>100</v>
      </c>
      <c r="AE152" s="476">
        <v>100</v>
      </c>
      <c r="AF152" s="476">
        <v>100</v>
      </c>
      <c r="AG152" s="554"/>
      <c r="AH152" s="554"/>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5" t="s">
        <v>2259</v>
      </c>
      <c r="Y153" s="544" t="s">
        <v>1395</v>
      </c>
      <c r="Z153" s="242" t="s">
        <v>566</v>
      </c>
      <c r="AA153" s="242">
        <v>13</v>
      </c>
      <c r="AB153" s="548" t="s">
        <v>2260</v>
      </c>
      <c r="AC153" s="582"/>
      <c r="AD153" s="292">
        <f>AD154</f>
        <v>578</v>
      </c>
      <c r="AE153" s="476">
        <f t="shared" ref="AE153:AF155" si="30">AE154</f>
        <v>0</v>
      </c>
      <c r="AF153" s="476">
        <f t="shared" si="30"/>
        <v>0</v>
      </c>
      <c r="AG153" s="554"/>
      <c r="AH153" s="554"/>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4" t="s">
        <v>2399</v>
      </c>
      <c r="Y154" s="544" t="s">
        <v>1395</v>
      </c>
      <c r="Z154" s="242" t="s">
        <v>566</v>
      </c>
      <c r="AA154" s="242">
        <v>13</v>
      </c>
      <c r="AB154" s="548" t="s">
        <v>2400</v>
      </c>
      <c r="AC154" s="582"/>
      <c r="AD154" s="292">
        <f>AD155</f>
        <v>578</v>
      </c>
      <c r="AE154" s="476">
        <f t="shared" si="30"/>
        <v>0</v>
      </c>
      <c r="AF154" s="476">
        <f t="shared" si="30"/>
        <v>0</v>
      </c>
      <c r="AG154" s="554"/>
      <c r="AH154" s="554"/>
      <c r="AI154" s="456"/>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20" t="s">
        <v>924</v>
      </c>
      <c r="Y155" s="544" t="s">
        <v>1395</v>
      </c>
      <c r="Z155" s="242" t="s">
        <v>566</v>
      </c>
      <c r="AA155" s="242">
        <v>13</v>
      </c>
      <c r="AB155" s="548" t="s">
        <v>2400</v>
      </c>
      <c r="AC155" s="582">
        <v>800</v>
      </c>
      <c r="AD155" s="292">
        <f>AD156</f>
        <v>578</v>
      </c>
      <c r="AE155" s="476">
        <f t="shared" si="30"/>
        <v>0</v>
      </c>
      <c r="AF155" s="476">
        <f t="shared" si="30"/>
        <v>0</v>
      </c>
      <c r="AG155" s="554"/>
      <c r="AH155" s="554"/>
      <c r="AI155" s="456"/>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20" t="s">
        <v>1320</v>
      </c>
      <c r="Y156" s="544" t="s">
        <v>1395</v>
      </c>
      <c r="Z156" s="242" t="s">
        <v>566</v>
      </c>
      <c r="AA156" s="242">
        <v>13</v>
      </c>
      <c r="AB156" s="548" t="s">
        <v>2400</v>
      </c>
      <c r="AC156" s="582">
        <v>850</v>
      </c>
      <c r="AD156" s="292">
        <f>293+150+135</f>
        <v>578</v>
      </c>
      <c r="AE156" s="476">
        <v>0</v>
      </c>
      <c r="AF156" s="476">
        <v>0</v>
      </c>
      <c r="AG156" s="554"/>
      <c r="AH156" s="554"/>
      <c r="AI156" s="456"/>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59" t="s">
        <v>271</v>
      </c>
      <c r="Y157" s="575" t="s">
        <v>1395</v>
      </c>
      <c r="Z157" s="247" t="s">
        <v>567</v>
      </c>
      <c r="AA157" s="247"/>
      <c r="AB157" s="271"/>
      <c r="AC157" s="576"/>
      <c r="AD157" s="745">
        <f>AD158+AD165</f>
        <v>4078.7</v>
      </c>
      <c r="AE157" s="479">
        <f>AE158+AE165</f>
        <v>3973</v>
      </c>
      <c r="AF157" s="479">
        <f>AF158+AF165</f>
        <v>3973</v>
      </c>
      <c r="AG157" s="647"/>
      <c r="AH157" s="647"/>
      <c r="AI157" s="456"/>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0" t="s">
        <v>281</v>
      </c>
      <c r="Y158" s="246" t="s">
        <v>1395</v>
      </c>
      <c r="Z158" s="235" t="s">
        <v>567</v>
      </c>
      <c r="AA158" s="235" t="s">
        <v>193</v>
      </c>
      <c r="AB158" s="249"/>
      <c r="AC158" s="577"/>
      <c r="AD158" s="292">
        <f>AD159</f>
        <v>3773</v>
      </c>
      <c r="AE158" s="476">
        <f>AE159</f>
        <v>3773</v>
      </c>
      <c r="AF158" s="476">
        <f>AF159</f>
        <v>3773</v>
      </c>
      <c r="AG158" s="554"/>
      <c r="AH158" s="554"/>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1" t="s">
        <v>2104</v>
      </c>
      <c r="Y159" s="246" t="s">
        <v>1395</v>
      </c>
      <c r="Z159" s="235" t="s">
        <v>567</v>
      </c>
      <c r="AA159" s="235" t="s">
        <v>193</v>
      </c>
      <c r="AB159" s="443" t="s">
        <v>1806</v>
      </c>
      <c r="AC159" s="577"/>
      <c r="AD159" s="292">
        <f t="shared" ref="AD159:AF162" si="31">AD160</f>
        <v>3773</v>
      </c>
      <c r="AE159" s="476">
        <f t="shared" si="31"/>
        <v>3773</v>
      </c>
      <c r="AF159" s="476">
        <f t="shared" si="31"/>
        <v>3773</v>
      </c>
      <c r="AG159" s="554"/>
      <c r="AH159" s="554"/>
      <c r="AI159" s="456"/>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1" t="s">
        <v>1161</v>
      </c>
      <c r="Y160" s="246" t="s">
        <v>1395</v>
      </c>
      <c r="Z160" s="235" t="s">
        <v>567</v>
      </c>
      <c r="AA160" s="235" t="s">
        <v>193</v>
      </c>
      <c r="AB160" s="443" t="s">
        <v>2119</v>
      </c>
      <c r="AC160" s="577"/>
      <c r="AD160" s="292">
        <f t="shared" si="31"/>
        <v>3773</v>
      </c>
      <c r="AE160" s="476">
        <f t="shared" si="31"/>
        <v>3773</v>
      </c>
      <c r="AF160" s="476">
        <f t="shared" si="31"/>
        <v>3773</v>
      </c>
      <c r="AG160" s="554"/>
      <c r="AH160" s="554"/>
      <c r="AI160" s="456"/>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29" t="s">
        <v>2120</v>
      </c>
      <c r="Y161" s="246" t="s">
        <v>1395</v>
      </c>
      <c r="Z161" s="235" t="s">
        <v>567</v>
      </c>
      <c r="AA161" s="235" t="s">
        <v>193</v>
      </c>
      <c r="AB161" s="443" t="s">
        <v>2121</v>
      </c>
      <c r="AC161" s="577"/>
      <c r="AD161" s="292">
        <f t="shared" si="31"/>
        <v>3773</v>
      </c>
      <c r="AE161" s="476">
        <f t="shared" si="31"/>
        <v>3773</v>
      </c>
      <c r="AF161" s="476">
        <f t="shared" si="31"/>
        <v>3773</v>
      </c>
      <c r="AG161" s="554"/>
      <c r="AH161" s="554"/>
      <c r="AI161" s="456"/>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1" t="s">
        <v>494</v>
      </c>
      <c r="Y162" s="246" t="s">
        <v>1395</v>
      </c>
      <c r="Z162" s="235" t="s">
        <v>567</v>
      </c>
      <c r="AA162" s="235" t="s">
        <v>193</v>
      </c>
      <c r="AB162" s="443" t="s">
        <v>2122</v>
      </c>
      <c r="AC162" s="583"/>
      <c r="AD162" s="292">
        <f t="shared" si="31"/>
        <v>3773</v>
      </c>
      <c r="AE162" s="476">
        <f t="shared" si="31"/>
        <v>3773</v>
      </c>
      <c r="AF162" s="476">
        <f t="shared" si="31"/>
        <v>3773</v>
      </c>
      <c r="AG162" s="554"/>
      <c r="AH162" s="554"/>
      <c r="AI162" s="456"/>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20" t="s">
        <v>922</v>
      </c>
      <c r="Y163" s="246" t="s">
        <v>1395</v>
      </c>
      <c r="Z163" s="235" t="s">
        <v>567</v>
      </c>
      <c r="AA163" s="235" t="s">
        <v>193</v>
      </c>
      <c r="AB163" s="443" t="s">
        <v>2122</v>
      </c>
      <c r="AC163" s="238">
        <v>100</v>
      </c>
      <c r="AD163" s="292">
        <f>AD164</f>
        <v>3773</v>
      </c>
      <c r="AE163" s="476">
        <f>AE164</f>
        <v>3773</v>
      </c>
      <c r="AF163" s="476">
        <f>AF164</f>
        <v>3773</v>
      </c>
      <c r="AG163" s="554"/>
      <c r="AH163" s="554"/>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20" t="s">
        <v>1748</v>
      </c>
      <c r="Y164" s="246" t="s">
        <v>1395</v>
      </c>
      <c r="Z164" s="235" t="s">
        <v>567</v>
      </c>
      <c r="AA164" s="235" t="s">
        <v>193</v>
      </c>
      <c r="AB164" s="443" t="s">
        <v>2122</v>
      </c>
      <c r="AC164" s="238">
        <v>120</v>
      </c>
      <c r="AD164" s="292">
        <v>3773</v>
      </c>
      <c r="AE164" s="476">
        <v>3773</v>
      </c>
      <c r="AF164" s="476">
        <v>3773</v>
      </c>
      <c r="AG164" s="554"/>
      <c r="AH164" s="554"/>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20" t="s">
        <v>1157</v>
      </c>
      <c r="Y165" s="246" t="s">
        <v>1395</v>
      </c>
      <c r="Z165" s="235" t="s">
        <v>567</v>
      </c>
      <c r="AA165" s="235" t="s">
        <v>1182</v>
      </c>
      <c r="AB165" s="249"/>
      <c r="AC165" s="238"/>
      <c r="AD165" s="292">
        <f t="shared" ref="AD165:AF170" si="32">AD166</f>
        <v>305.7</v>
      </c>
      <c r="AE165" s="476">
        <f t="shared" si="32"/>
        <v>200</v>
      </c>
      <c r="AF165" s="476">
        <f t="shared" si="32"/>
        <v>200</v>
      </c>
      <c r="AG165" s="554"/>
      <c r="AH165" s="554"/>
      <c r="AI165" s="456"/>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49" t="s">
        <v>1899</v>
      </c>
      <c r="Y166" s="246" t="s">
        <v>1395</v>
      </c>
      <c r="Z166" s="235" t="s">
        <v>567</v>
      </c>
      <c r="AA166" s="235" t="s">
        <v>1182</v>
      </c>
      <c r="AB166" s="443" t="s">
        <v>1772</v>
      </c>
      <c r="AC166" s="238"/>
      <c r="AD166" s="292">
        <f t="shared" si="32"/>
        <v>305.7</v>
      </c>
      <c r="AE166" s="476">
        <f t="shared" si="32"/>
        <v>200</v>
      </c>
      <c r="AF166" s="476">
        <f t="shared" si="32"/>
        <v>200</v>
      </c>
      <c r="AG166" s="554"/>
      <c r="AH166" s="554"/>
      <c r="AI166" s="456"/>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49" t="s">
        <v>1908</v>
      </c>
      <c r="Y167" s="246" t="s">
        <v>1395</v>
      </c>
      <c r="Z167" s="235" t="s">
        <v>567</v>
      </c>
      <c r="AA167" s="235" t="s">
        <v>1182</v>
      </c>
      <c r="AB167" s="443" t="s">
        <v>1909</v>
      </c>
      <c r="AC167" s="238"/>
      <c r="AD167" s="292">
        <f t="shared" ref="AD167:AF168" si="33">AD168</f>
        <v>305.7</v>
      </c>
      <c r="AE167" s="476">
        <f t="shared" si="33"/>
        <v>200</v>
      </c>
      <c r="AF167" s="476">
        <f t="shared" si="33"/>
        <v>200</v>
      </c>
      <c r="AG167" s="554"/>
      <c r="AH167" s="554"/>
      <c r="AI167" s="456"/>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49" t="s">
        <v>1910</v>
      </c>
      <c r="Y168" s="246" t="s">
        <v>1395</v>
      </c>
      <c r="Z168" s="235" t="s">
        <v>567</v>
      </c>
      <c r="AA168" s="235" t="s">
        <v>1182</v>
      </c>
      <c r="AB168" s="443" t="s">
        <v>1911</v>
      </c>
      <c r="AC168" s="238"/>
      <c r="AD168" s="292">
        <f t="shared" si="33"/>
        <v>305.7</v>
      </c>
      <c r="AE168" s="476">
        <f t="shared" si="33"/>
        <v>200</v>
      </c>
      <c r="AF168" s="476">
        <f t="shared" si="33"/>
        <v>200</v>
      </c>
      <c r="AG168" s="554"/>
      <c r="AH168" s="554"/>
      <c r="AI168" s="456"/>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2" t="s">
        <v>1942</v>
      </c>
      <c r="Y169" s="246" t="s">
        <v>1395</v>
      </c>
      <c r="Z169" s="235" t="s">
        <v>567</v>
      </c>
      <c r="AA169" s="235" t="s">
        <v>1182</v>
      </c>
      <c r="AB169" s="472" t="s">
        <v>1943</v>
      </c>
      <c r="AC169" s="576"/>
      <c r="AD169" s="292">
        <f t="shared" si="32"/>
        <v>305.7</v>
      </c>
      <c r="AE169" s="476">
        <f t="shared" si="32"/>
        <v>200</v>
      </c>
      <c r="AF169" s="476">
        <f t="shared" si="32"/>
        <v>200</v>
      </c>
      <c r="AG169" s="554"/>
      <c r="AH169" s="554"/>
      <c r="AI169" s="456"/>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20" t="s">
        <v>1782</v>
      </c>
      <c r="Y170" s="246" t="s">
        <v>1395</v>
      </c>
      <c r="Z170" s="235" t="s">
        <v>567</v>
      </c>
      <c r="AA170" s="235" t="s">
        <v>1182</v>
      </c>
      <c r="AB170" s="472" t="s">
        <v>1943</v>
      </c>
      <c r="AC170" s="584">
        <v>200</v>
      </c>
      <c r="AD170" s="292">
        <f t="shared" si="32"/>
        <v>305.7</v>
      </c>
      <c r="AE170" s="476">
        <f t="shared" si="32"/>
        <v>200</v>
      </c>
      <c r="AF170" s="476">
        <f t="shared" si="32"/>
        <v>200</v>
      </c>
      <c r="AG170" s="554"/>
      <c r="AH170" s="554"/>
      <c r="AI170" s="456"/>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20" t="s">
        <v>1274</v>
      </c>
      <c r="Y171" s="246" t="s">
        <v>1395</v>
      </c>
      <c r="Z171" s="235" t="s">
        <v>567</v>
      </c>
      <c r="AA171" s="235" t="s">
        <v>1182</v>
      </c>
      <c r="AB171" s="472" t="s">
        <v>1943</v>
      </c>
      <c r="AC171" s="584">
        <v>240</v>
      </c>
      <c r="AD171" s="292">
        <f>200+105.7</f>
        <v>305.7</v>
      </c>
      <c r="AE171" s="476">
        <v>200</v>
      </c>
      <c r="AF171" s="476">
        <v>200</v>
      </c>
      <c r="AG171" s="554"/>
      <c r="AH171" s="554"/>
      <c r="AI171" s="456"/>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59" t="s">
        <v>1050</v>
      </c>
      <c r="Y172" s="575" t="s">
        <v>1395</v>
      </c>
      <c r="Z172" s="247" t="s">
        <v>193</v>
      </c>
      <c r="AA172" s="247"/>
      <c r="AB172" s="271"/>
      <c r="AC172" s="576"/>
      <c r="AD172" s="745">
        <f>AD173+AD185+AD218</f>
        <v>43313.100000000006</v>
      </c>
      <c r="AE172" s="479">
        <f>AE173+AE185+AE218</f>
        <v>27440.400000000001</v>
      </c>
      <c r="AF172" s="479">
        <f>AF173+AF185+AF218</f>
        <v>27440.400000000001</v>
      </c>
      <c r="AG172" s="647"/>
      <c r="AH172" s="647"/>
      <c r="AI172" s="456"/>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20" t="s">
        <v>2315</v>
      </c>
      <c r="Y173" s="246" t="s">
        <v>1395</v>
      </c>
      <c r="Z173" s="235" t="s">
        <v>193</v>
      </c>
      <c r="AA173" s="235" t="s">
        <v>406</v>
      </c>
      <c r="AB173" s="249"/>
      <c r="AC173" s="577"/>
      <c r="AD173" s="292">
        <f>AD174</f>
        <v>1319.9</v>
      </c>
      <c r="AE173" s="476">
        <f>AE174</f>
        <v>1290</v>
      </c>
      <c r="AF173" s="476">
        <f>AF174</f>
        <v>1290</v>
      </c>
      <c r="AG173" s="554"/>
      <c r="AH173" s="554"/>
      <c r="AI173" s="456"/>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49" t="s">
        <v>1854</v>
      </c>
      <c r="Y174" s="246" t="s">
        <v>1395</v>
      </c>
      <c r="Z174" s="235" t="s">
        <v>193</v>
      </c>
      <c r="AA174" s="235" t="s">
        <v>406</v>
      </c>
      <c r="AB174" s="249" t="s">
        <v>1762</v>
      </c>
      <c r="AC174" s="577"/>
      <c r="AD174" s="292">
        <f>AD175+AD180</f>
        <v>1319.9</v>
      </c>
      <c r="AE174" s="476">
        <f>AE175+AE180</f>
        <v>1290</v>
      </c>
      <c r="AF174" s="476">
        <f>AF175+AF180</f>
        <v>1290</v>
      </c>
      <c r="AG174" s="554"/>
      <c r="AH174" s="554"/>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49" t="s">
        <v>2276</v>
      </c>
      <c r="Y175" s="246" t="s">
        <v>1395</v>
      </c>
      <c r="Z175" s="235" t="s">
        <v>193</v>
      </c>
      <c r="AA175" s="235" t="s">
        <v>406</v>
      </c>
      <c r="AB175" s="443" t="s">
        <v>1763</v>
      </c>
      <c r="AC175" s="577"/>
      <c r="AD175" s="292">
        <f t="shared" ref="AD175:AF178" si="34">AD176</f>
        <v>807.9</v>
      </c>
      <c r="AE175" s="476">
        <f t="shared" si="34"/>
        <v>593</v>
      </c>
      <c r="AF175" s="476">
        <f t="shared" si="34"/>
        <v>593</v>
      </c>
      <c r="AG175" s="554"/>
      <c r="AH175" s="554"/>
      <c r="AI175" s="456"/>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670" t="s">
        <v>2279</v>
      </c>
      <c r="Y176" s="246" t="s">
        <v>1395</v>
      </c>
      <c r="Z176" s="235" t="s">
        <v>193</v>
      </c>
      <c r="AA176" s="235" t="s">
        <v>406</v>
      </c>
      <c r="AB176" s="443" t="s">
        <v>1789</v>
      </c>
      <c r="AC176" s="577"/>
      <c r="AD176" s="292">
        <f t="shared" si="34"/>
        <v>807.9</v>
      </c>
      <c r="AE176" s="476">
        <f t="shared" si="34"/>
        <v>593</v>
      </c>
      <c r="AF176" s="476">
        <f t="shared" si="34"/>
        <v>593</v>
      </c>
      <c r="AG176" s="554"/>
      <c r="AH176" s="554"/>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30" t="s">
        <v>1879</v>
      </c>
      <c r="Y177" s="246" t="s">
        <v>1395</v>
      </c>
      <c r="Z177" s="235" t="s">
        <v>193</v>
      </c>
      <c r="AA177" s="235" t="s">
        <v>406</v>
      </c>
      <c r="AB177" s="443" t="s">
        <v>1880</v>
      </c>
      <c r="AC177" s="577"/>
      <c r="AD177" s="292">
        <f t="shared" si="34"/>
        <v>807.9</v>
      </c>
      <c r="AE177" s="476">
        <f t="shared" si="34"/>
        <v>593</v>
      </c>
      <c r="AF177" s="476">
        <f t="shared" si="34"/>
        <v>593</v>
      </c>
      <c r="AG177" s="554"/>
      <c r="AH177" s="554"/>
      <c r="AI177" s="456"/>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20" t="s">
        <v>1782</v>
      </c>
      <c r="Y178" s="246" t="s">
        <v>1395</v>
      </c>
      <c r="Z178" s="235" t="s">
        <v>193</v>
      </c>
      <c r="AA178" s="235" t="s">
        <v>406</v>
      </c>
      <c r="AB178" s="443" t="s">
        <v>1880</v>
      </c>
      <c r="AC178" s="577">
        <v>200</v>
      </c>
      <c r="AD178" s="292">
        <f t="shared" si="34"/>
        <v>807.9</v>
      </c>
      <c r="AE178" s="476">
        <f t="shared" si="34"/>
        <v>593</v>
      </c>
      <c r="AF178" s="476">
        <f t="shared" si="34"/>
        <v>593</v>
      </c>
      <c r="AG178" s="554"/>
      <c r="AH178" s="554"/>
      <c r="AI178" s="456"/>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20" t="s">
        <v>1274</v>
      </c>
      <c r="Y179" s="246" t="s">
        <v>1395</v>
      </c>
      <c r="Z179" s="235" t="s">
        <v>193</v>
      </c>
      <c r="AA179" s="235" t="s">
        <v>406</v>
      </c>
      <c r="AB179" s="443" t="s">
        <v>1880</v>
      </c>
      <c r="AC179" s="577">
        <v>240</v>
      </c>
      <c r="AD179" s="292">
        <f>593+200-15+29.9</f>
        <v>807.9</v>
      </c>
      <c r="AE179" s="476">
        <v>593</v>
      </c>
      <c r="AF179" s="476">
        <v>593</v>
      </c>
      <c r="AG179" s="554"/>
      <c r="AH179" s="554"/>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49" t="s">
        <v>2278</v>
      </c>
      <c r="Y180" s="246" t="s">
        <v>1395</v>
      </c>
      <c r="Z180" s="235" t="s">
        <v>193</v>
      </c>
      <c r="AA180" s="235" t="s">
        <v>406</v>
      </c>
      <c r="AB180" s="443" t="s">
        <v>1768</v>
      </c>
      <c r="AC180" s="580"/>
      <c r="AD180" s="292">
        <f t="shared" ref="AD180:AF181" si="35">AD181</f>
        <v>512</v>
      </c>
      <c r="AE180" s="476">
        <f t="shared" si="35"/>
        <v>697</v>
      </c>
      <c r="AF180" s="476">
        <f t="shared" si="35"/>
        <v>697</v>
      </c>
      <c r="AG180" s="554"/>
      <c r="AH180" s="554"/>
      <c r="AI180" s="456"/>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30" t="s">
        <v>1882</v>
      </c>
      <c r="Y181" s="246" t="s">
        <v>1395</v>
      </c>
      <c r="Z181" s="235" t="s">
        <v>193</v>
      </c>
      <c r="AA181" s="235" t="s">
        <v>406</v>
      </c>
      <c r="AB181" s="443" t="s">
        <v>1791</v>
      </c>
      <c r="AC181" s="580"/>
      <c r="AD181" s="292">
        <f t="shared" si="35"/>
        <v>512</v>
      </c>
      <c r="AE181" s="476">
        <f t="shared" si="35"/>
        <v>697</v>
      </c>
      <c r="AF181" s="476">
        <f t="shared" si="35"/>
        <v>697</v>
      </c>
      <c r="AG181" s="554"/>
      <c r="AH181" s="554"/>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2" t="s">
        <v>1883</v>
      </c>
      <c r="Y182" s="246" t="s">
        <v>1395</v>
      </c>
      <c r="Z182" s="235" t="s">
        <v>193</v>
      </c>
      <c r="AA182" s="235" t="s">
        <v>406</v>
      </c>
      <c r="AB182" s="443" t="s">
        <v>1884</v>
      </c>
      <c r="AC182" s="580"/>
      <c r="AD182" s="292">
        <f t="shared" ref="AD182:AF183" si="36">AD183</f>
        <v>512</v>
      </c>
      <c r="AE182" s="476">
        <f t="shared" si="36"/>
        <v>697</v>
      </c>
      <c r="AF182" s="476">
        <f t="shared" si="36"/>
        <v>697</v>
      </c>
      <c r="AG182" s="554"/>
      <c r="AH182" s="554"/>
      <c r="AI182" s="456"/>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0" t="s">
        <v>1782</v>
      </c>
      <c r="Y183" s="246" t="s">
        <v>1395</v>
      </c>
      <c r="Z183" s="235" t="s">
        <v>193</v>
      </c>
      <c r="AA183" s="235" t="s">
        <v>406</v>
      </c>
      <c r="AB183" s="443" t="s">
        <v>1884</v>
      </c>
      <c r="AC183" s="580" t="s">
        <v>821</v>
      </c>
      <c r="AD183" s="292">
        <f t="shared" si="36"/>
        <v>512</v>
      </c>
      <c r="AE183" s="476">
        <f t="shared" si="36"/>
        <v>697</v>
      </c>
      <c r="AF183" s="476">
        <f t="shared" si="36"/>
        <v>697</v>
      </c>
      <c r="AG183" s="554"/>
      <c r="AH183" s="554"/>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20" t="s">
        <v>1274</v>
      </c>
      <c r="Y184" s="246" t="s">
        <v>1395</v>
      </c>
      <c r="Z184" s="235" t="s">
        <v>193</v>
      </c>
      <c r="AA184" s="235" t="s">
        <v>406</v>
      </c>
      <c r="AB184" s="443" t="s">
        <v>1884</v>
      </c>
      <c r="AC184" s="580" t="s">
        <v>1480</v>
      </c>
      <c r="AD184" s="292">
        <f>697-200+15</f>
        <v>512</v>
      </c>
      <c r="AE184" s="476">
        <v>697</v>
      </c>
      <c r="AF184" s="476">
        <v>697</v>
      </c>
      <c r="AG184" s="554"/>
      <c r="AH184" s="554"/>
      <c r="AI184" s="456"/>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20" t="s">
        <v>2326</v>
      </c>
      <c r="Y185" s="246" t="s">
        <v>1395</v>
      </c>
      <c r="Z185" s="235" t="s">
        <v>193</v>
      </c>
      <c r="AA185" s="235" t="s">
        <v>768</v>
      </c>
      <c r="AB185" s="249"/>
      <c r="AC185" s="577"/>
      <c r="AD185" s="292">
        <f>AD186+AD212</f>
        <v>22063.899999999998</v>
      </c>
      <c r="AE185" s="476">
        <f>AE186+AE212</f>
        <v>18952.400000000001</v>
      </c>
      <c r="AF185" s="476">
        <f>AF186+AF212</f>
        <v>18952.400000000001</v>
      </c>
      <c r="AG185" s="554"/>
      <c r="AH185" s="554"/>
      <c r="AI185" s="456"/>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49" t="s">
        <v>1854</v>
      </c>
      <c r="Y186" s="246" t="s">
        <v>1395</v>
      </c>
      <c r="Z186" s="235" t="s">
        <v>193</v>
      </c>
      <c r="AA186" s="235" t="s">
        <v>768</v>
      </c>
      <c r="AB186" s="249" t="s">
        <v>1762</v>
      </c>
      <c r="AC186" s="577"/>
      <c r="AD186" s="292">
        <f>AD187+AD198+AD203</f>
        <v>22059.399999999998</v>
      </c>
      <c r="AE186" s="476">
        <f>AE187+AE198+AE203</f>
        <v>18947.900000000001</v>
      </c>
      <c r="AF186" s="476">
        <f>AF187+AF198+AF203</f>
        <v>18947.900000000001</v>
      </c>
      <c r="AG186" s="554"/>
      <c r="AH186" s="554"/>
      <c r="AI186" s="456"/>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49" t="s">
        <v>2339</v>
      </c>
      <c r="Y187" s="246" t="s">
        <v>1395</v>
      </c>
      <c r="Z187" s="235" t="s">
        <v>193</v>
      </c>
      <c r="AA187" s="235" t="s">
        <v>768</v>
      </c>
      <c r="AB187" s="443" t="s">
        <v>1767</v>
      </c>
      <c r="AC187" s="580"/>
      <c r="AD187" s="292">
        <f>AD188+AD192</f>
        <v>1384.1</v>
      </c>
      <c r="AE187" s="476">
        <f>AE188+AE192</f>
        <v>780</v>
      </c>
      <c r="AF187" s="476">
        <f>AF188+AF192</f>
        <v>780</v>
      </c>
      <c r="AG187" s="554"/>
      <c r="AH187" s="554"/>
      <c r="AI187" s="456"/>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7" t="s">
        <v>2275</v>
      </c>
      <c r="Y188" s="246" t="s">
        <v>1395</v>
      </c>
      <c r="Z188" s="235" t="s">
        <v>193</v>
      </c>
      <c r="AA188" s="235" t="s">
        <v>768</v>
      </c>
      <c r="AB188" s="443" t="s">
        <v>1788</v>
      </c>
      <c r="AC188" s="580"/>
      <c r="AD188" s="292">
        <f t="shared" ref="AD188:AF190" si="37">AD189</f>
        <v>644</v>
      </c>
      <c r="AE188" s="476">
        <f t="shared" si="37"/>
        <v>710</v>
      </c>
      <c r="AF188" s="476">
        <f t="shared" si="37"/>
        <v>710</v>
      </c>
      <c r="AG188" s="554"/>
      <c r="AH188" s="554"/>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30" t="s">
        <v>1872</v>
      </c>
      <c r="Y189" s="246" t="s">
        <v>1395</v>
      </c>
      <c r="Z189" s="235" t="s">
        <v>193</v>
      </c>
      <c r="AA189" s="235" t="s">
        <v>768</v>
      </c>
      <c r="AB189" s="443" t="s">
        <v>1873</v>
      </c>
      <c r="AC189" s="580"/>
      <c r="AD189" s="292">
        <f t="shared" si="37"/>
        <v>644</v>
      </c>
      <c r="AE189" s="476">
        <f t="shared" si="37"/>
        <v>710</v>
      </c>
      <c r="AF189" s="476">
        <f t="shared" si="37"/>
        <v>710</v>
      </c>
      <c r="AG189" s="554"/>
      <c r="AH189" s="554"/>
      <c r="AI189" s="456"/>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4" t="s">
        <v>1782</v>
      </c>
      <c r="Y190" s="579" t="s">
        <v>1395</v>
      </c>
      <c r="Z190" s="235" t="s">
        <v>193</v>
      </c>
      <c r="AA190" s="235" t="s">
        <v>768</v>
      </c>
      <c r="AB190" s="443" t="s">
        <v>1873</v>
      </c>
      <c r="AC190" s="585" t="s">
        <v>821</v>
      </c>
      <c r="AD190" s="292">
        <f t="shared" si="37"/>
        <v>644</v>
      </c>
      <c r="AE190" s="476">
        <f t="shared" si="37"/>
        <v>710</v>
      </c>
      <c r="AF190" s="476">
        <f t="shared" si="37"/>
        <v>710</v>
      </c>
      <c r="AG190" s="554"/>
      <c r="AH190" s="554"/>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4" t="s">
        <v>1274</v>
      </c>
      <c r="Y191" s="579" t="s">
        <v>1395</v>
      </c>
      <c r="Z191" s="235" t="s">
        <v>193</v>
      </c>
      <c r="AA191" s="235" t="s">
        <v>768</v>
      </c>
      <c r="AB191" s="443" t="s">
        <v>1873</v>
      </c>
      <c r="AC191" s="585" t="s">
        <v>1480</v>
      </c>
      <c r="AD191" s="292">
        <f>710-66</f>
        <v>644</v>
      </c>
      <c r="AE191" s="476">
        <v>710</v>
      </c>
      <c r="AF191" s="476">
        <v>710</v>
      </c>
      <c r="AG191" s="554"/>
      <c r="AH191" s="554"/>
      <c r="AI191" s="456"/>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30" t="s">
        <v>2274</v>
      </c>
      <c r="Y192" s="579" t="s">
        <v>1395</v>
      </c>
      <c r="Z192" s="235" t="s">
        <v>193</v>
      </c>
      <c r="AA192" s="235" t="s">
        <v>768</v>
      </c>
      <c r="AB192" s="443" t="s">
        <v>1874</v>
      </c>
      <c r="AC192" s="238"/>
      <c r="AD192" s="292">
        <f>AD193</f>
        <v>740.1</v>
      </c>
      <c r="AE192" s="476">
        <f>AE193</f>
        <v>70</v>
      </c>
      <c r="AF192" s="476">
        <f>AF193</f>
        <v>70</v>
      </c>
      <c r="AG192" s="554"/>
      <c r="AH192" s="554"/>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30" t="s">
        <v>1875</v>
      </c>
      <c r="Y193" s="579" t="s">
        <v>1395</v>
      </c>
      <c r="Z193" s="235" t="s">
        <v>193</v>
      </c>
      <c r="AA193" s="235" t="s">
        <v>768</v>
      </c>
      <c r="AB193" s="443" t="s">
        <v>1876</v>
      </c>
      <c r="AC193" s="238"/>
      <c r="AD193" s="292">
        <f>AD194+AD196</f>
        <v>740.1</v>
      </c>
      <c r="AE193" s="292">
        <f>AE194+AE196</f>
        <v>70</v>
      </c>
      <c r="AF193" s="292">
        <f>AF194+AF196</f>
        <v>70</v>
      </c>
      <c r="AG193" s="554"/>
      <c r="AH193" s="554"/>
      <c r="AI193" s="456"/>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0" t="s">
        <v>1782</v>
      </c>
      <c r="Y194" s="246" t="s">
        <v>1395</v>
      </c>
      <c r="Z194" s="235" t="s">
        <v>193</v>
      </c>
      <c r="AA194" s="235" t="s">
        <v>768</v>
      </c>
      <c r="AB194" s="443" t="s">
        <v>1876</v>
      </c>
      <c r="AC194" s="580" t="s">
        <v>821</v>
      </c>
      <c r="AD194" s="292">
        <f>AD195</f>
        <v>40.1</v>
      </c>
      <c r="AE194" s="476">
        <f>AE195</f>
        <v>70</v>
      </c>
      <c r="AF194" s="476">
        <f>AF195</f>
        <v>70</v>
      </c>
      <c r="AG194" s="554"/>
      <c r="AH194" s="554"/>
      <c r="AI194" s="456"/>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0" t="s">
        <v>1274</v>
      </c>
      <c r="Y195" s="246" t="s">
        <v>1395</v>
      </c>
      <c r="Z195" s="235" t="s">
        <v>193</v>
      </c>
      <c r="AA195" s="235" t="s">
        <v>768</v>
      </c>
      <c r="AB195" s="443" t="s">
        <v>1876</v>
      </c>
      <c r="AC195" s="580" t="s">
        <v>1480</v>
      </c>
      <c r="AD195" s="292">
        <f>70-29.9</f>
        <v>40.1</v>
      </c>
      <c r="AE195" s="476">
        <v>70</v>
      </c>
      <c r="AF195" s="476">
        <v>70</v>
      </c>
      <c r="AG195" s="554"/>
      <c r="AH195" s="554"/>
      <c r="AI195" s="456"/>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20" t="s">
        <v>1343</v>
      </c>
      <c r="Y196" s="246" t="s">
        <v>1395</v>
      </c>
      <c r="Z196" s="235" t="s">
        <v>193</v>
      </c>
      <c r="AA196" s="235" t="s">
        <v>768</v>
      </c>
      <c r="AB196" s="443" t="s">
        <v>1876</v>
      </c>
      <c r="AC196" s="580" t="s">
        <v>2397</v>
      </c>
      <c r="AD196" s="292">
        <f>AD197</f>
        <v>700</v>
      </c>
      <c r="AE196" s="292">
        <f>AE197</f>
        <v>0</v>
      </c>
      <c r="AF196" s="292">
        <f>AF197</f>
        <v>0</v>
      </c>
      <c r="AG196" s="554"/>
      <c r="AH196" s="554"/>
      <c r="AI196" s="456"/>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20" t="s">
        <v>1344</v>
      </c>
      <c r="Y197" s="246" t="s">
        <v>1395</v>
      </c>
      <c r="Z197" s="235" t="s">
        <v>193</v>
      </c>
      <c r="AA197" s="235" t="s">
        <v>768</v>
      </c>
      <c r="AB197" s="443" t="s">
        <v>1876</v>
      </c>
      <c r="AC197" s="580" t="s">
        <v>2398</v>
      </c>
      <c r="AD197" s="292">
        <v>700</v>
      </c>
      <c r="AE197" s="476">
        <v>0</v>
      </c>
      <c r="AF197" s="476">
        <v>0</v>
      </c>
      <c r="AG197" s="554"/>
      <c r="AH197" s="554"/>
      <c r="AI197" s="456"/>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49" t="s">
        <v>2277</v>
      </c>
      <c r="Y198" s="246" t="s">
        <v>1395</v>
      </c>
      <c r="Z198" s="235" t="s">
        <v>193</v>
      </c>
      <c r="AA198" s="235" t="s">
        <v>768</v>
      </c>
      <c r="AB198" s="443" t="s">
        <v>1764</v>
      </c>
      <c r="AC198" s="238"/>
      <c r="AD198" s="292">
        <f t="shared" ref="AD198:AF200" si="38">AD199</f>
        <v>478.3</v>
      </c>
      <c r="AE198" s="476">
        <f t="shared" si="38"/>
        <v>656</v>
      </c>
      <c r="AF198" s="476">
        <f t="shared" si="38"/>
        <v>656</v>
      </c>
      <c r="AG198" s="554"/>
      <c r="AH198" s="554"/>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30" t="s">
        <v>1881</v>
      </c>
      <c r="Y199" s="246" t="s">
        <v>1395</v>
      </c>
      <c r="Z199" s="235" t="s">
        <v>193</v>
      </c>
      <c r="AA199" s="235" t="s">
        <v>768</v>
      </c>
      <c r="AB199" s="443" t="s">
        <v>1790</v>
      </c>
      <c r="AC199" s="580"/>
      <c r="AD199" s="292">
        <f t="shared" si="38"/>
        <v>478.3</v>
      </c>
      <c r="AE199" s="476">
        <f t="shared" si="38"/>
        <v>656</v>
      </c>
      <c r="AF199" s="476">
        <f t="shared" si="38"/>
        <v>656</v>
      </c>
      <c r="AG199" s="554"/>
      <c r="AH199" s="554"/>
      <c r="AI199" s="456"/>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0" t="s">
        <v>1877</v>
      </c>
      <c r="Y200" s="246" t="s">
        <v>1395</v>
      </c>
      <c r="Z200" s="235" t="s">
        <v>193</v>
      </c>
      <c r="AA200" s="235" t="s">
        <v>768</v>
      </c>
      <c r="AB200" s="443" t="s">
        <v>1878</v>
      </c>
      <c r="AC200" s="238"/>
      <c r="AD200" s="292">
        <f>AD201</f>
        <v>478.3</v>
      </c>
      <c r="AE200" s="292">
        <f t="shared" si="38"/>
        <v>656</v>
      </c>
      <c r="AF200" s="292">
        <f t="shared" si="38"/>
        <v>656</v>
      </c>
      <c r="AG200" s="554"/>
      <c r="AH200" s="554"/>
      <c r="AI200" s="456"/>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20" t="s">
        <v>1782</v>
      </c>
      <c r="Y201" s="246" t="s">
        <v>1395</v>
      </c>
      <c r="Z201" s="235" t="s">
        <v>193</v>
      </c>
      <c r="AA201" s="235" t="s">
        <v>768</v>
      </c>
      <c r="AB201" s="443" t="s">
        <v>1878</v>
      </c>
      <c r="AC201" s="580" t="s">
        <v>821</v>
      </c>
      <c r="AD201" s="292">
        <f>AD202</f>
        <v>478.3</v>
      </c>
      <c r="AE201" s="476">
        <f>AE202</f>
        <v>656</v>
      </c>
      <c r="AF201" s="476">
        <f>AF202</f>
        <v>656</v>
      </c>
      <c r="AG201" s="554"/>
      <c r="AH201" s="554"/>
      <c r="AI201" s="456"/>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20" t="s">
        <v>1274</v>
      </c>
      <c r="Y202" s="246" t="s">
        <v>1395</v>
      </c>
      <c r="Z202" s="235" t="s">
        <v>193</v>
      </c>
      <c r="AA202" s="235" t="s">
        <v>768</v>
      </c>
      <c r="AB202" s="443" t="s">
        <v>1878</v>
      </c>
      <c r="AC202" s="580" t="s">
        <v>1480</v>
      </c>
      <c r="AD202" s="292">
        <f>656-30-120-27.7</f>
        <v>478.3</v>
      </c>
      <c r="AE202" s="476">
        <v>656</v>
      </c>
      <c r="AF202" s="476">
        <v>656</v>
      </c>
      <c r="AG202" s="554"/>
      <c r="AH202" s="554"/>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0" t="s">
        <v>1161</v>
      </c>
      <c r="Y203" s="246" t="s">
        <v>1395</v>
      </c>
      <c r="Z203" s="235" t="s">
        <v>193</v>
      </c>
      <c r="AA203" s="235" t="s">
        <v>768</v>
      </c>
      <c r="AB203" s="443" t="s">
        <v>1765</v>
      </c>
      <c r="AC203" s="580"/>
      <c r="AD203" s="292">
        <f t="shared" ref="AD203:AF204" si="39">AD204</f>
        <v>20196.999999999996</v>
      </c>
      <c r="AE203" s="476">
        <f t="shared" si="39"/>
        <v>17511.900000000001</v>
      </c>
      <c r="AF203" s="476">
        <f t="shared" si="39"/>
        <v>17511.900000000001</v>
      </c>
      <c r="AG203" s="554"/>
      <c r="AH203" s="554"/>
      <c r="AI203" s="456"/>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30" t="s">
        <v>2043</v>
      </c>
      <c r="Y204" s="246" t="s">
        <v>1395</v>
      </c>
      <c r="Z204" s="235" t="s">
        <v>193</v>
      </c>
      <c r="AA204" s="235" t="s">
        <v>768</v>
      </c>
      <c r="AB204" s="443" t="s">
        <v>2248</v>
      </c>
      <c r="AC204" s="580"/>
      <c r="AD204" s="292">
        <f t="shared" si="39"/>
        <v>20196.999999999996</v>
      </c>
      <c r="AE204" s="476">
        <f t="shared" si="39"/>
        <v>17511.900000000001</v>
      </c>
      <c r="AF204" s="476">
        <f t="shared" si="39"/>
        <v>17511.900000000001</v>
      </c>
      <c r="AG204" s="554"/>
      <c r="AH204" s="554"/>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30" t="s">
        <v>1885</v>
      </c>
      <c r="Y205" s="246" t="s">
        <v>1395</v>
      </c>
      <c r="Z205" s="235" t="s">
        <v>193</v>
      </c>
      <c r="AA205" s="235" t="s">
        <v>768</v>
      </c>
      <c r="AB205" s="443" t="s">
        <v>1886</v>
      </c>
      <c r="AC205" s="580"/>
      <c r="AD205" s="292">
        <f>AD206+AD208+AD210</f>
        <v>20196.999999999996</v>
      </c>
      <c r="AE205" s="476">
        <f>AE206+AE208</f>
        <v>17511.900000000001</v>
      </c>
      <c r="AF205" s="476">
        <f>AF206+AF208</f>
        <v>17511.900000000001</v>
      </c>
      <c r="AG205" s="554"/>
      <c r="AH205" s="554"/>
      <c r="AI205" s="456"/>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0" t="s">
        <v>1834</v>
      </c>
      <c r="Y206" s="246" t="s">
        <v>1395</v>
      </c>
      <c r="Z206" s="235" t="s">
        <v>193</v>
      </c>
      <c r="AA206" s="235" t="s">
        <v>768</v>
      </c>
      <c r="AB206" s="443" t="s">
        <v>1886</v>
      </c>
      <c r="AC206" s="580" t="s">
        <v>1798</v>
      </c>
      <c r="AD206" s="292">
        <f>AD207</f>
        <v>17768.899999999998</v>
      </c>
      <c r="AE206" s="476">
        <f>AE207</f>
        <v>15082.9</v>
      </c>
      <c r="AF206" s="476">
        <f>AF207</f>
        <v>15082.9</v>
      </c>
      <c r="AG206" s="554"/>
      <c r="AH206" s="554"/>
      <c r="AI206" s="456"/>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0" t="s">
        <v>1569</v>
      </c>
      <c r="Y207" s="246" t="s">
        <v>1395</v>
      </c>
      <c r="Z207" s="235" t="s">
        <v>193</v>
      </c>
      <c r="AA207" s="235" t="s">
        <v>768</v>
      </c>
      <c r="AB207" s="443" t="s">
        <v>1886</v>
      </c>
      <c r="AC207" s="580" t="s">
        <v>1799</v>
      </c>
      <c r="AD207" s="292">
        <f>15082.9+0.9+2685.1</f>
        <v>17768.899999999998</v>
      </c>
      <c r="AE207" s="476">
        <v>15082.9</v>
      </c>
      <c r="AF207" s="476">
        <v>15082.9</v>
      </c>
      <c r="AG207" s="554"/>
      <c r="AH207" s="554"/>
      <c r="AI207" s="891"/>
      <c r="AJ207" s="892"/>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0" t="s">
        <v>1782</v>
      </c>
      <c r="Y208" s="246" t="s">
        <v>1395</v>
      </c>
      <c r="Z208" s="235" t="s">
        <v>193</v>
      </c>
      <c r="AA208" s="235" t="s">
        <v>768</v>
      </c>
      <c r="AB208" s="443" t="s">
        <v>1886</v>
      </c>
      <c r="AC208" s="580" t="s">
        <v>821</v>
      </c>
      <c r="AD208" s="292">
        <f>AD209</f>
        <v>2428</v>
      </c>
      <c r="AE208" s="476">
        <f>AE209</f>
        <v>2429</v>
      </c>
      <c r="AF208" s="476">
        <f>AF209</f>
        <v>2429</v>
      </c>
      <c r="AG208" s="554"/>
      <c r="AH208" s="554"/>
      <c r="AI208" s="456"/>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0" t="s">
        <v>1274</v>
      </c>
      <c r="Y209" s="246" t="s">
        <v>1395</v>
      </c>
      <c r="Z209" s="235" t="s">
        <v>193</v>
      </c>
      <c r="AA209" s="235" t="s">
        <v>768</v>
      </c>
      <c r="AB209" s="443" t="s">
        <v>1886</v>
      </c>
      <c r="AC209" s="580" t="s">
        <v>1480</v>
      </c>
      <c r="AD209" s="292">
        <f>2429-0.1-0.9</f>
        <v>2428</v>
      </c>
      <c r="AE209" s="476">
        <v>2429</v>
      </c>
      <c r="AF209" s="476">
        <v>2429</v>
      </c>
      <c r="AG209" s="554"/>
      <c r="AH209" s="554"/>
      <c r="AI209" s="628"/>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0" t="s">
        <v>924</v>
      </c>
      <c r="Y210" s="246" t="s">
        <v>1395</v>
      </c>
      <c r="Z210" s="235" t="s">
        <v>193</v>
      </c>
      <c r="AA210" s="235" t="s">
        <v>768</v>
      </c>
      <c r="AB210" s="443" t="s">
        <v>1886</v>
      </c>
      <c r="AC210" s="580" t="s">
        <v>2242</v>
      </c>
      <c r="AD210" s="292">
        <f>AD211</f>
        <v>0.1</v>
      </c>
      <c r="AE210" s="476">
        <f>AE211</f>
        <v>0</v>
      </c>
      <c r="AF210" s="476">
        <f>AF211</f>
        <v>0</v>
      </c>
      <c r="AG210" s="554"/>
      <c r="AH210" s="554"/>
      <c r="AI210" s="628"/>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0" t="s">
        <v>1320</v>
      </c>
      <c r="Y211" s="246" t="s">
        <v>1395</v>
      </c>
      <c r="Z211" s="235" t="s">
        <v>193</v>
      </c>
      <c r="AA211" s="235" t="s">
        <v>768</v>
      </c>
      <c r="AB211" s="443" t="s">
        <v>1886</v>
      </c>
      <c r="AC211" s="580" t="s">
        <v>2394</v>
      </c>
      <c r="AD211" s="292">
        <v>0.1</v>
      </c>
      <c r="AE211" s="476">
        <v>0</v>
      </c>
      <c r="AF211" s="476">
        <v>0</v>
      </c>
      <c r="AG211" s="554"/>
      <c r="AH211" s="554"/>
      <c r="AI211" s="628"/>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1" t="s">
        <v>2104</v>
      </c>
      <c r="Y212" s="246" t="s">
        <v>1395</v>
      </c>
      <c r="Z212" s="235" t="s">
        <v>193</v>
      </c>
      <c r="AA212" s="235" t="s">
        <v>768</v>
      </c>
      <c r="AB212" s="443" t="s">
        <v>1806</v>
      </c>
      <c r="AC212" s="238"/>
      <c r="AD212" s="292">
        <f t="shared" ref="AD212:AF214" si="40">AD213</f>
        <v>4.5</v>
      </c>
      <c r="AE212" s="476">
        <f t="shared" si="40"/>
        <v>4.5</v>
      </c>
      <c r="AF212" s="476">
        <f t="shared" si="40"/>
        <v>4.5</v>
      </c>
      <c r="AG212" s="554"/>
      <c r="AH212" s="554"/>
      <c r="AI212" s="456"/>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1" t="s">
        <v>2105</v>
      </c>
      <c r="Y213" s="246" t="s">
        <v>1395</v>
      </c>
      <c r="Z213" s="235" t="s">
        <v>193</v>
      </c>
      <c r="AA213" s="235" t="s">
        <v>768</v>
      </c>
      <c r="AB213" s="443" t="s">
        <v>2106</v>
      </c>
      <c r="AC213" s="238"/>
      <c r="AD213" s="292">
        <f t="shared" si="40"/>
        <v>4.5</v>
      </c>
      <c r="AE213" s="476">
        <f t="shared" si="40"/>
        <v>4.5</v>
      </c>
      <c r="AF213" s="476">
        <f t="shared" si="40"/>
        <v>4.5</v>
      </c>
      <c r="AG213" s="554"/>
      <c r="AH213" s="554"/>
      <c r="AI213" s="456"/>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9" t="s">
        <v>2107</v>
      </c>
      <c r="Y214" s="246" t="s">
        <v>1395</v>
      </c>
      <c r="Z214" s="235" t="s">
        <v>193</v>
      </c>
      <c r="AA214" s="235" t="s">
        <v>768</v>
      </c>
      <c r="AB214" s="443" t="s">
        <v>2108</v>
      </c>
      <c r="AC214" s="238"/>
      <c r="AD214" s="292">
        <f t="shared" si="40"/>
        <v>4.5</v>
      </c>
      <c r="AE214" s="476">
        <f t="shared" si="40"/>
        <v>4.5</v>
      </c>
      <c r="AF214" s="476">
        <f t="shared" si="40"/>
        <v>4.5</v>
      </c>
      <c r="AG214" s="554"/>
      <c r="AH214" s="554"/>
      <c r="AI214" s="456"/>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9" t="s">
        <v>2244</v>
      </c>
      <c r="Y215" s="246" t="s">
        <v>1395</v>
      </c>
      <c r="Z215" s="235" t="s">
        <v>193</v>
      </c>
      <c r="AA215" s="235" t="s">
        <v>768</v>
      </c>
      <c r="AB215" s="472" t="s">
        <v>2109</v>
      </c>
      <c r="AC215" s="238"/>
      <c r="AD215" s="292">
        <f t="shared" ref="AD215:AF216" si="41">AD216</f>
        <v>4.5</v>
      </c>
      <c r="AE215" s="476">
        <f t="shared" si="41"/>
        <v>4.5</v>
      </c>
      <c r="AF215" s="476">
        <f t="shared" si="41"/>
        <v>4.5</v>
      </c>
      <c r="AG215" s="554"/>
      <c r="AH215" s="554"/>
      <c r="AI215" s="456"/>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20" t="s">
        <v>1782</v>
      </c>
      <c r="Y216" s="246" t="s">
        <v>1395</v>
      </c>
      <c r="Z216" s="235" t="s">
        <v>193</v>
      </c>
      <c r="AA216" s="235" t="s">
        <v>768</v>
      </c>
      <c r="AB216" s="472" t="s">
        <v>2109</v>
      </c>
      <c r="AC216" s="238">
        <v>200</v>
      </c>
      <c r="AD216" s="292">
        <f t="shared" si="41"/>
        <v>4.5</v>
      </c>
      <c r="AE216" s="476">
        <f t="shared" si="41"/>
        <v>4.5</v>
      </c>
      <c r="AF216" s="476">
        <f t="shared" si="41"/>
        <v>4.5</v>
      </c>
      <c r="AG216" s="554"/>
      <c r="AH216" s="554"/>
      <c r="AI216" s="456"/>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20" t="s">
        <v>1274</v>
      </c>
      <c r="Y217" s="246" t="s">
        <v>1395</v>
      </c>
      <c r="Z217" s="235" t="s">
        <v>193</v>
      </c>
      <c r="AA217" s="235" t="s">
        <v>768</v>
      </c>
      <c r="AB217" s="472" t="s">
        <v>2109</v>
      </c>
      <c r="AC217" s="238">
        <v>240</v>
      </c>
      <c r="AD217" s="292">
        <v>4.5</v>
      </c>
      <c r="AE217" s="476">
        <v>4.5</v>
      </c>
      <c r="AF217" s="476">
        <v>4.5</v>
      </c>
      <c r="AG217" s="554"/>
      <c r="AH217" s="554"/>
      <c r="AI217" s="456"/>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20" t="s">
        <v>1835</v>
      </c>
      <c r="Y218" s="246" t="s">
        <v>1395</v>
      </c>
      <c r="Z218" s="235" t="s">
        <v>193</v>
      </c>
      <c r="AA218" s="235">
        <v>14</v>
      </c>
      <c r="AB218" s="249"/>
      <c r="AC218" s="580"/>
      <c r="AD218" s="292">
        <f t="shared" ref="AD218:AF219" si="42">AD219</f>
        <v>19929.300000000003</v>
      </c>
      <c r="AE218" s="476">
        <f t="shared" si="42"/>
        <v>7198</v>
      </c>
      <c r="AF218" s="476">
        <f t="shared" si="42"/>
        <v>7198</v>
      </c>
      <c r="AG218" s="554"/>
      <c r="AH218" s="554"/>
      <c r="AI218" s="456"/>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49" t="s">
        <v>1854</v>
      </c>
      <c r="Y219" s="246" t="s">
        <v>1395</v>
      </c>
      <c r="Z219" s="235" t="s">
        <v>193</v>
      </c>
      <c r="AA219" s="235">
        <v>14</v>
      </c>
      <c r="AB219" s="249" t="s">
        <v>1762</v>
      </c>
      <c r="AC219" s="580"/>
      <c r="AD219" s="292">
        <f t="shared" si="42"/>
        <v>19929.300000000003</v>
      </c>
      <c r="AE219" s="476">
        <f t="shared" si="42"/>
        <v>7198</v>
      </c>
      <c r="AF219" s="476">
        <f t="shared" si="42"/>
        <v>7198</v>
      </c>
      <c r="AG219" s="554"/>
      <c r="AH219" s="554"/>
      <c r="AI219" s="456"/>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49" t="s">
        <v>1855</v>
      </c>
      <c r="Y220" s="246" t="s">
        <v>1395</v>
      </c>
      <c r="Z220" s="235" t="s">
        <v>193</v>
      </c>
      <c r="AA220" s="235">
        <v>14</v>
      </c>
      <c r="AB220" s="249" t="s">
        <v>1766</v>
      </c>
      <c r="AC220" s="580"/>
      <c r="AD220" s="292">
        <f>AD221+AD226+AD232+AD236</f>
        <v>19929.300000000003</v>
      </c>
      <c r="AE220" s="476">
        <f>AE221+AE226+AE232+AE236</f>
        <v>7198</v>
      </c>
      <c r="AF220" s="476">
        <f>AF221+AF226+AF232+AF236</f>
        <v>7198</v>
      </c>
      <c r="AG220" s="554"/>
      <c r="AH220" s="554"/>
      <c r="AI220" s="456"/>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5" t="s">
        <v>2255</v>
      </c>
      <c r="Y221" s="246" t="s">
        <v>1395</v>
      </c>
      <c r="Z221" s="235" t="s">
        <v>193</v>
      </c>
      <c r="AA221" s="235">
        <v>14</v>
      </c>
      <c r="AB221" s="443" t="s">
        <v>1786</v>
      </c>
      <c r="AC221" s="580"/>
      <c r="AD221" s="292">
        <f t="shared" ref="AD221:AF223" si="43">AD222</f>
        <v>270.99999999999994</v>
      </c>
      <c r="AE221" s="476">
        <f t="shared" si="43"/>
        <v>400</v>
      </c>
      <c r="AF221" s="476">
        <f t="shared" si="43"/>
        <v>400</v>
      </c>
      <c r="AG221" s="554"/>
      <c r="AH221" s="554"/>
      <c r="AI221" s="456"/>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49" t="s">
        <v>1856</v>
      </c>
      <c r="Y222" s="246" t="s">
        <v>1395</v>
      </c>
      <c r="Z222" s="235" t="s">
        <v>193</v>
      </c>
      <c r="AA222" s="235">
        <v>14</v>
      </c>
      <c r="AB222" s="443" t="s">
        <v>1857</v>
      </c>
      <c r="AC222" s="580"/>
      <c r="AD222" s="292">
        <f t="shared" si="43"/>
        <v>270.99999999999994</v>
      </c>
      <c r="AE222" s="476">
        <f t="shared" si="43"/>
        <v>400</v>
      </c>
      <c r="AF222" s="476">
        <f t="shared" si="43"/>
        <v>400</v>
      </c>
      <c r="AG222" s="554"/>
      <c r="AH222" s="554"/>
      <c r="AI222" s="456"/>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5" t="s">
        <v>2250</v>
      </c>
      <c r="Y223" s="246" t="s">
        <v>1395</v>
      </c>
      <c r="Z223" s="235" t="s">
        <v>193</v>
      </c>
      <c r="AA223" s="235">
        <v>14</v>
      </c>
      <c r="AB223" s="443" t="s">
        <v>1858</v>
      </c>
      <c r="AC223" s="580"/>
      <c r="AD223" s="292">
        <f>AD224</f>
        <v>270.99999999999994</v>
      </c>
      <c r="AE223" s="292">
        <f t="shared" si="43"/>
        <v>400</v>
      </c>
      <c r="AF223" s="292">
        <f t="shared" si="43"/>
        <v>400</v>
      </c>
      <c r="AG223" s="554"/>
      <c r="AH223" s="554"/>
      <c r="AI223" s="456"/>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20" t="s">
        <v>1782</v>
      </c>
      <c r="Y224" s="246" t="s">
        <v>1395</v>
      </c>
      <c r="Z224" s="235" t="s">
        <v>193</v>
      </c>
      <c r="AA224" s="235">
        <v>14</v>
      </c>
      <c r="AB224" s="443" t="s">
        <v>1858</v>
      </c>
      <c r="AC224" s="577">
        <v>200</v>
      </c>
      <c r="AD224" s="292">
        <f>AD225</f>
        <v>270.99999999999994</v>
      </c>
      <c r="AE224" s="476">
        <f>AE225</f>
        <v>400</v>
      </c>
      <c r="AF224" s="476">
        <f>AF225</f>
        <v>400</v>
      </c>
      <c r="AG224" s="554"/>
      <c r="AH224" s="554"/>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20" t="s">
        <v>1274</v>
      </c>
      <c r="Y225" s="246" t="s">
        <v>1395</v>
      </c>
      <c r="Z225" s="235" t="s">
        <v>193</v>
      </c>
      <c r="AA225" s="235">
        <v>14</v>
      </c>
      <c r="AB225" s="443" t="s">
        <v>1858</v>
      </c>
      <c r="AC225" s="577">
        <v>240</v>
      </c>
      <c r="AD225" s="292">
        <f>400+403.8-129-403.8</f>
        <v>270.99999999999994</v>
      </c>
      <c r="AE225" s="476">
        <v>400</v>
      </c>
      <c r="AF225" s="476">
        <v>400</v>
      </c>
      <c r="AG225" s="554"/>
      <c r="AH225" s="554"/>
      <c r="AI225" s="456"/>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30" t="s">
        <v>1859</v>
      </c>
      <c r="Y226" s="246" t="s">
        <v>1395</v>
      </c>
      <c r="Z226" s="235" t="s">
        <v>193</v>
      </c>
      <c r="AA226" s="235">
        <v>14</v>
      </c>
      <c r="AB226" s="443" t="s">
        <v>1787</v>
      </c>
      <c r="AC226" s="577"/>
      <c r="AD226" s="292">
        <f>AD227</f>
        <v>267</v>
      </c>
      <c r="AE226" s="476">
        <f t="shared" ref="AD226:AF230" si="44">AE227</f>
        <v>267</v>
      </c>
      <c r="AF226" s="476">
        <f t="shared" si="44"/>
        <v>267</v>
      </c>
      <c r="AG226" s="554"/>
      <c r="AH226" s="554"/>
      <c r="AI226" s="456"/>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30" t="s">
        <v>1860</v>
      </c>
      <c r="Y227" s="246" t="s">
        <v>1395</v>
      </c>
      <c r="Z227" s="235" t="s">
        <v>193</v>
      </c>
      <c r="AA227" s="235">
        <v>14</v>
      </c>
      <c r="AB227" s="443" t="s">
        <v>1861</v>
      </c>
      <c r="AC227" s="577"/>
      <c r="AD227" s="292">
        <f>AD230+AD228</f>
        <v>267</v>
      </c>
      <c r="AE227" s="292">
        <f t="shared" ref="AE227:AF227" si="45">AE230+AE228</f>
        <v>267</v>
      </c>
      <c r="AF227" s="292">
        <f t="shared" si="45"/>
        <v>267</v>
      </c>
      <c r="AG227" s="554"/>
      <c r="AH227" s="554"/>
      <c r="AI227" s="456"/>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20" t="s">
        <v>1782</v>
      </c>
      <c r="Y228" s="246" t="s">
        <v>1395</v>
      </c>
      <c r="Z228" s="235" t="s">
        <v>193</v>
      </c>
      <c r="AA228" s="235">
        <v>14</v>
      </c>
      <c r="AB228" s="443" t="s">
        <v>1861</v>
      </c>
      <c r="AC228" s="577">
        <v>200</v>
      </c>
      <c r="AD228" s="292">
        <f>AD229</f>
        <v>0</v>
      </c>
      <c r="AE228" s="292">
        <f t="shared" ref="AE228:AF228" si="46">AE229</f>
        <v>267</v>
      </c>
      <c r="AF228" s="292">
        <f t="shared" si="46"/>
        <v>267</v>
      </c>
      <c r="AG228" s="554"/>
      <c r="AH228" s="554"/>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20" t="s">
        <v>1274</v>
      </c>
      <c r="Y229" s="246" t="s">
        <v>1395</v>
      </c>
      <c r="Z229" s="235" t="s">
        <v>193</v>
      </c>
      <c r="AA229" s="235">
        <v>14</v>
      </c>
      <c r="AB229" s="443" t="s">
        <v>1861</v>
      </c>
      <c r="AC229" s="577">
        <v>240</v>
      </c>
      <c r="AD229" s="292">
        <v>0</v>
      </c>
      <c r="AE229" s="476">
        <v>267</v>
      </c>
      <c r="AF229" s="476">
        <v>267</v>
      </c>
      <c r="AG229" s="554"/>
      <c r="AH229" s="554"/>
      <c r="AI229" s="456"/>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1" t="s">
        <v>1343</v>
      </c>
      <c r="Y230" s="246" t="s">
        <v>1395</v>
      </c>
      <c r="Z230" s="235" t="s">
        <v>193</v>
      </c>
      <c r="AA230" s="235">
        <v>14</v>
      </c>
      <c r="AB230" s="443" t="s">
        <v>1861</v>
      </c>
      <c r="AC230" s="238">
        <v>600</v>
      </c>
      <c r="AD230" s="292">
        <f t="shared" si="44"/>
        <v>267</v>
      </c>
      <c r="AE230" s="476">
        <f t="shared" si="44"/>
        <v>0</v>
      </c>
      <c r="AF230" s="476">
        <f t="shared" si="44"/>
        <v>0</v>
      </c>
      <c r="AG230" s="554"/>
      <c r="AH230" s="554"/>
      <c r="AI230" s="456"/>
    </row>
    <row r="231" spans="1:35" s="370" customFormat="1" ht="31.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1" t="s">
        <v>869</v>
      </c>
      <c r="Y231" s="246" t="s">
        <v>1395</v>
      </c>
      <c r="Z231" s="235" t="s">
        <v>193</v>
      </c>
      <c r="AA231" s="235">
        <v>14</v>
      </c>
      <c r="AB231" s="443" t="s">
        <v>1861</v>
      </c>
      <c r="AC231" s="238">
        <v>630</v>
      </c>
      <c r="AD231" s="292">
        <v>267</v>
      </c>
      <c r="AE231" s="476">
        <v>0</v>
      </c>
      <c r="AF231" s="476">
        <v>0</v>
      </c>
      <c r="AG231" s="554"/>
      <c r="AH231" s="554"/>
      <c r="AI231" s="456"/>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7" t="s">
        <v>2256</v>
      </c>
      <c r="Y232" s="246" t="s">
        <v>1395</v>
      </c>
      <c r="Z232" s="235" t="s">
        <v>193</v>
      </c>
      <c r="AA232" s="235">
        <v>14</v>
      </c>
      <c r="AB232" s="443" t="s">
        <v>1862</v>
      </c>
      <c r="AC232" s="238"/>
      <c r="AD232" s="292">
        <f t="shared" ref="AD232:AF234" si="47">AD233</f>
        <v>40</v>
      </c>
      <c r="AE232" s="476">
        <f t="shared" si="47"/>
        <v>40</v>
      </c>
      <c r="AF232" s="476">
        <f t="shared" si="47"/>
        <v>40</v>
      </c>
      <c r="AG232" s="554"/>
      <c r="AH232" s="554"/>
      <c r="AI232" s="456"/>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49" t="s">
        <v>1856</v>
      </c>
      <c r="Y233" s="246" t="s">
        <v>1395</v>
      </c>
      <c r="Z233" s="235" t="s">
        <v>193</v>
      </c>
      <c r="AA233" s="235">
        <v>14</v>
      </c>
      <c r="AB233" s="443" t="s">
        <v>1863</v>
      </c>
      <c r="AC233" s="238"/>
      <c r="AD233" s="292">
        <f t="shared" si="47"/>
        <v>40</v>
      </c>
      <c r="AE233" s="476">
        <f t="shared" si="47"/>
        <v>40</v>
      </c>
      <c r="AF233" s="476">
        <f t="shared" si="47"/>
        <v>40</v>
      </c>
      <c r="AG233" s="554"/>
      <c r="AH233" s="554"/>
      <c r="AI233" s="456"/>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20" t="s">
        <v>1782</v>
      </c>
      <c r="Y234" s="246" t="s">
        <v>1395</v>
      </c>
      <c r="Z234" s="235" t="s">
        <v>193</v>
      </c>
      <c r="AA234" s="235">
        <v>14</v>
      </c>
      <c r="AB234" s="443" t="s">
        <v>1863</v>
      </c>
      <c r="AC234" s="238">
        <v>200</v>
      </c>
      <c r="AD234" s="292">
        <f t="shared" si="47"/>
        <v>40</v>
      </c>
      <c r="AE234" s="476">
        <f t="shared" si="47"/>
        <v>40</v>
      </c>
      <c r="AF234" s="476">
        <f t="shared" si="47"/>
        <v>40</v>
      </c>
      <c r="AG234" s="554"/>
      <c r="AH234" s="554"/>
      <c r="AI234" s="456"/>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20" t="s">
        <v>1274</v>
      </c>
      <c r="Y235" s="246" t="s">
        <v>1395</v>
      </c>
      <c r="Z235" s="235" t="s">
        <v>193</v>
      </c>
      <c r="AA235" s="235">
        <v>14</v>
      </c>
      <c r="AB235" s="443" t="s">
        <v>1863</v>
      </c>
      <c r="AC235" s="238">
        <v>240</v>
      </c>
      <c r="AD235" s="292">
        <v>40</v>
      </c>
      <c r="AE235" s="476">
        <v>40</v>
      </c>
      <c r="AF235" s="476">
        <v>40</v>
      </c>
      <c r="AG235" s="554"/>
      <c r="AH235" s="554"/>
      <c r="AI235" s="456"/>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30" t="s">
        <v>1864</v>
      </c>
      <c r="Y236" s="246" t="s">
        <v>1395</v>
      </c>
      <c r="Z236" s="235" t="s">
        <v>193</v>
      </c>
      <c r="AA236" s="235" t="s">
        <v>956</v>
      </c>
      <c r="AB236" s="443" t="s">
        <v>1865</v>
      </c>
      <c r="AC236" s="238"/>
      <c r="AD236" s="292">
        <f t="shared" ref="AD236:AF237" si="48">AD237</f>
        <v>19351.300000000003</v>
      </c>
      <c r="AE236" s="476">
        <f t="shared" si="48"/>
        <v>6491</v>
      </c>
      <c r="AF236" s="476">
        <f t="shared" si="48"/>
        <v>6491</v>
      </c>
      <c r="AG236" s="554"/>
      <c r="AH236" s="554"/>
      <c r="AI236" s="456"/>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49" t="s">
        <v>1866</v>
      </c>
      <c r="Y237" s="246" t="s">
        <v>1395</v>
      </c>
      <c r="Z237" s="235" t="s">
        <v>193</v>
      </c>
      <c r="AA237" s="235" t="s">
        <v>956</v>
      </c>
      <c r="AB237" s="443" t="s">
        <v>1867</v>
      </c>
      <c r="AC237" s="238"/>
      <c r="AD237" s="292">
        <f t="shared" si="48"/>
        <v>19351.300000000003</v>
      </c>
      <c r="AE237" s="476">
        <f t="shared" si="48"/>
        <v>6491</v>
      </c>
      <c r="AF237" s="476">
        <f t="shared" si="48"/>
        <v>6491</v>
      </c>
      <c r="AG237" s="554"/>
      <c r="AH237" s="554"/>
      <c r="AI237" s="456"/>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20" t="s">
        <v>1782</v>
      </c>
      <c r="Y238" s="246" t="s">
        <v>1395</v>
      </c>
      <c r="Z238" s="235" t="s">
        <v>193</v>
      </c>
      <c r="AA238" s="235" t="s">
        <v>956</v>
      </c>
      <c r="AB238" s="443" t="s">
        <v>1867</v>
      </c>
      <c r="AC238" s="238">
        <v>200</v>
      </c>
      <c r="AD238" s="292">
        <f>AD239</f>
        <v>19351.300000000003</v>
      </c>
      <c r="AE238" s="476">
        <f>AE239</f>
        <v>6491</v>
      </c>
      <c r="AF238" s="476">
        <f>AF239</f>
        <v>6491</v>
      </c>
      <c r="AG238" s="554"/>
      <c r="AH238" s="554"/>
      <c r="AI238" s="456"/>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20" t="s">
        <v>1274</v>
      </c>
      <c r="Y239" s="246" t="s">
        <v>1395</v>
      </c>
      <c r="Z239" s="235" t="s">
        <v>193</v>
      </c>
      <c r="AA239" s="235" t="s">
        <v>956</v>
      </c>
      <c r="AB239" s="443" t="s">
        <v>1867</v>
      </c>
      <c r="AC239" s="238">
        <v>240</v>
      </c>
      <c r="AD239" s="746">
        <f>21087.2+949.2-2685.1</f>
        <v>19351.300000000003</v>
      </c>
      <c r="AE239" s="489">
        <v>6491</v>
      </c>
      <c r="AF239" s="489">
        <v>6491</v>
      </c>
      <c r="AG239" s="648"/>
      <c r="AH239" s="648"/>
      <c r="AI239" s="456"/>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59" t="s">
        <v>994</v>
      </c>
      <c r="Y240" s="575" t="s">
        <v>1395</v>
      </c>
      <c r="Z240" s="247" t="s">
        <v>1182</v>
      </c>
      <c r="AA240" s="247"/>
      <c r="AB240" s="271"/>
      <c r="AC240" s="576"/>
      <c r="AD240" s="745">
        <f>AD241+AD281+AI2810+AD259+AD266</f>
        <v>61874.5</v>
      </c>
      <c r="AE240" s="479">
        <f>AE241+AE281+AJ2810+AE259+AE266</f>
        <v>42009.8</v>
      </c>
      <c r="AF240" s="479">
        <f>AF241+AF281+AK2810+AF259+AF266</f>
        <v>42009.8</v>
      </c>
      <c r="AG240" s="647"/>
      <c r="AH240" s="647"/>
      <c r="AI240" s="456"/>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20" t="s">
        <v>1597</v>
      </c>
      <c r="Y241" s="246" t="s">
        <v>1395</v>
      </c>
      <c r="Z241" s="235" t="s">
        <v>1182</v>
      </c>
      <c r="AA241" s="235" t="s">
        <v>290</v>
      </c>
      <c r="AB241" s="249"/>
      <c r="AC241" s="577"/>
      <c r="AD241" s="292">
        <f>AD249+AD242</f>
        <v>21336.9</v>
      </c>
      <c r="AE241" s="476">
        <f>AE249+AE242</f>
        <v>20965.7</v>
      </c>
      <c r="AF241" s="476">
        <f>AF249+AF242</f>
        <v>20965.7</v>
      </c>
      <c r="AG241" s="554"/>
      <c r="AH241" s="554"/>
      <c r="AI241" s="456"/>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49" t="s">
        <v>1899</v>
      </c>
      <c r="Y242" s="246" t="s">
        <v>1395</v>
      </c>
      <c r="Z242" s="242" t="s">
        <v>1182</v>
      </c>
      <c r="AA242" s="242" t="s">
        <v>290</v>
      </c>
      <c r="AB242" s="443" t="s">
        <v>1772</v>
      </c>
      <c r="AC242" s="582"/>
      <c r="AD242" s="292">
        <f t="shared" ref="AD242:AF247" si="49">AD243</f>
        <v>21221.9</v>
      </c>
      <c r="AE242" s="476">
        <f t="shared" si="49"/>
        <v>20840.8</v>
      </c>
      <c r="AF242" s="476">
        <f t="shared" si="49"/>
        <v>20840.8</v>
      </c>
      <c r="AG242" s="554"/>
      <c r="AH242" s="554"/>
      <c r="AI242" s="456"/>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49" t="s">
        <v>1908</v>
      </c>
      <c r="Y243" s="246" t="s">
        <v>1395</v>
      </c>
      <c r="Z243" s="242" t="s">
        <v>1182</v>
      </c>
      <c r="AA243" s="242" t="s">
        <v>290</v>
      </c>
      <c r="AB243" s="443" t="s">
        <v>1909</v>
      </c>
      <c r="AC243" s="582"/>
      <c r="AD243" s="292">
        <f t="shared" si="49"/>
        <v>21221.9</v>
      </c>
      <c r="AE243" s="476">
        <f t="shared" si="49"/>
        <v>20840.8</v>
      </c>
      <c r="AF243" s="476">
        <f t="shared" si="49"/>
        <v>20840.8</v>
      </c>
      <c r="AG243" s="554"/>
      <c r="AH243" s="554"/>
      <c r="AI243" s="456"/>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49" t="s">
        <v>1910</v>
      </c>
      <c r="Y244" s="246" t="s">
        <v>1395</v>
      </c>
      <c r="Z244" s="242" t="s">
        <v>1182</v>
      </c>
      <c r="AA244" s="242" t="s">
        <v>290</v>
      </c>
      <c r="AB244" s="443" t="s">
        <v>1911</v>
      </c>
      <c r="AC244" s="582"/>
      <c r="AD244" s="292">
        <f t="shared" si="49"/>
        <v>21221.9</v>
      </c>
      <c r="AE244" s="476">
        <f t="shared" si="49"/>
        <v>20840.8</v>
      </c>
      <c r="AF244" s="476">
        <f t="shared" si="49"/>
        <v>20840.8</v>
      </c>
      <c r="AG244" s="554"/>
      <c r="AH244" s="554"/>
      <c r="AI244" s="456"/>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2" t="s">
        <v>1922</v>
      </c>
      <c r="Y245" s="246" t="s">
        <v>1395</v>
      </c>
      <c r="Z245" s="242" t="s">
        <v>1182</v>
      </c>
      <c r="AA245" s="242" t="s">
        <v>290</v>
      </c>
      <c r="AB245" s="472" t="s">
        <v>1923</v>
      </c>
      <c r="AC245" s="582"/>
      <c r="AD245" s="292">
        <f t="shared" si="49"/>
        <v>21221.9</v>
      </c>
      <c r="AE245" s="476">
        <f t="shared" si="49"/>
        <v>20840.8</v>
      </c>
      <c r="AF245" s="476">
        <f t="shared" si="49"/>
        <v>20840.8</v>
      </c>
      <c r="AG245" s="554"/>
      <c r="AH245" s="554"/>
      <c r="AI245" s="456"/>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2" t="s">
        <v>2333</v>
      </c>
      <c r="Y246" s="246" t="s">
        <v>1395</v>
      </c>
      <c r="Z246" s="242" t="s">
        <v>1182</v>
      </c>
      <c r="AA246" s="242" t="s">
        <v>290</v>
      </c>
      <c r="AB246" s="472" t="s">
        <v>2135</v>
      </c>
      <c r="AC246" s="582"/>
      <c r="AD246" s="292">
        <f t="shared" si="49"/>
        <v>21221.9</v>
      </c>
      <c r="AE246" s="476">
        <f t="shared" si="49"/>
        <v>20840.8</v>
      </c>
      <c r="AF246" s="476">
        <f t="shared" si="49"/>
        <v>20840.8</v>
      </c>
      <c r="AG246" s="554"/>
      <c r="AH246" s="554"/>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4" t="s">
        <v>1343</v>
      </c>
      <c r="Y247" s="246" t="s">
        <v>1395</v>
      </c>
      <c r="Z247" s="242" t="s">
        <v>1182</v>
      </c>
      <c r="AA247" s="242" t="s">
        <v>290</v>
      </c>
      <c r="AB247" s="472" t="s">
        <v>2135</v>
      </c>
      <c r="AC247" s="582">
        <v>600</v>
      </c>
      <c r="AD247" s="292">
        <f t="shared" si="49"/>
        <v>21221.9</v>
      </c>
      <c r="AE247" s="476">
        <f t="shared" si="49"/>
        <v>20840.8</v>
      </c>
      <c r="AF247" s="476">
        <f t="shared" si="49"/>
        <v>20840.8</v>
      </c>
      <c r="AG247" s="554"/>
      <c r="AH247" s="554"/>
      <c r="AI247" s="456"/>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4" t="s">
        <v>1344</v>
      </c>
      <c r="Y248" s="246" t="s">
        <v>1395</v>
      </c>
      <c r="Z248" s="242" t="s">
        <v>1182</v>
      </c>
      <c r="AA248" s="242" t="s">
        <v>290</v>
      </c>
      <c r="AB248" s="472" t="s">
        <v>2135</v>
      </c>
      <c r="AC248" s="582">
        <v>610</v>
      </c>
      <c r="AD248" s="292">
        <f>20483.5+400+188.4+150</f>
        <v>21221.9</v>
      </c>
      <c r="AE248" s="476">
        <f>20483.5+357.3</f>
        <v>20840.8</v>
      </c>
      <c r="AF248" s="476">
        <f>20483.5+357.3</f>
        <v>20840.8</v>
      </c>
      <c r="AG248" s="554"/>
      <c r="AH248" s="554"/>
      <c r="AI248" s="456"/>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49" t="s">
        <v>1950</v>
      </c>
      <c r="Y249" s="246" t="s">
        <v>1395</v>
      </c>
      <c r="Z249" s="235" t="s">
        <v>1182</v>
      </c>
      <c r="AA249" s="235" t="s">
        <v>290</v>
      </c>
      <c r="AB249" s="443" t="s">
        <v>1951</v>
      </c>
      <c r="AC249" s="577"/>
      <c r="AD249" s="292">
        <f>AD250</f>
        <v>115</v>
      </c>
      <c r="AE249" s="476">
        <f>AE250</f>
        <v>124.9</v>
      </c>
      <c r="AF249" s="476">
        <f>AF250</f>
        <v>124.9</v>
      </c>
      <c r="AG249" s="554"/>
      <c r="AH249" s="554"/>
      <c r="AI249" s="456"/>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49" t="s">
        <v>1952</v>
      </c>
      <c r="Y250" s="246" t="s">
        <v>1395</v>
      </c>
      <c r="Z250" s="235" t="s">
        <v>1182</v>
      </c>
      <c r="AA250" s="235" t="s">
        <v>290</v>
      </c>
      <c r="AB250" s="443" t="s">
        <v>1953</v>
      </c>
      <c r="AC250" s="238"/>
      <c r="AD250" s="292">
        <f t="shared" ref="AD250:AF251" si="50">AD251</f>
        <v>115</v>
      </c>
      <c r="AE250" s="476">
        <f t="shared" si="50"/>
        <v>124.9</v>
      </c>
      <c r="AF250" s="476">
        <f t="shared" si="50"/>
        <v>124.9</v>
      </c>
      <c r="AG250" s="554"/>
      <c r="AH250" s="554"/>
      <c r="AI250" s="456"/>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30" t="s">
        <v>2235</v>
      </c>
      <c r="Y251" s="246" t="s">
        <v>1395</v>
      </c>
      <c r="Z251" s="235" t="s">
        <v>1182</v>
      </c>
      <c r="AA251" s="235" t="s">
        <v>290</v>
      </c>
      <c r="AB251" s="443" t="s">
        <v>2209</v>
      </c>
      <c r="AC251" s="238"/>
      <c r="AD251" s="292">
        <f t="shared" si="50"/>
        <v>115</v>
      </c>
      <c r="AE251" s="476">
        <f t="shared" si="50"/>
        <v>124.9</v>
      </c>
      <c r="AF251" s="476">
        <f t="shared" si="50"/>
        <v>124.9</v>
      </c>
      <c r="AG251" s="554"/>
      <c r="AH251" s="554"/>
      <c r="AI251" s="456"/>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30" t="s">
        <v>1954</v>
      </c>
      <c r="Y252" s="246" t="s">
        <v>1395</v>
      </c>
      <c r="Z252" s="235" t="s">
        <v>1182</v>
      </c>
      <c r="AA252" s="235" t="s">
        <v>290</v>
      </c>
      <c r="AB252" s="443" t="s">
        <v>2210</v>
      </c>
      <c r="AC252" s="238"/>
      <c r="AD252" s="292">
        <f>AD253+AD256</f>
        <v>115</v>
      </c>
      <c r="AE252" s="476">
        <f>AE253+AE256</f>
        <v>124.9</v>
      </c>
      <c r="AF252" s="476">
        <f>AF253+AF256</f>
        <v>124.9</v>
      </c>
      <c r="AG252" s="554"/>
      <c r="AH252" s="554"/>
      <c r="AI252" s="456"/>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30" t="s">
        <v>2141</v>
      </c>
      <c r="Y253" s="246" t="s">
        <v>1395</v>
      </c>
      <c r="Z253" s="235" t="s">
        <v>1182</v>
      </c>
      <c r="AA253" s="235" t="s">
        <v>290</v>
      </c>
      <c r="AB253" s="443" t="s">
        <v>2211</v>
      </c>
      <c r="AC253" s="238"/>
      <c r="AD253" s="292">
        <f t="shared" ref="AD253:AF254" si="51">AD254</f>
        <v>0.1</v>
      </c>
      <c r="AE253" s="476">
        <f t="shared" si="51"/>
        <v>10</v>
      </c>
      <c r="AF253" s="476">
        <f t="shared" si="51"/>
        <v>10</v>
      </c>
      <c r="AG253" s="554"/>
      <c r="AH253" s="554"/>
      <c r="AI253" s="456"/>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20" t="s">
        <v>1782</v>
      </c>
      <c r="Y254" s="246" t="s">
        <v>1395</v>
      </c>
      <c r="Z254" s="235" t="s">
        <v>1182</v>
      </c>
      <c r="AA254" s="235" t="s">
        <v>290</v>
      </c>
      <c r="AB254" s="443" t="s">
        <v>2211</v>
      </c>
      <c r="AC254" s="238">
        <v>200</v>
      </c>
      <c r="AD254" s="292">
        <f t="shared" si="51"/>
        <v>0.1</v>
      </c>
      <c r="AE254" s="476">
        <f t="shared" si="51"/>
        <v>10</v>
      </c>
      <c r="AF254" s="476">
        <f t="shared" si="51"/>
        <v>10</v>
      </c>
      <c r="AG254" s="554"/>
      <c r="AH254" s="554"/>
      <c r="AI254" s="456"/>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20" t="s">
        <v>1274</v>
      </c>
      <c r="Y255" s="246" t="s">
        <v>1395</v>
      </c>
      <c r="Z255" s="235" t="s">
        <v>1182</v>
      </c>
      <c r="AA255" s="235" t="s">
        <v>290</v>
      </c>
      <c r="AB255" s="443" t="s">
        <v>2211</v>
      </c>
      <c r="AC255" s="238">
        <v>240</v>
      </c>
      <c r="AD255" s="292">
        <v>0.1</v>
      </c>
      <c r="AE255" s="476">
        <f>0.1+9.9</f>
        <v>10</v>
      </c>
      <c r="AF255" s="476">
        <f>0.1+9.9</f>
        <v>10</v>
      </c>
      <c r="AG255" s="554"/>
      <c r="AH255" s="554"/>
      <c r="AI255" s="456"/>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0" t="s">
        <v>2142</v>
      </c>
      <c r="Y256" s="246" t="s">
        <v>1395</v>
      </c>
      <c r="Z256" s="235" t="s">
        <v>1182</v>
      </c>
      <c r="AA256" s="235" t="s">
        <v>290</v>
      </c>
      <c r="AB256" s="443" t="s">
        <v>2212</v>
      </c>
      <c r="AC256" s="238"/>
      <c r="AD256" s="292">
        <f t="shared" ref="AD256:AF257" si="52">AD257</f>
        <v>114.9</v>
      </c>
      <c r="AE256" s="476">
        <f t="shared" si="52"/>
        <v>114.9</v>
      </c>
      <c r="AF256" s="476">
        <f t="shared" si="52"/>
        <v>114.9</v>
      </c>
      <c r="AG256" s="554"/>
      <c r="AH256" s="554"/>
      <c r="AI256" s="456"/>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20" t="s">
        <v>1782</v>
      </c>
      <c r="Y257" s="246" t="s">
        <v>1395</v>
      </c>
      <c r="Z257" s="235" t="s">
        <v>1182</v>
      </c>
      <c r="AA257" s="235" t="s">
        <v>290</v>
      </c>
      <c r="AB257" s="443" t="s">
        <v>2212</v>
      </c>
      <c r="AC257" s="238">
        <v>200</v>
      </c>
      <c r="AD257" s="292">
        <f t="shared" si="52"/>
        <v>114.9</v>
      </c>
      <c r="AE257" s="476">
        <f t="shared" si="52"/>
        <v>114.9</v>
      </c>
      <c r="AF257" s="476">
        <f t="shared" si="52"/>
        <v>114.9</v>
      </c>
      <c r="AG257" s="554"/>
      <c r="AH257" s="554"/>
      <c r="AI257" s="456"/>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20" t="s">
        <v>1274</v>
      </c>
      <c r="Y258" s="246" t="s">
        <v>1395</v>
      </c>
      <c r="Z258" s="235" t="s">
        <v>1182</v>
      </c>
      <c r="AA258" s="235" t="s">
        <v>290</v>
      </c>
      <c r="AB258" s="443" t="s">
        <v>2212</v>
      </c>
      <c r="AC258" s="238">
        <v>240</v>
      </c>
      <c r="AD258" s="292">
        <v>114.9</v>
      </c>
      <c r="AE258" s="476">
        <v>114.9</v>
      </c>
      <c r="AF258" s="476">
        <v>114.9</v>
      </c>
      <c r="AG258" s="554"/>
      <c r="AH258" s="554"/>
      <c r="AI258" s="456"/>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20" t="s">
        <v>1740</v>
      </c>
      <c r="Y259" s="579" t="s">
        <v>1395</v>
      </c>
      <c r="Z259" s="235" t="s">
        <v>1182</v>
      </c>
      <c r="AA259" s="235" t="s">
        <v>406</v>
      </c>
      <c r="AB259" s="277"/>
      <c r="AC259" s="586"/>
      <c r="AD259" s="292">
        <f t="shared" ref="AD259:AF260" si="53">AD260</f>
        <v>37954.6</v>
      </c>
      <c r="AE259" s="476">
        <f t="shared" si="53"/>
        <v>20718.099999999999</v>
      </c>
      <c r="AF259" s="476">
        <f t="shared" si="53"/>
        <v>20718.099999999999</v>
      </c>
      <c r="AG259" s="554"/>
      <c r="AH259" s="554"/>
      <c r="AI259" s="456"/>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49" t="s">
        <v>1950</v>
      </c>
      <c r="Y260" s="246" t="s">
        <v>1395</v>
      </c>
      <c r="Z260" s="254" t="s">
        <v>1182</v>
      </c>
      <c r="AA260" s="254" t="s">
        <v>406</v>
      </c>
      <c r="AB260" s="443" t="s">
        <v>1951</v>
      </c>
      <c r="AC260" s="577"/>
      <c r="AD260" s="292">
        <f t="shared" si="53"/>
        <v>37954.6</v>
      </c>
      <c r="AE260" s="476">
        <f t="shared" si="53"/>
        <v>20718.099999999999</v>
      </c>
      <c r="AF260" s="476">
        <f t="shared" si="53"/>
        <v>20718.099999999999</v>
      </c>
      <c r="AG260" s="554"/>
      <c r="AH260" s="554"/>
      <c r="AI260" s="456"/>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49" t="s">
        <v>1161</v>
      </c>
      <c r="Y261" s="246" t="s">
        <v>1395</v>
      </c>
      <c r="Z261" s="254" t="s">
        <v>1182</v>
      </c>
      <c r="AA261" s="254" t="s">
        <v>406</v>
      </c>
      <c r="AB261" s="443" t="s">
        <v>2215</v>
      </c>
      <c r="AC261" s="238"/>
      <c r="AD261" s="292">
        <f t="shared" ref="AD261:AF264" si="54">AD262</f>
        <v>37954.6</v>
      </c>
      <c r="AE261" s="476">
        <f t="shared" si="54"/>
        <v>20718.099999999999</v>
      </c>
      <c r="AF261" s="476">
        <f t="shared" si="54"/>
        <v>20718.099999999999</v>
      </c>
      <c r="AG261" s="554"/>
      <c r="AH261" s="554"/>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49" t="s">
        <v>1910</v>
      </c>
      <c r="Y262" s="246" t="s">
        <v>1395</v>
      </c>
      <c r="Z262" s="254" t="s">
        <v>1182</v>
      </c>
      <c r="AA262" s="254" t="s">
        <v>406</v>
      </c>
      <c r="AB262" s="443" t="s">
        <v>2216</v>
      </c>
      <c r="AC262" s="238"/>
      <c r="AD262" s="292">
        <f t="shared" si="54"/>
        <v>37954.6</v>
      </c>
      <c r="AE262" s="476">
        <f t="shared" si="54"/>
        <v>20718.099999999999</v>
      </c>
      <c r="AF262" s="476">
        <f t="shared" si="54"/>
        <v>20718.099999999999</v>
      </c>
      <c r="AG262" s="554"/>
      <c r="AH262" s="554"/>
      <c r="AI262" s="456"/>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2" t="s">
        <v>2140</v>
      </c>
      <c r="Y263" s="246" t="s">
        <v>1395</v>
      </c>
      <c r="Z263" s="254" t="s">
        <v>1182</v>
      </c>
      <c r="AA263" s="254" t="s">
        <v>406</v>
      </c>
      <c r="AB263" s="443" t="s">
        <v>2217</v>
      </c>
      <c r="AC263" s="238"/>
      <c r="AD263" s="292">
        <f>AD264</f>
        <v>37954.6</v>
      </c>
      <c r="AE263" s="476">
        <f>AE264</f>
        <v>20718.099999999999</v>
      </c>
      <c r="AF263" s="476">
        <f>AF264</f>
        <v>20718.099999999999</v>
      </c>
      <c r="AG263" s="554"/>
      <c r="AH263" s="554"/>
      <c r="AI263" s="456"/>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4" t="s">
        <v>1343</v>
      </c>
      <c r="Y264" s="246" t="s">
        <v>1395</v>
      </c>
      <c r="Z264" s="254" t="s">
        <v>1182</v>
      </c>
      <c r="AA264" s="254" t="s">
        <v>406</v>
      </c>
      <c r="AB264" s="443" t="s">
        <v>2217</v>
      </c>
      <c r="AC264" s="238">
        <v>600</v>
      </c>
      <c r="AD264" s="292">
        <f t="shared" si="54"/>
        <v>37954.6</v>
      </c>
      <c r="AE264" s="476">
        <f t="shared" si="54"/>
        <v>20718.099999999999</v>
      </c>
      <c r="AF264" s="476">
        <f t="shared" si="54"/>
        <v>20718.099999999999</v>
      </c>
      <c r="AG264" s="554"/>
      <c r="AH264" s="554"/>
      <c r="AI264" s="456"/>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4" t="s">
        <v>1344</v>
      </c>
      <c r="Y265" s="246" t="s">
        <v>1395</v>
      </c>
      <c r="Z265" s="254" t="s">
        <v>1182</v>
      </c>
      <c r="AA265" s="254" t="s">
        <v>406</v>
      </c>
      <c r="AB265" s="443" t="s">
        <v>2217</v>
      </c>
      <c r="AC265" s="238">
        <v>610</v>
      </c>
      <c r="AD265" s="292">
        <f>20718.1+10000+1551.6+5040.1+644.8</f>
        <v>37954.6</v>
      </c>
      <c r="AE265" s="476">
        <f>20718.1</f>
        <v>20718.099999999999</v>
      </c>
      <c r="AF265" s="476">
        <f>20718.1</f>
        <v>20718.099999999999</v>
      </c>
      <c r="AG265" s="554"/>
      <c r="AH265" s="554"/>
      <c r="AI265" s="456"/>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20" t="s">
        <v>626</v>
      </c>
      <c r="Y266" s="246" t="s">
        <v>1395</v>
      </c>
      <c r="Z266" s="255" t="s">
        <v>1182</v>
      </c>
      <c r="AA266" s="255">
        <v>10</v>
      </c>
      <c r="AB266" s="256"/>
      <c r="AC266" s="238"/>
      <c r="AD266" s="292">
        <f>AD267</f>
        <v>1957</v>
      </c>
      <c r="AE266" s="476">
        <f t="shared" ref="AD266:AF267" si="55">AE267</f>
        <v>0</v>
      </c>
      <c r="AF266" s="476">
        <f t="shared" si="55"/>
        <v>0</v>
      </c>
      <c r="AG266" s="554"/>
      <c r="AH266" s="554"/>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49" t="s">
        <v>1958</v>
      </c>
      <c r="Y267" s="246" t="s">
        <v>1395</v>
      </c>
      <c r="Z267" s="255" t="s">
        <v>1182</v>
      </c>
      <c r="AA267" s="255">
        <v>10</v>
      </c>
      <c r="AB267" s="443" t="s">
        <v>1959</v>
      </c>
      <c r="AC267" s="238"/>
      <c r="AD267" s="292">
        <f t="shared" si="55"/>
        <v>1957</v>
      </c>
      <c r="AE267" s="476">
        <f t="shared" si="55"/>
        <v>0</v>
      </c>
      <c r="AF267" s="476">
        <f t="shared" si="55"/>
        <v>0</v>
      </c>
      <c r="AG267" s="554"/>
      <c r="AH267" s="554"/>
      <c r="AI267" s="456"/>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49" t="s">
        <v>1965</v>
      </c>
      <c r="Y268" s="246" t="s">
        <v>1395</v>
      </c>
      <c r="Z268" s="255" t="s">
        <v>1182</v>
      </c>
      <c r="AA268" s="255">
        <v>10</v>
      </c>
      <c r="AB268" s="443" t="s">
        <v>1966</v>
      </c>
      <c r="AC268" s="587"/>
      <c r="AD268" s="292">
        <f>AD269+AD277+AD273</f>
        <v>1957</v>
      </c>
      <c r="AE268" s="292">
        <f>AE269+AE277+AE273</f>
        <v>0</v>
      </c>
      <c r="AF268" s="292">
        <f>AF269+AF277+AF273</f>
        <v>0</v>
      </c>
      <c r="AG268" s="554"/>
      <c r="AH268" s="554"/>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49" t="s">
        <v>2355</v>
      </c>
      <c r="Y269" s="246" t="s">
        <v>1395</v>
      </c>
      <c r="Z269" s="255" t="s">
        <v>1182</v>
      </c>
      <c r="AA269" s="255">
        <v>10</v>
      </c>
      <c r="AB269" s="443" t="s">
        <v>2356</v>
      </c>
      <c r="AC269" s="587"/>
      <c r="AD269" s="292">
        <f t="shared" ref="AD269:AF271" si="56">AD270</f>
        <v>1550</v>
      </c>
      <c r="AE269" s="476">
        <f t="shared" si="56"/>
        <v>0</v>
      </c>
      <c r="AF269" s="476">
        <f t="shared" si="56"/>
        <v>0</v>
      </c>
      <c r="AG269" s="554"/>
      <c r="AH269" s="554"/>
      <c r="AI269" s="456"/>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2" t="s">
        <v>2357</v>
      </c>
      <c r="Y270" s="246" t="s">
        <v>1395</v>
      </c>
      <c r="Z270" s="255" t="s">
        <v>1182</v>
      </c>
      <c r="AA270" s="255">
        <v>10</v>
      </c>
      <c r="AB270" s="443" t="s">
        <v>2358</v>
      </c>
      <c r="AC270" s="588"/>
      <c r="AD270" s="292">
        <f t="shared" si="56"/>
        <v>1550</v>
      </c>
      <c r="AE270" s="476">
        <f t="shared" si="56"/>
        <v>0</v>
      </c>
      <c r="AF270" s="476">
        <f t="shared" si="56"/>
        <v>0</v>
      </c>
      <c r="AG270" s="554"/>
      <c r="AH270" s="554"/>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20" t="s">
        <v>1782</v>
      </c>
      <c r="Y271" s="246" t="s">
        <v>1395</v>
      </c>
      <c r="Z271" s="255" t="s">
        <v>1182</v>
      </c>
      <c r="AA271" s="255">
        <v>10</v>
      </c>
      <c r="AB271" s="443" t="s">
        <v>2358</v>
      </c>
      <c r="AC271" s="238">
        <v>200</v>
      </c>
      <c r="AD271" s="292">
        <f t="shared" si="56"/>
        <v>1550</v>
      </c>
      <c r="AE271" s="476">
        <f t="shared" si="56"/>
        <v>0</v>
      </c>
      <c r="AF271" s="476">
        <f t="shared" si="56"/>
        <v>0</v>
      </c>
      <c r="AG271" s="554"/>
      <c r="AH271" s="554"/>
      <c r="AI271" s="456"/>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20" t="s">
        <v>1274</v>
      </c>
      <c r="Y272" s="246" t="s">
        <v>1395</v>
      </c>
      <c r="Z272" s="255" t="s">
        <v>1182</v>
      </c>
      <c r="AA272" s="255">
        <v>10</v>
      </c>
      <c r="AB272" s="443" t="s">
        <v>2358</v>
      </c>
      <c r="AC272" s="238">
        <v>240</v>
      </c>
      <c r="AD272" s="292">
        <f>700+400+450</f>
        <v>1550</v>
      </c>
      <c r="AE272" s="476">
        <v>0</v>
      </c>
      <c r="AF272" s="476">
        <v>0</v>
      </c>
      <c r="AG272" s="554"/>
      <c r="AH272" s="554"/>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49" t="s">
        <v>2406</v>
      </c>
      <c r="Y273" s="246" t="s">
        <v>1395</v>
      </c>
      <c r="Z273" s="255" t="s">
        <v>1182</v>
      </c>
      <c r="AA273" s="255">
        <v>10</v>
      </c>
      <c r="AB273" s="443" t="s">
        <v>2407</v>
      </c>
      <c r="AC273" s="238"/>
      <c r="AD273" s="292">
        <f t="shared" ref="AD273:AF275" si="57">AD274</f>
        <v>110</v>
      </c>
      <c r="AE273" s="476">
        <f t="shared" si="57"/>
        <v>0</v>
      </c>
      <c r="AF273" s="476">
        <f t="shared" si="57"/>
        <v>0</v>
      </c>
      <c r="AG273" s="554"/>
      <c r="AH273" s="554"/>
      <c r="AI273" s="456"/>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2" t="s">
        <v>2408</v>
      </c>
      <c r="Y274" s="246" t="s">
        <v>1395</v>
      </c>
      <c r="Z274" s="255" t="s">
        <v>1182</v>
      </c>
      <c r="AA274" s="255">
        <v>10</v>
      </c>
      <c r="AB274" s="443" t="s">
        <v>2409</v>
      </c>
      <c r="AC274" s="238"/>
      <c r="AD274" s="292">
        <f t="shared" si="57"/>
        <v>110</v>
      </c>
      <c r="AE274" s="476">
        <f t="shared" si="57"/>
        <v>0</v>
      </c>
      <c r="AF274" s="476">
        <f t="shared" si="57"/>
        <v>0</v>
      </c>
      <c r="AG274" s="554"/>
      <c r="AH274" s="554"/>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20" t="s">
        <v>1782</v>
      </c>
      <c r="Y275" s="246" t="s">
        <v>1395</v>
      </c>
      <c r="Z275" s="255" t="s">
        <v>1182</v>
      </c>
      <c r="AA275" s="255">
        <v>10</v>
      </c>
      <c r="AB275" s="443" t="s">
        <v>2409</v>
      </c>
      <c r="AC275" s="238">
        <v>200</v>
      </c>
      <c r="AD275" s="292">
        <f t="shared" si="57"/>
        <v>110</v>
      </c>
      <c r="AE275" s="476">
        <f t="shared" si="57"/>
        <v>0</v>
      </c>
      <c r="AF275" s="476">
        <f t="shared" si="57"/>
        <v>0</v>
      </c>
      <c r="AG275" s="554"/>
      <c r="AH275" s="554"/>
      <c r="AI275" s="456"/>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20" t="s">
        <v>1274</v>
      </c>
      <c r="Y276" s="246" t="s">
        <v>1395</v>
      </c>
      <c r="Z276" s="255" t="s">
        <v>1182</v>
      </c>
      <c r="AA276" s="255">
        <v>10</v>
      </c>
      <c r="AB276" s="443" t="s">
        <v>2409</v>
      </c>
      <c r="AC276" s="238">
        <v>240</v>
      </c>
      <c r="AD276" s="292">
        <v>110</v>
      </c>
      <c r="AE276" s="476">
        <v>0</v>
      </c>
      <c r="AF276" s="476">
        <v>0</v>
      </c>
      <c r="AG276" s="554"/>
      <c r="AH276" s="554"/>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49" t="s">
        <v>2361</v>
      </c>
      <c r="Y277" s="246" t="s">
        <v>1395</v>
      </c>
      <c r="Z277" s="255" t="s">
        <v>1182</v>
      </c>
      <c r="AA277" s="255">
        <v>10</v>
      </c>
      <c r="AB277" s="443" t="s">
        <v>2362</v>
      </c>
      <c r="AC277" s="238"/>
      <c r="AD277" s="292">
        <f t="shared" ref="AD277:AF279" si="58">AD278</f>
        <v>297</v>
      </c>
      <c r="AE277" s="476">
        <f t="shared" si="58"/>
        <v>0</v>
      </c>
      <c r="AF277" s="476">
        <f t="shared" si="58"/>
        <v>0</v>
      </c>
      <c r="AG277" s="554"/>
      <c r="AH277" s="554"/>
      <c r="AI277" s="456"/>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2" t="s">
        <v>2363</v>
      </c>
      <c r="Y278" s="246" t="s">
        <v>1395</v>
      </c>
      <c r="Z278" s="255" t="s">
        <v>1182</v>
      </c>
      <c r="AA278" s="255">
        <v>10</v>
      </c>
      <c r="AB278" s="443" t="s">
        <v>2364</v>
      </c>
      <c r="AC278" s="238"/>
      <c r="AD278" s="292">
        <f t="shared" si="58"/>
        <v>297</v>
      </c>
      <c r="AE278" s="476">
        <f t="shared" si="58"/>
        <v>0</v>
      </c>
      <c r="AF278" s="476">
        <f t="shared" si="58"/>
        <v>0</v>
      </c>
      <c r="AG278" s="554"/>
      <c r="AH278" s="554"/>
      <c r="AI278" s="456"/>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20" t="s">
        <v>1782</v>
      </c>
      <c r="Y279" s="246" t="s">
        <v>1395</v>
      </c>
      <c r="Z279" s="255" t="s">
        <v>1182</v>
      </c>
      <c r="AA279" s="255">
        <v>10</v>
      </c>
      <c r="AB279" s="443" t="s">
        <v>2364</v>
      </c>
      <c r="AC279" s="238">
        <v>200</v>
      </c>
      <c r="AD279" s="292">
        <f t="shared" si="58"/>
        <v>297</v>
      </c>
      <c r="AE279" s="476">
        <f t="shared" si="58"/>
        <v>0</v>
      </c>
      <c r="AF279" s="476">
        <f t="shared" si="58"/>
        <v>0</v>
      </c>
      <c r="AG279" s="554"/>
      <c r="AH279" s="554"/>
      <c r="AI279" s="456"/>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20" t="s">
        <v>1274</v>
      </c>
      <c r="Y280" s="246" t="s">
        <v>1395</v>
      </c>
      <c r="Z280" s="255" t="s">
        <v>1182</v>
      </c>
      <c r="AA280" s="255">
        <v>10</v>
      </c>
      <c r="AB280" s="443" t="s">
        <v>2364</v>
      </c>
      <c r="AC280" s="238">
        <v>240</v>
      </c>
      <c r="AD280" s="292">
        <f>300-3</f>
        <v>297</v>
      </c>
      <c r="AE280" s="476">
        <v>0</v>
      </c>
      <c r="AF280" s="476">
        <v>0</v>
      </c>
      <c r="AG280" s="554"/>
      <c r="AH280" s="554"/>
      <c r="AI280" s="456"/>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20" t="s">
        <v>1254</v>
      </c>
      <c r="Y281" s="246" t="s">
        <v>1395</v>
      </c>
      <c r="Z281" s="235" t="s">
        <v>1182</v>
      </c>
      <c r="AA281" s="235">
        <v>12</v>
      </c>
      <c r="AB281" s="267"/>
      <c r="AC281" s="238"/>
      <c r="AD281" s="292">
        <f>AD282+AD291</f>
        <v>626</v>
      </c>
      <c r="AE281" s="476">
        <f t="shared" ref="AD281:AF283" si="59">AE282</f>
        <v>326</v>
      </c>
      <c r="AF281" s="476">
        <f t="shared" si="59"/>
        <v>326</v>
      </c>
      <c r="AG281" s="554"/>
      <c r="AH281" s="554"/>
      <c r="AI281" s="456"/>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49" t="s">
        <v>1854</v>
      </c>
      <c r="Y282" s="246" t="s">
        <v>1395</v>
      </c>
      <c r="Z282" s="235" t="s">
        <v>1182</v>
      </c>
      <c r="AA282" s="235">
        <v>12</v>
      </c>
      <c r="AB282" s="249" t="s">
        <v>1762</v>
      </c>
      <c r="AC282" s="238"/>
      <c r="AD282" s="292">
        <f t="shared" si="59"/>
        <v>326</v>
      </c>
      <c r="AE282" s="476">
        <f t="shared" si="59"/>
        <v>326</v>
      </c>
      <c r="AF282" s="476">
        <f t="shared" si="59"/>
        <v>326</v>
      </c>
      <c r="AG282" s="554"/>
      <c r="AH282" s="554"/>
      <c r="AI282" s="456"/>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49" t="s">
        <v>1855</v>
      </c>
      <c r="Y283" s="246" t="s">
        <v>1395</v>
      </c>
      <c r="Z283" s="235" t="s">
        <v>1182</v>
      </c>
      <c r="AA283" s="235">
        <v>12</v>
      </c>
      <c r="AB283" s="249" t="s">
        <v>1766</v>
      </c>
      <c r="AC283" s="238"/>
      <c r="AD283" s="292">
        <f t="shared" si="59"/>
        <v>326</v>
      </c>
      <c r="AE283" s="476">
        <f t="shared" si="59"/>
        <v>326</v>
      </c>
      <c r="AF283" s="476">
        <f t="shared" si="59"/>
        <v>326</v>
      </c>
      <c r="AG283" s="554"/>
      <c r="AH283" s="554"/>
      <c r="AI283" s="456"/>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30" t="s">
        <v>2282</v>
      </c>
      <c r="Y284" s="246" t="s">
        <v>1395</v>
      </c>
      <c r="Z284" s="235" t="s">
        <v>1182</v>
      </c>
      <c r="AA284" s="235">
        <v>12</v>
      </c>
      <c r="AB284" s="249" t="s">
        <v>2206</v>
      </c>
      <c r="AC284" s="580"/>
      <c r="AD284" s="292">
        <f>AD285+AD288</f>
        <v>326</v>
      </c>
      <c r="AE284" s="476">
        <f>AE285+AE288</f>
        <v>326</v>
      </c>
      <c r="AF284" s="476">
        <f>AF285+AF288</f>
        <v>326</v>
      </c>
      <c r="AG284" s="554"/>
      <c r="AH284" s="554"/>
      <c r="AI284" s="456"/>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30" t="s">
        <v>1986</v>
      </c>
      <c r="Y285" s="246" t="s">
        <v>1395</v>
      </c>
      <c r="Z285" s="235" t="s">
        <v>1182</v>
      </c>
      <c r="AA285" s="235">
        <v>12</v>
      </c>
      <c r="AB285" s="443" t="s">
        <v>2205</v>
      </c>
      <c r="AC285" s="577"/>
      <c r="AD285" s="292">
        <f t="shared" ref="AD285:AF286" si="60">AD286</f>
        <v>75</v>
      </c>
      <c r="AE285" s="476">
        <f t="shared" si="60"/>
        <v>75</v>
      </c>
      <c r="AF285" s="476">
        <f t="shared" si="60"/>
        <v>75</v>
      </c>
      <c r="AG285" s="554"/>
      <c r="AH285" s="554"/>
      <c r="AI285" s="456"/>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20" t="s">
        <v>1782</v>
      </c>
      <c r="Y286" s="246" t="s">
        <v>1395</v>
      </c>
      <c r="Z286" s="235" t="s">
        <v>1182</v>
      </c>
      <c r="AA286" s="235">
        <v>12</v>
      </c>
      <c r="AB286" s="443" t="s">
        <v>2205</v>
      </c>
      <c r="AC286" s="238">
        <v>200</v>
      </c>
      <c r="AD286" s="292">
        <f t="shared" si="60"/>
        <v>75</v>
      </c>
      <c r="AE286" s="476">
        <f t="shared" si="60"/>
        <v>75</v>
      </c>
      <c r="AF286" s="476">
        <f t="shared" si="60"/>
        <v>75</v>
      </c>
      <c r="AG286" s="554"/>
      <c r="AH286" s="554"/>
      <c r="AI286" s="456"/>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20" t="s">
        <v>1274</v>
      </c>
      <c r="Y287" s="246" t="s">
        <v>1395</v>
      </c>
      <c r="Z287" s="235" t="s">
        <v>1182</v>
      </c>
      <c r="AA287" s="235">
        <v>12</v>
      </c>
      <c r="AB287" s="443" t="s">
        <v>2205</v>
      </c>
      <c r="AC287" s="238">
        <v>240</v>
      </c>
      <c r="AD287" s="292">
        <v>75</v>
      </c>
      <c r="AE287" s="476">
        <v>75</v>
      </c>
      <c r="AF287" s="476">
        <v>75</v>
      </c>
      <c r="AG287" s="554"/>
      <c r="AH287" s="554"/>
      <c r="AI287" s="456"/>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0" t="s">
        <v>2284</v>
      </c>
      <c r="Y288" s="246" t="s">
        <v>1395</v>
      </c>
      <c r="Z288" s="235" t="s">
        <v>1182</v>
      </c>
      <c r="AA288" s="235">
        <v>12</v>
      </c>
      <c r="AB288" s="249" t="s">
        <v>2283</v>
      </c>
      <c r="AC288" s="238"/>
      <c r="AD288" s="292">
        <f t="shared" ref="AD288:AF289" si="61">AD289</f>
        <v>251</v>
      </c>
      <c r="AE288" s="476">
        <f t="shared" si="61"/>
        <v>251</v>
      </c>
      <c r="AF288" s="476">
        <f t="shared" si="61"/>
        <v>251</v>
      </c>
      <c r="AG288" s="554"/>
      <c r="AH288" s="554"/>
      <c r="AI288" s="456"/>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20" t="s">
        <v>1782</v>
      </c>
      <c r="Y289" s="246" t="s">
        <v>1395</v>
      </c>
      <c r="Z289" s="235" t="s">
        <v>1182</v>
      </c>
      <c r="AA289" s="235">
        <v>12</v>
      </c>
      <c r="AB289" s="249" t="s">
        <v>2283</v>
      </c>
      <c r="AC289" s="238">
        <v>200</v>
      </c>
      <c r="AD289" s="292">
        <f t="shared" si="61"/>
        <v>251</v>
      </c>
      <c r="AE289" s="476">
        <f t="shared" si="61"/>
        <v>251</v>
      </c>
      <c r="AF289" s="476">
        <f t="shared" si="61"/>
        <v>251</v>
      </c>
      <c r="AG289" s="554"/>
      <c r="AH289" s="554"/>
      <c r="AI289" s="456"/>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20" t="s">
        <v>1274</v>
      </c>
      <c r="Y290" s="246" t="s">
        <v>1395</v>
      </c>
      <c r="Z290" s="235" t="s">
        <v>1182</v>
      </c>
      <c r="AA290" s="235">
        <v>12</v>
      </c>
      <c r="AB290" s="249" t="s">
        <v>2283</v>
      </c>
      <c r="AC290" s="238">
        <v>240</v>
      </c>
      <c r="AD290" s="292">
        <v>251</v>
      </c>
      <c r="AE290" s="476">
        <v>251</v>
      </c>
      <c r="AF290" s="476">
        <v>251</v>
      </c>
      <c r="AG290" s="554"/>
      <c r="AH290" s="554"/>
      <c r="AI290" s="456"/>
    </row>
    <row r="291" spans="1:35" s="370" customFormat="1" ht="22.9" customHeight="1" x14ac:dyDescent="0.25">
      <c r="A291" s="311"/>
      <c r="B291" s="345"/>
      <c r="C291" s="346"/>
      <c r="D291" s="346"/>
      <c r="E291" s="347"/>
      <c r="F291" s="347"/>
      <c r="G291" s="351"/>
      <c r="H291" s="372"/>
      <c r="I291" s="313"/>
      <c r="J291" s="313"/>
      <c r="K291" s="313"/>
      <c r="L291" s="340"/>
      <c r="M291" s="313"/>
      <c r="N291" s="340"/>
      <c r="O291" s="349"/>
      <c r="P291" s="348"/>
      <c r="Q291" s="350"/>
      <c r="R291" s="354"/>
      <c r="S291" s="354"/>
      <c r="T291" s="354"/>
      <c r="U291" s="354"/>
      <c r="V291" s="354"/>
      <c r="W291" s="372"/>
      <c r="X291" s="520" t="s">
        <v>2476</v>
      </c>
      <c r="Y291" s="246" t="s">
        <v>1395</v>
      </c>
      <c r="Z291" s="235" t="s">
        <v>1182</v>
      </c>
      <c r="AA291" s="235">
        <v>12</v>
      </c>
      <c r="AB291" s="249" t="s">
        <v>2483</v>
      </c>
      <c r="AC291" s="238"/>
      <c r="AD291" s="292">
        <f>AD292</f>
        <v>300</v>
      </c>
      <c r="AE291" s="292">
        <f t="shared" ref="AE291:AF291" si="62">AE292</f>
        <v>0</v>
      </c>
      <c r="AF291" s="292">
        <f t="shared" si="62"/>
        <v>0</v>
      </c>
      <c r="AG291" s="554"/>
      <c r="AH291" s="554"/>
      <c r="AI291" s="456"/>
    </row>
    <row r="292" spans="1:35" s="370" customFormat="1" ht="22.9" customHeight="1" x14ac:dyDescent="0.25">
      <c r="A292" s="311"/>
      <c r="B292" s="345"/>
      <c r="C292" s="346"/>
      <c r="D292" s="346"/>
      <c r="E292" s="347"/>
      <c r="F292" s="347"/>
      <c r="G292" s="351"/>
      <c r="H292" s="372"/>
      <c r="I292" s="313"/>
      <c r="J292" s="313"/>
      <c r="K292" s="313"/>
      <c r="L292" s="340"/>
      <c r="M292" s="313"/>
      <c r="N292" s="340"/>
      <c r="O292" s="349"/>
      <c r="P292" s="348"/>
      <c r="Q292" s="350"/>
      <c r="R292" s="354"/>
      <c r="S292" s="354"/>
      <c r="T292" s="354"/>
      <c r="U292" s="354"/>
      <c r="V292" s="354"/>
      <c r="W292" s="372"/>
      <c r="X292" s="520" t="s">
        <v>2481</v>
      </c>
      <c r="Y292" s="246" t="s">
        <v>1395</v>
      </c>
      <c r="Z292" s="235" t="s">
        <v>1182</v>
      </c>
      <c r="AA292" s="235">
        <v>12</v>
      </c>
      <c r="AB292" s="249" t="s">
        <v>2482</v>
      </c>
      <c r="AC292" s="238"/>
      <c r="AD292" s="292">
        <f>AD293</f>
        <v>300</v>
      </c>
      <c r="AE292" s="292">
        <f t="shared" ref="AE292:AF292" si="63">AE293</f>
        <v>0</v>
      </c>
      <c r="AF292" s="292">
        <f t="shared" si="63"/>
        <v>0</v>
      </c>
      <c r="AG292" s="554"/>
      <c r="AH292" s="554"/>
      <c r="AI292" s="456"/>
    </row>
    <row r="293" spans="1:35" s="370" customFormat="1" ht="31.15" customHeight="1" x14ac:dyDescent="0.25">
      <c r="A293" s="311"/>
      <c r="B293" s="345"/>
      <c r="C293" s="346"/>
      <c r="D293" s="346"/>
      <c r="E293" s="347"/>
      <c r="F293" s="347"/>
      <c r="G293" s="351"/>
      <c r="H293" s="372"/>
      <c r="I293" s="313"/>
      <c r="J293" s="313"/>
      <c r="K293" s="313"/>
      <c r="L293" s="340"/>
      <c r="M293" s="313"/>
      <c r="N293" s="340"/>
      <c r="O293" s="349"/>
      <c r="P293" s="348"/>
      <c r="Q293" s="350"/>
      <c r="R293" s="354"/>
      <c r="S293" s="354"/>
      <c r="T293" s="354"/>
      <c r="U293" s="354"/>
      <c r="V293" s="354"/>
      <c r="W293" s="372"/>
      <c r="X293" s="520" t="s">
        <v>2477</v>
      </c>
      <c r="Y293" s="246" t="s">
        <v>1395</v>
      </c>
      <c r="Z293" s="235" t="s">
        <v>1182</v>
      </c>
      <c r="AA293" s="235">
        <v>12</v>
      </c>
      <c r="AB293" s="249" t="s">
        <v>2480</v>
      </c>
      <c r="AC293" s="238"/>
      <c r="AD293" s="292">
        <f>AD294</f>
        <v>300</v>
      </c>
      <c r="AE293" s="292">
        <f t="shared" ref="AE293:AF293" si="64">AE294</f>
        <v>0</v>
      </c>
      <c r="AF293" s="292">
        <f t="shared" si="64"/>
        <v>0</v>
      </c>
      <c r="AG293" s="554"/>
      <c r="AH293" s="554"/>
      <c r="AI293" s="456"/>
    </row>
    <row r="294" spans="1:35" s="370" customFormat="1" x14ac:dyDescent="0.25">
      <c r="A294" s="311"/>
      <c r="B294" s="345"/>
      <c r="C294" s="346"/>
      <c r="D294" s="346"/>
      <c r="E294" s="347"/>
      <c r="F294" s="347"/>
      <c r="G294" s="351"/>
      <c r="H294" s="372"/>
      <c r="I294" s="313"/>
      <c r="J294" s="313"/>
      <c r="K294" s="313"/>
      <c r="L294" s="340"/>
      <c r="M294" s="313"/>
      <c r="N294" s="340"/>
      <c r="O294" s="349"/>
      <c r="P294" s="348"/>
      <c r="Q294" s="350"/>
      <c r="R294" s="354"/>
      <c r="S294" s="354"/>
      <c r="T294" s="354"/>
      <c r="U294" s="354"/>
      <c r="V294" s="354"/>
      <c r="W294" s="372"/>
      <c r="X294" s="520" t="s">
        <v>2478</v>
      </c>
      <c r="Y294" s="246" t="s">
        <v>1395</v>
      </c>
      <c r="Z294" s="235" t="s">
        <v>1182</v>
      </c>
      <c r="AA294" s="235">
        <v>12</v>
      </c>
      <c r="AB294" s="249" t="s">
        <v>2479</v>
      </c>
      <c r="AC294" s="238"/>
      <c r="AD294" s="292">
        <f>AD295</f>
        <v>300</v>
      </c>
      <c r="AE294" s="292">
        <f t="shared" ref="AE294:AF294" si="65">AE295</f>
        <v>0</v>
      </c>
      <c r="AF294" s="292">
        <f t="shared" si="65"/>
        <v>0</v>
      </c>
      <c r="AG294" s="554"/>
      <c r="AH294" s="554"/>
      <c r="AI294" s="456"/>
    </row>
    <row r="295" spans="1:35" s="370" customFormat="1" x14ac:dyDescent="0.25">
      <c r="A295" s="311"/>
      <c r="B295" s="345"/>
      <c r="C295" s="346"/>
      <c r="D295" s="346"/>
      <c r="E295" s="347"/>
      <c r="F295" s="347"/>
      <c r="G295" s="351"/>
      <c r="H295" s="372"/>
      <c r="I295" s="313"/>
      <c r="J295" s="313"/>
      <c r="K295" s="313"/>
      <c r="L295" s="340"/>
      <c r="M295" s="313"/>
      <c r="N295" s="340"/>
      <c r="O295" s="349"/>
      <c r="P295" s="348"/>
      <c r="Q295" s="350"/>
      <c r="R295" s="354"/>
      <c r="S295" s="354"/>
      <c r="T295" s="354"/>
      <c r="U295" s="354"/>
      <c r="V295" s="354"/>
      <c r="W295" s="372"/>
      <c r="X295" s="842" t="s">
        <v>924</v>
      </c>
      <c r="Y295" s="246" t="s">
        <v>1395</v>
      </c>
      <c r="Z295" s="235" t="s">
        <v>1182</v>
      </c>
      <c r="AA295" s="235">
        <v>12</v>
      </c>
      <c r="AB295" s="249" t="s">
        <v>2479</v>
      </c>
      <c r="AC295" s="238">
        <v>800</v>
      </c>
      <c r="AD295" s="292">
        <f>AD296</f>
        <v>300</v>
      </c>
      <c r="AE295" s="292">
        <f t="shared" ref="AE295:AF295" si="66">AE296</f>
        <v>0</v>
      </c>
      <c r="AF295" s="292">
        <f t="shared" si="66"/>
        <v>0</v>
      </c>
      <c r="AG295" s="554"/>
      <c r="AH295" s="554"/>
      <c r="AI295" s="456"/>
    </row>
    <row r="296" spans="1:35" s="370" customFormat="1" ht="32.450000000000003" customHeight="1" x14ac:dyDescent="0.25">
      <c r="A296" s="311"/>
      <c r="B296" s="345"/>
      <c r="C296" s="346"/>
      <c r="D296" s="346"/>
      <c r="E296" s="347"/>
      <c r="F296" s="347"/>
      <c r="G296" s="351"/>
      <c r="H296" s="372"/>
      <c r="I296" s="313"/>
      <c r="J296" s="313"/>
      <c r="K296" s="313"/>
      <c r="L296" s="340"/>
      <c r="M296" s="313"/>
      <c r="N296" s="340"/>
      <c r="O296" s="349"/>
      <c r="P296" s="348"/>
      <c r="Q296" s="350"/>
      <c r="R296" s="354"/>
      <c r="S296" s="354"/>
      <c r="T296" s="354"/>
      <c r="U296" s="354"/>
      <c r="V296" s="354"/>
      <c r="W296" s="372"/>
      <c r="X296" s="623" t="s">
        <v>1783</v>
      </c>
      <c r="Y296" s="246" t="s">
        <v>1395</v>
      </c>
      <c r="Z296" s="235" t="s">
        <v>1182</v>
      </c>
      <c r="AA296" s="235">
        <v>12</v>
      </c>
      <c r="AB296" s="249" t="s">
        <v>2479</v>
      </c>
      <c r="AC296" s="238">
        <v>810</v>
      </c>
      <c r="AD296" s="292">
        <v>300</v>
      </c>
      <c r="AE296" s="292">
        <v>0</v>
      </c>
      <c r="AF296" s="292">
        <v>0</v>
      </c>
      <c r="AG296" s="554"/>
      <c r="AH296" s="554"/>
      <c r="AI296" s="456"/>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59" t="s">
        <v>173</v>
      </c>
      <c r="Y297" s="575" t="s">
        <v>1395</v>
      </c>
      <c r="Z297" s="247" t="s">
        <v>175</v>
      </c>
      <c r="AA297" s="247"/>
      <c r="AB297" s="271"/>
      <c r="AC297" s="589"/>
      <c r="AD297" s="745">
        <f>AD298+AD311+AD340</f>
        <v>46962.7</v>
      </c>
      <c r="AE297" s="745">
        <f>AE298+AE311+AE340</f>
        <v>33436.699999999997</v>
      </c>
      <c r="AF297" s="745">
        <f>AF298+AF311+AF340</f>
        <v>33289.699999999997</v>
      </c>
      <c r="AG297" s="647"/>
      <c r="AH297" s="647"/>
      <c r="AI297" s="456"/>
    </row>
    <row r="298" spans="1:35" s="344" customFormat="1"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20" t="s">
        <v>1592</v>
      </c>
      <c r="Y298" s="246" t="s">
        <v>1395</v>
      </c>
      <c r="Z298" s="235" t="s">
        <v>175</v>
      </c>
      <c r="AA298" s="235" t="s">
        <v>566</v>
      </c>
      <c r="AB298" s="249"/>
      <c r="AC298" s="589"/>
      <c r="AD298" s="292">
        <f>AD299+AD305</f>
        <v>13318.1</v>
      </c>
      <c r="AE298" s="476">
        <f>AE299+AE305</f>
        <v>10002.1</v>
      </c>
      <c r="AF298" s="476">
        <f>AF299+AF305</f>
        <v>10002.1</v>
      </c>
      <c r="AG298" s="554"/>
      <c r="AH298" s="554"/>
      <c r="AI298" s="456"/>
    </row>
    <row r="299" spans="1:35" s="344" customFormat="1" x14ac:dyDescent="0.25">
      <c r="A299" s="381"/>
      <c r="B299" s="336"/>
      <c r="C299" s="338"/>
      <c r="D299" s="338"/>
      <c r="E299" s="339"/>
      <c r="F299" s="338"/>
      <c r="G299" s="343"/>
      <c r="H299" s="382"/>
      <c r="I299" s="383"/>
      <c r="J299" s="383"/>
      <c r="K299" s="383"/>
      <c r="L299" s="340"/>
      <c r="M299" s="383"/>
      <c r="N299" s="340"/>
      <c r="O299" s="384"/>
      <c r="P299" s="340"/>
      <c r="Q299" s="342"/>
      <c r="R299" s="362"/>
      <c r="S299" s="362"/>
      <c r="T299" s="362"/>
      <c r="U299" s="362"/>
      <c r="V299" s="362"/>
      <c r="W299" s="382"/>
      <c r="X299" s="549" t="s">
        <v>1899</v>
      </c>
      <c r="Y299" s="246" t="s">
        <v>1395</v>
      </c>
      <c r="Z299" s="235" t="s">
        <v>175</v>
      </c>
      <c r="AA299" s="235" t="s">
        <v>566</v>
      </c>
      <c r="AB299" s="443" t="s">
        <v>1772</v>
      </c>
      <c r="AC299" s="589"/>
      <c r="AD299" s="292">
        <f t="shared" ref="AD299:AF303" si="67">AD300</f>
        <v>8017.1</v>
      </c>
      <c r="AE299" s="476">
        <f t="shared" si="67"/>
        <v>10002.1</v>
      </c>
      <c r="AF299" s="476">
        <f t="shared" si="67"/>
        <v>10002.1</v>
      </c>
      <c r="AG299" s="554"/>
      <c r="AH299" s="554"/>
      <c r="AI299" s="456"/>
    </row>
    <row r="300" spans="1:35" s="344" customFormat="1" x14ac:dyDescent="0.25">
      <c r="A300" s="381"/>
      <c r="B300" s="336"/>
      <c r="C300" s="338"/>
      <c r="D300" s="338"/>
      <c r="E300" s="339"/>
      <c r="F300" s="338"/>
      <c r="G300" s="343"/>
      <c r="H300" s="382"/>
      <c r="I300" s="383"/>
      <c r="J300" s="383"/>
      <c r="K300" s="383"/>
      <c r="L300" s="340"/>
      <c r="M300" s="383"/>
      <c r="N300" s="340"/>
      <c r="O300" s="384"/>
      <c r="P300" s="340"/>
      <c r="Q300" s="342"/>
      <c r="R300" s="362"/>
      <c r="S300" s="362"/>
      <c r="T300" s="362"/>
      <c r="U300" s="362"/>
      <c r="V300" s="362"/>
      <c r="W300" s="382"/>
      <c r="X300" s="549" t="s">
        <v>1894</v>
      </c>
      <c r="Y300" s="246" t="s">
        <v>1395</v>
      </c>
      <c r="Z300" s="235" t="s">
        <v>175</v>
      </c>
      <c r="AA300" s="235" t="s">
        <v>566</v>
      </c>
      <c r="AB300" s="443" t="s">
        <v>1773</v>
      </c>
      <c r="AC300" s="589"/>
      <c r="AD300" s="292">
        <f t="shared" ref="AD300:AF301" si="68">AD301</f>
        <v>8017.1</v>
      </c>
      <c r="AE300" s="476">
        <f t="shared" si="68"/>
        <v>10002.1</v>
      </c>
      <c r="AF300" s="476">
        <f t="shared" si="68"/>
        <v>10002.1</v>
      </c>
      <c r="AG300" s="554"/>
      <c r="AH300" s="554"/>
      <c r="AI300" s="456"/>
    </row>
    <row r="301" spans="1:35" s="344" customFormat="1" ht="31.5" x14ac:dyDescent="0.25">
      <c r="A301" s="381"/>
      <c r="B301" s="336"/>
      <c r="C301" s="338"/>
      <c r="D301" s="338"/>
      <c r="E301" s="339"/>
      <c r="F301" s="338"/>
      <c r="G301" s="343"/>
      <c r="H301" s="382"/>
      <c r="I301" s="383"/>
      <c r="J301" s="383"/>
      <c r="K301" s="383"/>
      <c r="L301" s="340"/>
      <c r="M301" s="383"/>
      <c r="N301" s="340"/>
      <c r="O301" s="384"/>
      <c r="P301" s="340"/>
      <c r="Q301" s="342"/>
      <c r="R301" s="362"/>
      <c r="S301" s="362"/>
      <c r="T301" s="362"/>
      <c r="U301" s="362"/>
      <c r="V301" s="362"/>
      <c r="W301" s="382"/>
      <c r="X301" s="530" t="s">
        <v>1895</v>
      </c>
      <c r="Y301" s="246" t="s">
        <v>1395</v>
      </c>
      <c r="Z301" s="235" t="s">
        <v>175</v>
      </c>
      <c r="AA301" s="235" t="s">
        <v>566</v>
      </c>
      <c r="AB301" s="443" t="s">
        <v>1896</v>
      </c>
      <c r="AC301" s="589"/>
      <c r="AD301" s="292">
        <f t="shared" si="68"/>
        <v>8017.1</v>
      </c>
      <c r="AE301" s="476">
        <f t="shared" si="68"/>
        <v>10002.1</v>
      </c>
      <c r="AF301" s="476">
        <f t="shared" si="68"/>
        <v>10002.1</v>
      </c>
      <c r="AG301" s="554"/>
      <c r="AH301" s="554"/>
      <c r="AI301" s="456"/>
    </row>
    <row r="302" spans="1:35" s="344" customFormat="1" ht="31.5" x14ac:dyDescent="0.25">
      <c r="A302" s="447" t="s">
        <v>1897</v>
      </c>
      <c r="B302" s="246" t="s">
        <v>1327</v>
      </c>
      <c r="C302" s="235" t="s">
        <v>566</v>
      </c>
      <c r="D302" s="235">
        <v>13</v>
      </c>
      <c r="E302" s="444" t="s">
        <v>1898</v>
      </c>
      <c r="F302" s="338"/>
      <c r="G302" s="343"/>
      <c r="H302" s="382"/>
      <c r="I302" s="383"/>
      <c r="J302" s="383"/>
      <c r="K302" s="383"/>
      <c r="L302" s="340"/>
      <c r="M302" s="383"/>
      <c r="N302" s="340"/>
      <c r="O302" s="384"/>
      <c r="P302" s="340"/>
      <c r="Q302" s="342"/>
      <c r="R302" s="362"/>
      <c r="S302" s="362"/>
      <c r="T302" s="362"/>
      <c r="U302" s="362"/>
      <c r="V302" s="362"/>
      <c r="W302" s="382"/>
      <c r="X302" s="532" t="s">
        <v>2396</v>
      </c>
      <c r="Y302" s="246" t="s">
        <v>1395</v>
      </c>
      <c r="Z302" s="235" t="s">
        <v>175</v>
      </c>
      <c r="AA302" s="235" t="s">
        <v>566</v>
      </c>
      <c r="AB302" s="443" t="s">
        <v>2395</v>
      </c>
      <c r="AC302" s="589"/>
      <c r="AD302" s="292">
        <f t="shared" si="67"/>
        <v>8017.1</v>
      </c>
      <c r="AE302" s="476">
        <f t="shared" si="67"/>
        <v>10002.1</v>
      </c>
      <c r="AF302" s="476">
        <f t="shared" si="67"/>
        <v>10002.1</v>
      </c>
      <c r="AG302" s="554"/>
      <c r="AH302" s="554"/>
      <c r="AI302" s="456"/>
    </row>
    <row r="303" spans="1:35" s="344" customFormat="1" x14ac:dyDescent="0.25">
      <c r="A303" s="381"/>
      <c r="B303" s="336"/>
      <c r="C303" s="338"/>
      <c r="D303" s="338"/>
      <c r="E303" s="339"/>
      <c r="F303" s="338"/>
      <c r="G303" s="343"/>
      <c r="H303" s="382"/>
      <c r="I303" s="383"/>
      <c r="J303" s="383"/>
      <c r="K303" s="383"/>
      <c r="L303" s="340"/>
      <c r="M303" s="383"/>
      <c r="N303" s="340"/>
      <c r="O303" s="384"/>
      <c r="P303" s="340"/>
      <c r="Q303" s="342"/>
      <c r="R303" s="362"/>
      <c r="S303" s="362"/>
      <c r="T303" s="362"/>
      <c r="U303" s="362"/>
      <c r="V303" s="362"/>
      <c r="W303" s="382"/>
      <c r="X303" s="520" t="s">
        <v>1782</v>
      </c>
      <c r="Y303" s="246" t="s">
        <v>1395</v>
      </c>
      <c r="Z303" s="235" t="s">
        <v>175</v>
      </c>
      <c r="AA303" s="235" t="s">
        <v>566</v>
      </c>
      <c r="AB303" s="443" t="s">
        <v>2395</v>
      </c>
      <c r="AC303" s="590">
        <v>200</v>
      </c>
      <c r="AD303" s="292">
        <f t="shared" si="67"/>
        <v>8017.1</v>
      </c>
      <c r="AE303" s="476">
        <f t="shared" si="67"/>
        <v>10002.1</v>
      </c>
      <c r="AF303" s="476">
        <f t="shared" si="67"/>
        <v>10002.1</v>
      </c>
      <c r="AG303" s="554"/>
      <c r="AH303" s="554"/>
      <c r="AI303" s="456"/>
    </row>
    <row r="304" spans="1:35" s="344" customFormat="1" ht="31.5" x14ac:dyDescent="0.25">
      <c r="A304" s="381"/>
      <c r="B304" s="336"/>
      <c r="C304" s="338"/>
      <c r="D304" s="338"/>
      <c r="E304" s="339"/>
      <c r="F304" s="338"/>
      <c r="G304" s="343"/>
      <c r="H304" s="382"/>
      <c r="I304" s="383"/>
      <c r="J304" s="383"/>
      <c r="K304" s="383"/>
      <c r="L304" s="340"/>
      <c r="M304" s="383"/>
      <c r="N304" s="340"/>
      <c r="O304" s="384"/>
      <c r="P304" s="340"/>
      <c r="Q304" s="342"/>
      <c r="R304" s="362"/>
      <c r="S304" s="362"/>
      <c r="T304" s="362"/>
      <c r="U304" s="362"/>
      <c r="V304" s="362"/>
      <c r="W304" s="382"/>
      <c r="X304" s="520" t="s">
        <v>1274</v>
      </c>
      <c r="Y304" s="246" t="s">
        <v>1395</v>
      </c>
      <c r="Z304" s="235" t="s">
        <v>175</v>
      </c>
      <c r="AA304" s="235" t="s">
        <v>566</v>
      </c>
      <c r="AB304" s="443" t="s">
        <v>2395</v>
      </c>
      <c r="AC304" s="590">
        <v>240</v>
      </c>
      <c r="AD304" s="292">
        <f>10002.1-1985</f>
        <v>8017.1</v>
      </c>
      <c r="AE304" s="476">
        <v>10002.1</v>
      </c>
      <c r="AF304" s="476">
        <v>10002.1</v>
      </c>
      <c r="AG304" s="554"/>
      <c r="AH304" s="554"/>
      <c r="AI304" s="456"/>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49" t="s">
        <v>1973</v>
      </c>
      <c r="Y305" s="246" t="s">
        <v>1395</v>
      </c>
      <c r="Z305" s="235" t="s">
        <v>175</v>
      </c>
      <c r="AA305" s="235" t="s">
        <v>566</v>
      </c>
      <c r="AB305" s="443" t="s">
        <v>1974</v>
      </c>
      <c r="AC305" s="577"/>
      <c r="AD305" s="292">
        <f t="shared" ref="AD305:AF307" si="69">AD306</f>
        <v>5301</v>
      </c>
      <c r="AE305" s="476">
        <f t="shared" si="69"/>
        <v>0</v>
      </c>
      <c r="AF305" s="476">
        <f t="shared" si="69"/>
        <v>0</v>
      </c>
      <c r="AG305" s="554"/>
      <c r="AH305" s="554"/>
      <c r="AI305" s="456"/>
    </row>
    <row r="306" spans="1:35" s="388" customFormat="1" ht="31.5" x14ac:dyDescent="0.25">
      <c r="A306" s="385"/>
      <c r="B306" s="386"/>
      <c r="C306" s="387"/>
      <c r="D306" s="387"/>
      <c r="E306" s="387"/>
      <c r="F306" s="387"/>
      <c r="G306" s="387"/>
      <c r="I306" s="389"/>
      <c r="J306" s="389"/>
      <c r="K306" s="389"/>
      <c r="L306" s="389"/>
      <c r="M306" s="389"/>
      <c r="N306" s="389"/>
      <c r="O306" s="390"/>
      <c r="P306" s="391"/>
      <c r="R306" s="392"/>
      <c r="S306" s="393"/>
      <c r="W306" s="394"/>
      <c r="X306" s="549" t="s">
        <v>2300</v>
      </c>
      <c r="Y306" s="246" t="s">
        <v>1395</v>
      </c>
      <c r="Z306" s="235" t="s">
        <v>175</v>
      </c>
      <c r="AA306" s="235" t="s">
        <v>566</v>
      </c>
      <c r="AB306" s="443" t="s">
        <v>2146</v>
      </c>
      <c r="AC306" s="577"/>
      <c r="AD306" s="292">
        <f>AD307</f>
        <v>5301</v>
      </c>
      <c r="AE306" s="476">
        <f t="shared" si="69"/>
        <v>0</v>
      </c>
      <c r="AF306" s="476">
        <f t="shared" si="69"/>
        <v>0</v>
      </c>
      <c r="AG306" s="554"/>
      <c r="AH306" s="554"/>
      <c r="AI306" s="456"/>
    </row>
    <row r="307" spans="1:35" s="388" customFormat="1" ht="31.5" x14ac:dyDescent="0.25">
      <c r="A307" s="385"/>
      <c r="B307" s="386"/>
      <c r="C307" s="387"/>
      <c r="D307" s="387"/>
      <c r="E307" s="387"/>
      <c r="F307" s="387"/>
      <c r="G307" s="387"/>
      <c r="I307" s="389"/>
      <c r="J307" s="389"/>
      <c r="K307" s="389"/>
      <c r="L307" s="389"/>
      <c r="M307" s="389"/>
      <c r="N307" s="389"/>
      <c r="O307" s="390"/>
      <c r="P307" s="391"/>
      <c r="R307" s="392"/>
      <c r="S307" s="393"/>
      <c r="W307" s="394"/>
      <c r="X307" s="530" t="s">
        <v>2153</v>
      </c>
      <c r="Y307" s="246" t="s">
        <v>1395</v>
      </c>
      <c r="Z307" s="235" t="s">
        <v>175</v>
      </c>
      <c r="AA307" s="235" t="s">
        <v>566</v>
      </c>
      <c r="AB307" s="443" t="s">
        <v>2156</v>
      </c>
      <c r="AC307" s="577"/>
      <c r="AD307" s="292">
        <f t="shared" si="69"/>
        <v>5301</v>
      </c>
      <c r="AE307" s="476">
        <f t="shared" si="69"/>
        <v>0</v>
      </c>
      <c r="AF307" s="476">
        <f t="shared" si="69"/>
        <v>0</v>
      </c>
      <c r="AG307" s="554"/>
      <c r="AH307" s="554"/>
      <c r="AI307" s="456"/>
    </row>
    <row r="308" spans="1:35" s="388" customFormat="1" x14ac:dyDescent="0.25">
      <c r="A308" s="385"/>
      <c r="B308" s="386"/>
      <c r="C308" s="387"/>
      <c r="D308" s="387"/>
      <c r="E308" s="387"/>
      <c r="F308" s="387"/>
      <c r="G308" s="387"/>
      <c r="I308" s="389"/>
      <c r="J308" s="389"/>
      <c r="K308" s="389"/>
      <c r="L308" s="389"/>
      <c r="M308" s="389"/>
      <c r="N308" s="389"/>
      <c r="O308" s="390"/>
      <c r="P308" s="391"/>
      <c r="R308" s="392"/>
      <c r="S308" s="393"/>
      <c r="W308" s="394"/>
      <c r="X308" s="530" t="s">
        <v>2154</v>
      </c>
      <c r="Y308" s="246" t="s">
        <v>1395</v>
      </c>
      <c r="Z308" s="235" t="s">
        <v>175</v>
      </c>
      <c r="AA308" s="235" t="s">
        <v>566</v>
      </c>
      <c r="AB308" s="443" t="s">
        <v>2155</v>
      </c>
      <c r="AC308" s="577"/>
      <c r="AD308" s="292">
        <f t="shared" ref="AD308:AF309" si="70">AD309</f>
        <v>5301</v>
      </c>
      <c r="AE308" s="476">
        <f t="shared" si="70"/>
        <v>0</v>
      </c>
      <c r="AF308" s="476">
        <f t="shared" si="70"/>
        <v>0</v>
      </c>
      <c r="AG308" s="554"/>
      <c r="AH308" s="554"/>
      <c r="AI308" s="456"/>
    </row>
    <row r="309" spans="1:35" s="388" customFormat="1" x14ac:dyDescent="0.25">
      <c r="A309" s="385"/>
      <c r="B309" s="386"/>
      <c r="C309" s="387"/>
      <c r="D309" s="387"/>
      <c r="E309" s="387"/>
      <c r="F309" s="387"/>
      <c r="G309" s="387"/>
      <c r="I309" s="389"/>
      <c r="J309" s="389"/>
      <c r="K309" s="389"/>
      <c r="L309" s="389"/>
      <c r="M309" s="389"/>
      <c r="N309" s="389"/>
      <c r="O309" s="390"/>
      <c r="P309" s="391"/>
      <c r="R309" s="392"/>
      <c r="S309" s="393"/>
      <c r="W309" s="394"/>
      <c r="X309" s="520" t="s">
        <v>924</v>
      </c>
      <c r="Y309" s="246" t="s">
        <v>1395</v>
      </c>
      <c r="Z309" s="235" t="s">
        <v>175</v>
      </c>
      <c r="AA309" s="235" t="s">
        <v>566</v>
      </c>
      <c r="AB309" s="443" t="s">
        <v>2155</v>
      </c>
      <c r="AC309" s="580" t="s">
        <v>2242</v>
      </c>
      <c r="AD309" s="292">
        <f t="shared" si="70"/>
        <v>5301</v>
      </c>
      <c r="AE309" s="476">
        <f t="shared" si="70"/>
        <v>0</v>
      </c>
      <c r="AF309" s="476">
        <f t="shared" si="70"/>
        <v>0</v>
      </c>
      <c r="AG309" s="554"/>
      <c r="AH309" s="554"/>
      <c r="AI309" s="456"/>
    </row>
    <row r="310" spans="1:35" s="388" customFormat="1" ht="31.5" x14ac:dyDescent="0.25">
      <c r="A310" s="385"/>
      <c r="B310" s="386"/>
      <c r="C310" s="387"/>
      <c r="D310" s="387"/>
      <c r="E310" s="387"/>
      <c r="F310" s="387"/>
      <c r="G310" s="387"/>
      <c r="I310" s="389"/>
      <c r="J310" s="389"/>
      <c r="K310" s="389"/>
      <c r="L310" s="389"/>
      <c r="M310" s="389"/>
      <c r="N310" s="389"/>
      <c r="O310" s="390"/>
      <c r="P310" s="391"/>
      <c r="R310" s="392"/>
      <c r="S310" s="393"/>
      <c r="W310" s="394"/>
      <c r="X310" s="520" t="s">
        <v>1783</v>
      </c>
      <c r="Y310" s="246" t="s">
        <v>1395</v>
      </c>
      <c r="Z310" s="235" t="s">
        <v>175</v>
      </c>
      <c r="AA310" s="235" t="s">
        <v>566</v>
      </c>
      <c r="AB310" s="443" t="s">
        <v>2155</v>
      </c>
      <c r="AC310" s="580" t="s">
        <v>2243</v>
      </c>
      <c r="AD310" s="292">
        <f>3762.6+825.9+584.2+128.3</f>
        <v>5301</v>
      </c>
      <c r="AE310" s="476">
        <f>0</f>
        <v>0</v>
      </c>
      <c r="AF310" s="476">
        <f>0</f>
        <v>0</v>
      </c>
      <c r="AG310" s="554"/>
      <c r="AH310" s="554"/>
      <c r="AI310" s="456"/>
    </row>
    <row r="311" spans="1:35" s="344" customFormat="1"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20" t="s">
        <v>340</v>
      </c>
      <c r="Y311" s="246" t="s">
        <v>1395</v>
      </c>
      <c r="Z311" s="235" t="s">
        <v>175</v>
      </c>
      <c r="AA311" s="235" t="s">
        <v>193</v>
      </c>
      <c r="AB311" s="270"/>
      <c r="AC311" s="580"/>
      <c r="AD311" s="292">
        <f>AD325+AD312+AD331</f>
        <v>23785</v>
      </c>
      <c r="AE311" s="476">
        <f>AE325+AE312+AE331</f>
        <v>13518.5</v>
      </c>
      <c r="AF311" s="476">
        <f>AF325+AF312+AF331</f>
        <v>13518.5</v>
      </c>
      <c r="AG311" s="554"/>
      <c r="AH311" s="554"/>
      <c r="AI311" s="456"/>
    </row>
    <row r="312" spans="1:35" s="344" customFormat="1" ht="31.5"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21" t="s">
        <v>1854</v>
      </c>
      <c r="Y312" s="246" t="s">
        <v>1395</v>
      </c>
      <c r="Z312" s="235" t="s">
        <v>175</v>
      </c>
      <c r="AA312" s="235" t="s">
        <v>193</v>
      </c>
      <c r="AB312" s="249" t="s">
        <v>1762</v>
      </c>
      <c r="AC312" s="580"/>
      <c r="AD312" s="292">
        <f t="shared" ref="AD312:AF313" si="71">AD313</f>
        <v>15807.400000000001</v>
      </c>
      <c r="AE312" s="476">
        <f t="shared" si="71"/>
        <v>6294.2999999999993</v>
      </c>
      <c r="AF312" s="476">
        <f t="shared" si="71"/>
        <v>6294.2999999999993</v>
      </c>
      <c r="AG312" s="554"/>
      <c r="AH312" s="554"/>
      <c r="AI312" s="456"/>
    </row>
    <row r="313" spans="1:35" s="344" customFormat="1"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49" t="s">
        <v>1855</v>
      </c>
      <c r="Y313" s="246" t="s">
        <v>1395</v>
      </c>
      <c r="Z313" s="235" t="s">
        <v>175</v>
      </c>
      <c r="AA313" s="235" t="s">
        <v>193</v>
      </c>
      <c r="AB313" s="249" t="s">
        <v>1766</v>
      </c>
      <c r="AC313" s="580"/>
      <c r="AD313" s="292">
        <f t="shared" si="71"/>
        <v>15807.400000000001</v>
      </c>
      <c r="AE313" s="476">
        <f t="shared" si="71"/>
        <v>6294.2999999999993</v>
      </c>
      <c r="AF313" s="476">
        <f t="shared" si="71"/>
        <v>6294.2999999999993</v>
      </c>
      <c r="AG313" s="554"/>
      <c r="AH313" s="554"/>
      <c r="AI313" s="456"/>
    </row>
    <row r="314" spans="1:35" s="344" customFormat="1"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624" t="s">
        <v>2282</v>
      </c>
      <c r="Y314" s="246" t="s">
        <v>1395</v>
      </c>
      <c r="Z314" s="235" t="s">
        <v>175</v>
      </c>
      <c r="AA314" s="235" t="s">
        <v>193</v>
      </c>
      <c r="AB314" s="249" t="s">
        <v>2206</v>
      </c>
      <c r="AC314" s="580"/>
      <c r="AD314" s="292">
        <f>AD315+AD318</f>
        <v>15807.400000000001</v>
      </c>
      <c r="AE314" s="476">
        <f>AE315+AE318</f>
        <v>6294.2999999999993</v>
      </c>
      <c r="AF314" s="476">
        <f>AF315+AF318</f>
        <v>6294.2999999999993</v>
      </c>
      <c r="AG314" s="554"/>
      <c r="AH314" s="554"/>
      <c r="AI314" s="456"/>
    </row>
    <row r="315" spans="1:35" s="344" customFormat="1"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30" t="s">
        <v>1988</v>
      </c>
      <c r="Y315" s="246" t="s">
        <v>1395</v>
      </c>
      <c r="Z315" s="235" t="s">
        <v>175</v>
      </c>
      <c r="AA315" s="235" t="s">
        <v>193</v>
      </c>
      <c r="AB315" s="249" t="s">
        <v>2273</v>
      </c>
      <c r="AC315" s="580"/>
      <c r="AD315" s="292">
        <f t="shared" ref="AD315:AF316" si="72">AD316</f>
        <v>11098.5</v>
      </c>
      <c r="AE315" s="476">
        <f t="shared" si="72"/>
        <v>1585.4</v>
      </c>
      <c r="AF315" s="476">
        <f t="shared" si="72"/>
        <v>1585.4</v>
      </c>
      <c r="AG315" s="554"/>
      <c r="AH315" s="554"/>
      <c r="AI315" s="456"/>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0" t="s">
        <v>1782</v>
      </c>
      <c r="Y316" s="246" t="s">
        <v>1395</v>
      </c>
      <c r="Z316" s="235" t="s">
        <v>175</v>
      </c>
      <c r="AA316" s="235" t="s">
        <v>193</v>
      </c>
      <c r="AB316" s="249" t="s">
        <v>2273</v>
      </c>
      <c r="AC316" s="580" t="s">
        <v>821</v>
      </c>
      <c r="AD316" s="292">
        <f t="shared" si="72"/>
        <v>11098.5</v>
      </c>
      <c r="AE316" s="476">
        <f t="shared" si="72"/>
        <v>1585.4</v>
      </c>
      <c r="AF316" s="476">
        <f t="shared" si="72"/>
        <v>1585.4</v>
      </c>
      <c r="AG316" s="554"/>
      <c r="AH316" s="554"/>
      <c r="AI316" s="456"/>
    </row>
    <row r="317" spans="1:35"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0" t="s">
        <v>1274</v>
      </c>
      <c r="Y317" s="246" t="s">
        <v>1395</v>
      </c>
      <c r="Z317" s="235" t="s">
        <v>175</v>
      </c>
      <c r="AA317" s="235" t="s">
        <v>193</v>
      </c>
      <c r="AB317" s="249" t="s">
        <v>2273</v>
      </c>
      <c r="AC317" s="580" t="s">
        <v>1480</v>
      </c>
      <c r="AD317" s="292">
        <f>1585.4+9513.1</f>
        <v>11098.5</v>
      </c>
      <c r="AE317" s="476">
        <v>1585.4</v>
      </c>
      <c r="AF317" s="476">
        <v>1585.4</v>
      </c>
      <c r="AG317" s="554"/>
      <c r="AH317" s="554"/>
      <c r="AI317" s="456"/>
    </row>
    <row r="318" spans="1:35" s="344" customFormat="1" ht="31.5"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32" t="s">
        <v>1987</v>
      </c>
      <c r="Y318" s="246" t="s">
        <v>1395</v>
      </c>
      <c r="Z318" s="235" t="s">
        <v>175</v>
      </c>
      <c r="AA318" s="235" t="s">
        <v>193</v>
      </c>
      <c r="AB318" s="249" t="s">
        <v>2208</v>
      </c>
      <c r="AC318" s="580"/>
      <c r="AD318" s="292">
        <f>AD319+AD321+AD323</f>
        <v>4708.9000000000005</v>
      </c>
      <c r="AE318" s="476">
        <f>AE319+AE321+AE323</f>
        <v>4708.8999999999996</v>
      </c>
      <c r="AF318" s="476">
        <f>AF319+AF321+AF323</f>
        <v>4708.8999999999996</v>
      </c>
      <c r="AG318" s="554"/>
      <c r="AH318" s="554"/>
      <c r="AI318" s="456"/>
    </row>
    <row r="319" spans="1:35" s="344" customFormat="1" ht="47.25"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0" t="s">
        <v>922</v>
      </c>
      <c r="Y319" s="246" t="s">
        <v>1395</v>
      </c>
      <c r="Z319" s="235" t="s">
        <v>175</v>
      </c>
      <c r="AA319" s="235" t="s">
        <v>193</v>
      </c>
      <c r="AB319" s="249" t="s">
        <v>2208</v>
      </c>
      <c r="AC319" s="580" t="s">
        <v>1798</v>
      </c>
      <c r="AD319" s="292">
        <f>AD320</f>
        <v>3979.7</v>
      </c>
      <c r="AE319" s="476">
        <f>AE320</f>
        <v>3979.7</v>
      </c>
      <c r="AF319" s="476">
        <f>AF320</f>
        <v>3979.7</v>
      </c>
      <c r="AG319" s="554"/>
      <c r="AH319" s="554"/>
      <c r="AI319" s="456"/>
    </row>
    <row r="320" spans="1:35" s="344" customFormat="1"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0" t="s">
        <v>1569</v>
      </c>
      <c r="Y320" s="246" t="s">
        <v>1395</v>
      </c>
      <c r="Z320" s="235" t="s">
        <v>175</v>
      </c>
      <c r="AA320" s="235" t="s">
        <v>193</v>
      </c>
      <c r="AB320" s="249" t="s">
        <v>2208</v>
      </c>
      <c r="AC320" s="580" t="s">
        <v>1799</v>
      </c>
      <c r="AD320" s="292">
        <v>3979.7</v>
      </c>
      <c r="AE320" s="476">
        <v>3979.7</v>
      </c>
      <c r="AF320" s="476">
        <v>3979.7</v>
      </c>
      <c r="AG320" s="554"/>
      <c r="AH320" s="554"/>
      <c r="AI320" s="456"/>
    </row>
    <row r="321" spans="1:36"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20" t="s">
        <v>1782</v>
      </c>
      <c r="Y321" s="246" t="s">
        <v>1395</v>
      </c>
      <c r="Z321" s="235" t="s">
        <v>175</v>
      </c>
      <c r="AA321" s="235" t="s">
        <v>193</v>
      </c>
      <c r="AB321" s="249" t="s">
        <v>2208</v>
      </c>
      <c r="AC321" s="580" t="s">
        <v>821</v>
      </c>
      <c r="AD321" s="292">
        <f>AD322</f>
        <v>727.1</v>
      </c>
      <c r="AE321" s="476">
        <f>AE322</f>
        <v>729.2</v>
      </c>
      <c r="AF321" s="476">
        <f>AF322</f>
        <v>729.2</v>
      </c>
      <c r="AG321" s="554"/>
      <c r="AH321" s="554"/>
      <c r="AI321" s="456"/>
    </row>
    <row r="322" spans="1:36"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0" t="s">
        <v>1274</v>
      </c>
      <c r="Y322" s="246" t="s">
        <v>1395</v>
      </c>
      <c r="Z322" s="235" t="s">
        <v>175</v>
      </c>
      <c r="AA322" s="235" t="s">
        <v>193</v>
      </c>
      <c r="AB322" s="249" t="s">
        <v>2208</v>
      </c>
      <c r="AC322" s="580" t="s">
        <v>1480</v>
      </c>
      <c r="AD322" s="292">
        <f>729.2-2.1</f>
        <v>727.1</v>
      </c>
      <c r="AE322" s="476">
        <v>729.2</v>
      </c>
      <c r="AF322" s="476">
        <v>729.2</v>
      </c>
      <c r="AG322" s="554"/>
      <c r="AH322" s="554"/>
      <c r="AI322" s="456"/>
    </row>
    <row r="323" spans="1:36" s="344" customFormat="1"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20" t="s">
        <v>924</v>
      </c>
      <c r="Y323" s="246" t="s">
        <v>1395</v>
      </c>
      <c r="Z323" s="235" t="s">
        <v>175</v>
      </c>
      <c r="AA323" s="235" t="s">
        <v>193</v>
      </c>
      <c r="AB323" s="249" t="s">
        <v>2208</v>
      </c>
      <c r="AC323" s="580" t="s">
        <v>2242</v>
      </c>
      <c r="AD323" s="292">
        <f>AD324</f>
        <v>2.1</v>
      </c>
      <c r="AE323" s="476">
        <f>AE324</f>
        <v>0</v>
      </c>
      <c r="AF323" s="476">
        <f>AF324</f>
        <v>0</v>
      </c>
      <c r="AG323" s="554"/>
      <c r="AH323" s="554"/>
      <c r="AI323" s="456"/>
    </row>
    <row r="324" spans="1:36" s="344" customFormat="1"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20" t="s">
        <v>1320</v>
      </c>
      <c r="Y324" s="246" t="s">
        <v>1395</v>
      </c>
      <c r="Z324" s="235" t="s">
        <v>175</v>
      </c>
      <c r="AA324" s="235" t="s">
        <v>193</v>
      </c>
      <c r="AB324" s="249" t="s">
        <v>2208</v>
      </c>
      <c r="AC324" s="580" t="s">
        <v>2394</v>
      </c>
      <c r="AD324" s="292">
        <v>2.1</v>
      </c>
      <c r="AE324" s="476">
        <v>0</v>
      </c>
      <c r="AF324" s="476">
        <v>0</v>
      </c>
      <c r="AG324" s="554"/>
      <c r="AH324" s="554"/>
      <c r="AI324" s="456"/>
    </row>
    <row r="325" spans="1:36" s="344" customFormat="1" ht="31.5"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21" t="s">
        <v>2104</v>
      </c>
      <c r="Y325" s="246" t="s">
        <v>1395</v>
      </c>
      <c r="Z325" s="235" t="s">
        <v>175</v>
      </c>
      <c r="AA325" s="235" t="s">
        <v>193</v>
      </c>
      <c r="AB325" s="443" t="s">
        <v>1806</v>
      </c>
      <c r="AC325" s="580"/>
      <c r="AD325" s="292">
        <f t="shared" ref="AD325:AF326" si="73">AD326</f>
        <v>966.90000000000009</v>
      </c>
      <c r="AE325" s="476">
        <f t="shared" si="73"/>
        <v>513.5</v>
      </c>
      <c r="AF325" s="476">
        <f t="shared" si="73"/>
        <v>513.5</v>
      </c>
      <c r="AG325" s="554"/>
      <c r="AH325" s="554"/>
      <c r="AI325" s="456"/>
      <c r="AJ325" s="542"/>
    </row>
    <row r="326" spans="1:36" s="344" customFormat="1" ht="47.25"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21" t="s">
        <v>2105</v>
      </c>
      <c r="Y326" s="246" t="s">
        <v>1395</v>
      </c>
      <c r="Z326" s="235" t="s">
        <v>175</v>
      </c>
      <c r="AA326" s="235" t="s">
        <v>193</v>
      </c>
      <c r="AB326" s="443" t="s">
        <v>2106</v>
      </c>
      <c r="AC326" s="238"/>
      <c r="AD326" s="292">
        <f t="shared" si="73"/>
        <v>966.90000000000009</v>
      </c>
      <c r="AE326" s="476">
        <f t="shared" si="73"/>
        <v>513.5</v>
      </c>
      <c r="AF326" s="476">
        <f t="shared" si="73"/>
        <v>513.5</v>
      </c>
      <c r="AG326" s="554"/>
      <c r="AH326" s="554"/>
      <c r="AI326" s="456"/>
      <c r="AJ326" s="542"/>
    </row>
    <row r="327" spans="1:36" s="344" customFormat="1" ht="31.5" x14ac:dyDescent="0.25">
      <c r="A327" s="381"/>
      <c r="B327" s="336"/>
      <c r="C327" s="338"/>
      <c r="D327" s="338"/>
      <c r="E327" s="339"/>
      <c r="F327" s="338"/>
      <c r="G327" s="343"/>
      <c r="H327" s="382"/>
      <c r="I327" s="383"/>
      <c r="J327" s="383"/>
      <c r="K327" s="383"/>
      <c r="L327" s="340"/>
      <c r="M327" s="383"/>
      <c r="N327" s="340"/>
      <c r="O327" s="384"/>
      <c r="P327" s="340"/>
      <c r="Q327" s="342"/>
      <c r="R327" s="362"/>
      <c r="S327" s="362"/>
      <c r="T327" s="362"/>
      <c r="U327" s="362"/>
      <c r="V327" s="362"/>
      <c r="W327" s="382"/>
      <c r="X327" s="529" t="s">
        <v>2110</v>
      </c>
      <c r="Y327" s="246" t="s">
        <v>1395</v>
      </c>
      <c r="Z327" s="235" t="s">
        <v>175</v>
      </c>
      <c r="AA327" s="235" t="s">
        <v>193</v>
      </c>
      <c r="AB327" s="443" t="s">
        <v>2111</v>
      </c>
      <c r="AC327" s="238"/>
      <c r="AD327" s="292">
        <f t="shared" ref="AD327:AF329" si="74">AD328</f>
        <v>966.90000000000009</v>
      </c>
      <c r="AE327" s="476">
        <f t="shared" si="74"/>
        <v>513.5</v>
      </c>
      <c r="AF327" s="476">
        <f t="shared" si="74"/>
        <v>513.5</v>
      </c>
      <c r="AG327" s="554"/>
      <c r="AH327" s="554"/>
      <c r="AI327" s="456"/>
    </row>
    <row r="328" spans="1:36" s="344" customFormat="1" ht="47.25" x14ac:dyDescent="0.25">
      <c r="A328" s="381"/>
      <c r="B328" s="336"/>
      <c r="C328" s="338"/>
      <c r="D328" s="338"/>
      <c r="E328" s="339"/>
      <c r="F328" s="338"/>
      <c r="G328" s="343"/>
      <c r="H328" s="382"/>
      <c r="I328" s="383"/>
      <c r="J328" s="383"/>
      <c r="K328" s="383"/>
      <c r="L328" s="340"/>
      <c r="M328" s="383"/>
      <c r="N328" s="340"/>
      <c r="O328" s="384"/>
      <c r="P328" s="340"/>
      <c r="Q328" s="342"/>
      <c r="R328" s="362"/>
      <c r="S328" s="362"/>
      <c r="T328" s="362"/>
      <c r="U328" s="362"/>
      <c r="V328" s="362"/>
      <c r="W328" s="382"/>
      <c r="X328" s="519" t="s">
        <v>2249</v>
      </c>
      <c r="Y328" s="246" t="s">
        <v>1395</v>
      </c>
      <c r="Z328" s="235" t="s">
        <v>175</v>
      </c>
      <c r="AA328" s="235" t="s">
        <v>193</v>
      </c>
      <c r="AB328" s="443" t="s">
        <v>2112</v>
      </c>
      <c r="AC328" s="238"/>
      <c r="AD328" s="292">
        <f>AD329</f>
        <v>966.90000000000009</v>
      </c>
      <c r="AE328" s="476">
        <f>AE329</f>
        <v>513.5</v>
      </c>
      <c r="AF328" s="476">
        <f>AF329</f>
        <v>513.5</v>
      </c>
      <c r="AG328" s="554"/>
      <c r="AH328" s="554"/>
      <c r="AI328" s="456"/>
    </row>
    <row r="329" spans="1:36" s="344" customFormat="1" x14ac:dyDescent="0.25">
      <c r="A329" s="381"/>
      <c r="B329" s="336"/>
      <c r="C329" s="338"/>
      <c r="D329" s="338"/>
      <c r="E329" s="339"/>
      <c r="F329" s="338"/>
      <c r="G329" s="343"/>
      <c r="H329" s="382"/>
      <c r="I329" s="383"/>
      <c r="J329" s="383"/>
      <c r="K329" s="383"/>
      <c r="L329" s="340"/>
      <c r="M329" s="383"/>
      <c r="N329" s="340"/>
      <c r="O329" s="384"/>
      <c r="P329" s="340"/>
      <c r="Q329" s="342"/>
      <c r="R329" s="362"/>
      <c r="S329" s="362"/>
      <c r="T329" s="362"/>
      <c r="U329" s="362"/>
      <c r="V329" s="362"/>
      <c r="W329" s="382"/>
      <c r="X329" s="520" t="s">
        <v>1782</v>
      </c>
      <c r="Y329" s="246" t="s">
        <v>1395</v>
      </c>
      <c r="Z329" s="235" t="s">
        <v>175</v>
      </c>
      <c r="AA329" s="235" t="s">
        <v>193</v>
      </c>
      <c r="AB329" s="443" t="s">
        <v>2112</v>
      </c>
      <c r="AC329" s="238">
        <v>200</v>
      </c>
      <c r="AD329" s="292">
        <f t="shared" si="74"/>
        <v>966.90000000000009</v>
      </c>
      <c r="AE329" s="476">
        <f t="shared" si="74"/>
        <v>513.5</v>
      </c>
      <c r="AF329" s="476">
        <f t="shared" si="74"/>
        <v>513.5</v>
      </c>
      <c r="AG329" s="554"/>
      <c r="AH329" s="554"/>
      <c r="AI329" s="456"/>
    </row>
    <row r="330" spans="1:36" s="344" customFormat="1" ht="31.5" x14ac:dyDescent="0.25">
      <c r="A330" s="381"/>
      <c r="B330" s="336"/>
      <c r="C330" s="338"/>
      <c r="D330" s="338"/>
      <c r="E330" s="339"/>
      <c r="F330" s="338"/>
      <c r="G330" s="343"/>
      <c r="H330" s="382"/>
      <c r="I330" s="383"/>
      <c r="J330" s="383"/>
      <c r="K330" s="383"/>
      <c r="L330" s="340"/>
      <c r="M330" s="383"/>
      <c r="N330" s="340"/>
      <c r="O330" s="384"/>
      <c r="P330" s="340"/>
      <c r="Q330" s="342"/>
      <c r="R330" s="362"/>
      <c r="S330" s="362"/>
      <c r="T330" s="362"/>
      <c r="U330" s="362"/>
      <c r="V330" s="362"/>
      <c r="W330" s="382"/>
      <c r="X330" s="520" t="s">
        <v>1274</v>
      </c>
      <c r="Y330" s="246" t="s">
        <v>1395</v>
      </c>
      <c r="Z330" s="235" t="s">
        <v>175</v>
      </c>
      <c r="AA330" s="235" t="s">
        <v>193</v>
      </c>
      <c r="AB330" s="443" t="s">
        <v>2112</v>
      </c>
      <c r="AC330" s="238">
        <v>240</v>
      </c>
      <c r="AD330" s="292">
        <f>513.5+32.2+421.2</f>
        <v>966.90000000000009</v>
      </c>
      <c r="AE330" s="476">
        <v>513.5</v>
      </c>
      <c r="AF330" s="476">
        <v>513.5</v>
      </c>
      <c r="AG330" s="554"/>
      <c r="AH330" s="554"/>
      <c r="AI330" s="456"/>
    </row>
    <row r="331" spans="1:36" s="370" customFormat="1" x14ac:dyDescent="0.25">
      <c r="A331" s="311"/>
      <c r="B331" s="345"/>
      <c r="C331" s="346"/>
      <c r="D331" s="346"/>
      <c r="E331" s="347"/>
      <c r="F331" s="371"/>
      <c r="G331" s="348"/>
      <c r="H331" s="372"/>
      <c r="I331" s="313"/>
      <c r="J331" s="313"/>
      <c r="K331" s="313"/>
      <c r="L331" s="340"/>
      <c r="M331" s="313"/>
      <c r="N331" s="340"/>
      <c r="O331" s="349"/>
      <c r="P331" s="348"/>
      <c r="Q331" s="350"/>
      <c r="R331" s="354"/>
      <c r="S331" s="354"/>
      <c r="T331" s="354"/>
      <c r="U331" s="354"/>
      <c r="V331" s="354"/>
      <c r="W331" s="372"/>
      <c r="X331" s="549" t="s">
        <v>1973</v>
      </c>
      <c r="Y331" s="246" t="s">
        <v>1395</v>
      </c>
      <c r="Z331" s="235" t="s">
        <v>175</v>
      </c>
      <c r="AA331" s="235" t="s">
        <v>193</v>
      </c>
      <c r="AB331" s="443" t="s">
        <v>1974</v>
      </c>
      <c r="AC331" s="580"/>
      <c r="AD331" s="292">
        <f>AD332</f>
        <v>7010.6999999999989</v>
      </c>
      <c r="AE331" s="476">
        <f>AE332</f>
        <v>6710.7</v>
      </c>
      <c r="AF331" s="476">
        <f>AF332</f>
        <v>6710.7</v>
      </c>
      <c r="AG331" s="554"/>
      <c r="AH331" s="554"/>
      <c r="AI331" s="456"/>
    </row>
    <row r="332" spans="1:36" s="370" customFormat="1" x14ac:dyDescent="0.25">
      <c r="A332" s="311"/>
      <c r="B332" s="345"/>
      <c r="C332" s="346"/>
      <c r="D332" s="346"/>
      <c r="E332" s="347"/>
      <c r="F332" s="371"/>
      <c r="G332" s="348"/>
      <c r="H332" s="372"/>
      <c r="I332" s="313"/>
      <c r="J332" s="313"/>
      <c r="K332" s="313"/>
      <c r="L332" s="340"/>
      <c r="M332" s="313"/>
      <c r="N332" s="340"/>
      <c r="O332" s="349"/>
      <c r="P332" s="348"/>
      <c r="Q332" s="350"/>
      <c r="R332" s="354"/>
      <c r="S332" s="354"/>
      <c r="T332" s="354"/>
      <c r="U332" s="354"/>
      <c r="V332" s="354"/>
      <c r="W332" s="372"/>
      <c r="X332" s="549" t="s">
        <v>1975</v>
      </c>
      <c r="Y332" s="246" t="s">
        <v>1395</v>
      </c>
      <c r="Z332" s="235" t="s">
        <v>175</v>
      </c>
      <c r="AA332" s="235" t="s">
        <v>193</v>
      </c>
      <c r="AB332" s="443" t="s">
        <v>1976</v>
      </c>
      <c r="AC332" s="580"/>
      <c r="AD332" s="292">
        <f t="shared" ref="AD332:AF338" si="75">AD333</f>
        <v>7010.6999999999989</v>
      </c>
      <c r="AE332" s="476">
        <f t="shared" si="75"/>
        <v>6710.7</v>
      </c>
      <c r="AF332" s="476">
        <f t="shared" si="75"/>
        <v>6710.7</v>
      </c>
      <c r="AG332" s="554"/>
      <c r="AH332" s="554"/>
      <c r="AI332" s="456"/>
    </row>
    <row r="333" spans="1:36" s="370" customFormat="1" ht="31.5" x14ac:dyDescent="0.25">
      <c r="A333" s="311"/>
      <c r="B333" s="345"/>
      <c r="C333" s="346"/>
      <c r="D333" s="346"/>
      <c r="E333" s="347"/>
      <c r="F333" s="371"/>
      <c r="G333" s="348"/>
      <c r="H333" s="372"/>
      <c r="I333" s="313"/>
      <c r="J333" s="313"/>
      <c r="K333" s="313"/>
      <c r="L333" s="340"/>
      <c r="M333" s="313"/>
      <c r="N333" s="340"/>
      <c r="O333" s="349"/>
      <c r="P333" s="348"/>
      <c r="Q333" s="350"/>
      <c r="R333" s="354"/>
      <c r="S333" s="354"/>
      <c r="T333" s="354"/>
      <c r="U333" s="354"/>
      <c r="V333" s="354"/>
      <c r="W333" s="372"/>
      <c r="X333" s="530" t="s">
        <v>2238</v>
      </c>
      <c r="Y333" s="246" t="s">
        <v>1395</v>
      </c>
      <c r="Z333" s="235" t="s">
        <v>175</v>
      </c>
      <c r="AA333" s="235" t="s">
        <v>193</v>
      </c>
      <c r="AB333" s="443" t="s">
        <v>1977</v>
      </c>
      <c r="AC333" s="238"/>
      <c r="AD333" s="292">
        <f>AD337+AD334</f>
        <v>7010.6999999999989</v>
      </c>
      <c r="AE333" s="476">
        <f>AE337</f>
        <v>6710.7</v>
      </c>
      <c r="AF333" s="476">
        <f>AF337</f>
        <v>6710.7</v>
      </c>
      <c r="AG333" s="554"/>
      <c r="AH333" s="554"/>
      <c r="AI333" s="456"/>
    </row>
    <row r="334" spans="1:36" s="370" customFormat="1" x14ac:dyDescent="0.25">
      <c r="A334" s="311"/>
      <c r="B334" s="345"/>
      <c r="C334" s="346"/>
      <c r="D334" s="346"/>
      <c r="E334" s="347"/>
      <c r="F334" s="371"/>
      <c r="G334" s="348"/>
      <c r="H334" s="372"/>
      <c r="I334" s="313"/>
      <c r="J334" s="313"/>
      <c r="K334" s="313"/>
      <c r="L334" s="340"/>
      <c r="M334" s="313"/>
      <c r="N334" s="340"/>
      <c r="O334" s="349"/>
      <c r="P334" s="348"/>
      <c r="Q334" s="350"/>
      <c r="R334" s="354"/>
      <c r="S334" s="354"/>
      <c r="T334" s="354"/>
      <c r="U334" s="354"/>
      <c r="V334" s="354"/>
      <c r="W334" s="372"/>
      <c r="X334" s="530" t="s">
        <v>1978</v>
      </c>
      <c r="Y334" s="246" t="s">
        <v>1395</v>
      </c>
      <c r="Z334" s="235" t="s">
        <v>175</v>
      </c>
      <c r="AA334" s="235" t="s">
        <v>193</v>
      </c>
      <c r="AB334" s="443" t="s">
        <v>1979</v>
      </c>
      <c r="AC334" s="238"/>
      <c r="AD334" s="292">
        <f>AD335</f>
        <v>300</v>
      </c>
      <c r="AE334" s="292">
        <f t="shared" ref="AE334:AF335" si="76">AE335</f>
        <v>0</v>
      </c>
      <c r="AF334" s="292">
        <f t="shared" si="76"/>
        <v>0</v>
      </c>
      <c r="AG334" s="554"/>
      <c r="AH334" s="554"/>
      <c r="AI334" s="456"/>
    </row>
    <row r="335" spans="1:36" s="370" customFormat="1" ht="31.5" x14ac:dyDescent="0.25">
      <c r="A335" s="311"/>
      <c r="B335" s="345"/>
      <c r="C335" s="346"/>
      <c r="D335" s="346"/>
      <c r="E335" s="347"/>
      <c r="F335" s="371"/>
      <c r="G335" s="348"/>
      <c r="H335" s="372"/>
      <c r="I335" s="313"/>
      <c r="J335" s="313"/>
      <c r="K335" s="313"/>
      <c r="L335" s="340"/>
      <c r="M335" s="313"/>
      <c r="N335" s="340"/>
      <c r="O335" s="349"/>
      <c r="P335" s="348"/>
      <c r="Q335" s="350"/>
      <c r="R335" s="354"/>
      <c r="S335" s="354"/>
      <c r="T335" s="354"/>
      <c r="U335" s="354"/>
      <c r="V335" s="354"/>
      <c r="W335" s="372"/>
      <c r="X335" s="520" t="s">
        <v>1343</v>
      </c>
      <c r="Y335" s="246" t="s">
        <v>1395</v>
      </c>
      <c r="Z335" s="235" t="s">
        <v>175</v>
      </c>
      <c r="AA335" s="235" t="s">
        <v>193</v>
      </c>
      <c r="AB335" s="443" t="s">
        <v>1979</v>
      </c>
      <c r="AC335" s="577">
        <v>600</v>
      </c>
      <c r="AD335" s="292">
        <f>AD336</f>
        <v>300</v>
      </c>
      <c r="AE335" s="292">
        <f t="shared" si="76"/>
        <v>0</v>
      </c>
      <c r="AF335" s="292">
        <f t="shared" si="76"/>
        <v>0</v>
      </c>
      <c r="AG335" s="554"/>
      <c r="AH335" s="554"/>
      <c r="AI335" s="456"/>
    </row>
    <row r="336" spans="1:36" s="370" customFormat="1" x14ac:dyDescent="0.25">
      <c r="A336" s="311"/>
      <c r="B336" s="345"/>
      <c r="C336" s="346"/>
      <c r="D336" s="346"/>
      <c r="E336" s="347"/>
      <c r="F336" s="371"/>
      <c r="G336" s="348"/>
      <c r="H336" s="372"/>
      <c r="I336" s="313"/>
      <c r="J336" s="313"/>
      <c r="K336" s="313"/>
      <c r="L336" s="340"/>
      <c r="M336" s="313"/>
      <c r="N336" s="340"/>
      <c r="O336" s="349"/>
      <c r="P336" s="348"/>
      <c r="Q336" s="350"/>
      <c r="R336" s="354"/>
      <c r="S336" s="354"/>
      <c r="T336" s="354"/>
      <c r="U336" s="354"/>
      <c r="V336" s="354"/>
      <c r="W336" s="372"/>
      <c r="X336" s="520" t="s">
        <v>1344</v>
      </c>
      <c r="Y336" s="246" t="s">
        <v>1395</v>
      </c>
      <c r="Z336" s="235" t="s">
        <v>175</v>
      </c>
      <c r="AA336" s="235" t="s">
        <v>193</v>
      </c>
      <c r="AB336" s="443" t="s">
        <v>1979</v>
      </c>
      <c r="AC336" s="238">
        <v>610</v>
      </c>
      <c r="AD336" s="292">
        <v>300</v>
      </c>
      <c r="AE336" s="476">
        <v>0</v>
      </c>
      <c r="AF336" s="476">
        <v>0</v>
      </c>
      <c r="AG336" s="554"/>
      <c r="AH336" s="554"/>
      <c r="AI336" s="456"/>
    </row>
    <row r="337" spans="1:35" s="370" customFormat="1" ht="31.5" x14ac:dyDescent="0.25">
      <c r="A337" s="311"/>
      <c r="B337" s="345"/>
      <c r="C337" s="346"/>
      <c r="D337" s="346"/>
      <c r="E337" s="347"/>
      <c r="F337" s="371"/>
      <c r="G337" s="348"/>
      <c r="H337" s="372"/>
      <c r="I337" s="313"/>
      <c r="J337" s="313"/>
      <c r="K337" s="313"/>
      <c r="L337" s="340"/>
      <c r="M337" s="313"/>
      <c r="N337" s="340"/>
      <c r="O337" s="349"/>
      <c r="P337" s="348"/>
      <c r="Q337" s="350"/>
      <c r="R337" s="354"/>
      <c r="S337" s="354"/>
      <c r="T337" s="354"/>
      <c r="U337" s="354"/>
      <c r="V337" s="354"/>
      <c r="W337" s="372"/>
      <c r="X337" s="530" t="s">
        <v>2143</v>
      </c>
      <c r="Y337" s="246" t="s">
        <v>1395</v>
      </c>
      <c r="Z337" s="235" t="s">
        <v>175</v>
      </c>
      <c r="AA337" s="235" t="s">
        <v>193</v>
      </c>
      <c r="AB337" s="443" t="s">
        <v>2144</v>
      </c>
      <c r="AC337" s="238"/>
      <c r="AD337" s="292">
        <f t="shared" si="75"/>
        <v>6710.6999999999989</v>
      </c>
      <c r="AE337" s="476">
        <f t="shared" si="75"/>
        <v>6710.7</v>
      </c>
      <c r="AF337" s="476">
        <f t="shared" si="75"/>
        <v>6710.7</v>
      </c>
      <c r="AG337" s="554"/>
      <c r="AH337" s="554"/>
      <c r="AI337" s="456"/>
    </row>
    <row r="338" spans="1:35" s="370" customFormat="1" ht="31.5" x14ac:dyDescent="0.25">
      <c r="A338" s="311"/>
      <c r="B338" s="345"/>
      <c r="C338" s="346"/>
      <c r="D338" s="346"/>
      <c r="E338" s="347"/>
      <c r="F338" s="371"/>
      <c r="G338" s="348"/>
      <c r="H338" s="372"/>
      <c r="I338" s="313"/>
      <c r="J338" s="313"/>
      <c r="K338" s="313"/>
      <c r="L338" s="340"/>
      <c r="M338" s="313"/>
      <c r="N338" s="340"/>
      <c r="O338" s="349"/>
      <c r="P338" s="348"/>
      <c r="Q338" s="350"/>
      <c r="R338" s="354"/>
      <c r="S338" s="354"/>
      <c r="T338" s="354"/>
      <c r="U338" s="354"/>
      <c r="V338" s="354"/>
      <c r="W338" s="372"/>
      <c r="X338" s="520" t="s">
        <v>1343</v>
      </c>
      <c r="Y338" s="246" t="s">
        <v>1395</v>
      </c>
      <c r="Z338" s="235" t="s">
        <v>175</v>
      </c>
      <c r="AA338" s="235" t="s">
        <v>193</v>
      </c>
      <c r="AB338" s="443" t="s">
        <v>2144</v>
      </c>
      <c r="AC338" s="577">
        <v>600</v>
      </c>
      <c r="AD338" s="292">
        <f t="shared" si="75"/>
        <v>6710.6999999999989</v>
      </c>
      <c r="AE338" s="476">
        <f t="shared" si="75"/>
        <v>6710.7</v>
      </c>
      <c r="AF338" s="476">
        <f t="shared" si="75"/>
        <v>6710.7</v>
      </c>
      <c r="AG338" s="554"/>
      <c r="AH338" s="554"/>
      <c r="AI338" s="456"/>
    </row>
    <row r="339" spans="1:35" s="370" customFormat="1" x14ac:dyDescent="0.25">
      <c r="A339" s="311"/>
      <c r="B339" s="345"/>
      <c r="C339" s="346"/>
      <c r="D339" s="346"/>
      <c r="E339" s="347"/>
      <c r="F339" s="371"/>
      <c r="G339" s="348"/>
      <c r="H339" s="372"/>
      <c r="I339" s="313"/>
      <c r="J339" s="313"/>
      <c r="K339" s="313"/>
      <c r="L339" s="340"/>
      <c r="M339" s="313"/>
      <c r="N339" s="340"/>
      <c r="O339" s="349"/>
      <c r="P339" s="348"/>
      <c r="Q339" s="350"/>
      <c r="R339" s="354"/>
      <c r="S339" s="354"/>
      <c r="T339" s="354"/>
      <c r="U339" s="354"/>
      <c r="V339" s="354"/>
      <c r="W339" s="372"/>
      <c r="X339" s="520" t="s">
        <v>1344</v>
      </c>
      <c r="Y339" s="246" t="s">
        <v>1395</v>
      </c>
      <c r="Z339" s="235" t="s">
        <v>175</v>
      </c>
      <c r="AA339" s="235" t="s">
        <v>193</v>
      </c>
      <c r="AB339" s="443" t="s">
        <v>2144</v>
      </c>
      <c r="AC339" s="238">
        <v>610</v>
      </c>
      <c r="AD339" s="292">
        <f>6710.7+1551.6-1551.6</f>
        <v>6710.6999999999989</v>
      </c>
      <c r="AE339" s="476">
        <v>6710.7</v>
      </c>
      <c r="AF339" s="476">
        <v>6710.7</v>
      </c>
      <c r="AG339" s="554"/>
      <c r="AH339" s="554"/>
      <c r="AI339" s="456"/>
    </row>
    <row r="340" spans="1:35" s="370" customFormat="1"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0" t="s">
        <v>551</v>
      </c>
      <c r="Y340" s="246" t="s">
        <v>1395</v>
      </c>
      <c r="Z340" s="235" t="s">
        <v>175</v>
      </c>
      <c r="AA340" s="235" t="s">
        <v>175</v>
      </c>
      <c r="AB340" s="249"/>
      <c r="AC340" s="238"/>
      <c r="AD340" s="292">
        <f>AD347+AD353+AD341</f>
        <v>9859.6</v>
      </c>
      <c r="AE340" s="476">
        <f>AE347+AE353+AE341</f>
        <v>9916.1</v>
      </c>
      <c r="AF340" s="476">
        <f>AF347+AF353+AF341</f>
        <v>9769.1</v>
      </c>
      <c r="AG340" s="554"/>
      <c r="AH340" s="554"/>
      <c r="AI340" s="456"/>
    </row>
    <row r="341" spans="1:35" s="370" customFormat="1"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1" t="s">
        <v>1999</v>
      </c>
      <c r="Y341" s="246" t="s">
        <v>1395</v>
      </c>
      <c r="Z341" s="235" t="s">
        <v>175</v>
      </c>
      <c r="AA341" s="235" t="s">
        <v>175</v>
      </c>
      <c r="AB341" s="443" t="s">
        <v>1775</v>
      </c>
      <c r="AC341" s="238"/>
      <c r="AD341" s="292">
        <f t="shared" ref="AD341:AF342" si="77">AD342</f>
        <v>0</v>
      </c>
      <c r="AE341" s="476">
        <f t="shared" si="77"/>
        <v>147</v>
      </c>
      <c r="AF341" s="476">
        <f t="shared" si="77"/>
        <v>0</v>
      </c>
      <c r="AG341" s="554"/>
      <c r="AH341" s="554"/>
      <c r="AI341" s="456"/>
    </row>
    <row r="342" spans="1:35" s="370" customFormat="1" x14ac:dyDescent="0.25">
      <c r="A342" s="243"/>
      <c r="B342" s="345"/>
      <c r="C342" s="346"/>
      <c r="D342" s="346"/>
      <c r="E342" s="347"/>
      <c r="F342" s="346"/>
      <c r="G342" s="351"/>
      <c r="H342" s="372"/>
      <c r="I342" s="313"/>
      <c r="J342" s="313"/>
      <c r="K342" s="313"/>
      <c r="L342" s="340"/>
      <c r="M342" s="313"/>
      <c r="N342" s="340"/>
      <c r="O342" s="349"/>
      <c r="P342" s="348"/>
      <c r="Q342" s="350"/>
      <c r="R342" s="354"/>
      <c r="S342" s="354"/>
      <c r="T342" s="354"/>
      <c r="U342" s="354"/>
      <c r="V342" s="354"/>
      <c r="W342" s="372"/>
      <c r="X342" s="518" t="s">
        <v>2340</v>
      </c>
      <c r="Y342" s="246" t="s">
        <v>1395</v>
      </c>
      <c r="Z342" s="235" t="s">
        <v>175</v>
      </c>
      <c r="AA342" s="235" t="s">
        <v>175</v>
      </c>
      <c r="AB342" s="443" t="s">
        <v>1802</v>
      </c>
      <c r="AC342" s="238"/>
      <c r="AD342" s="292">
        <f t="shared" si="77"/>
        <v>0</v>
      </c>
      <c r="AE342" s="476">
        <f t="shared" si="77"/>
        <v>147</v>
      </c>
      <c r="AF342" s="476">
        <f t="shared" si="77"/>
        <v>0</v>
      </c>
      <c r="AG342" s="554"/>
      <c r="AH342" s="554"/>
      <c r="AI342" s="456"/>
    </row>
    <row r="343" spans="1:35" s="370" customFormat="1" ht="31.5" x14ac:dyDescent="0.25">
      <c r="A343" s="243"/>
      <c r="B343" s="345"/>
      <c r="C343" s="346"/>
      <c r="D343" s="346"/>
      <c r="E343" s="347"/>
      <c r="F343" s="346"/>
      <c r="G343" s="351"/>
      <c r="H343" s="372"/>
      <c r="I343" s="313"/>
      <c r="J343" s="313"/>
      <c r="K343" s="313"/>
      <c r="L343" s="340"/>
      <c r="M343" s="313"/>
      <c r="N343" s="340"/>
      <c r="O343" s="349"/>
      <c r="P343" s="348"/>
      <c r="Q343" s="350"/>
      <c r="R343" s="354"/>
      <c r="S343" s="354"/>
      <c r="T343" s="354"/>
      <c r="U343" s="354"/>
      <c r="V343" s="354"/>
      <c r="W343" s="372"/>
      <c r="X343" s="522" t="s">
        <v>2015</v>
      </c>
      <c r="Y343" s="246" t="s">
        <v>1395</v>
      </c>
      <c r="Z343" s="235" t="s">
        <v>175</v>
      </c>
      <c r="AA343" s="235" t="s">
        <v>175</v>
      </c>
      <c r="AB343" s="443" t="s">
        <v>1803</v>
      </c>
      <c r="AC343" s="577"/>
      <c r="AD343" s="292">
        <f t="shared" ref="AD343:AF345" si="78">AD344</f>
        <v>0</v>
      </c>
      <c r="AE343" s="476">
        <f t="shared" si="78"/>
        <v>147</v>
      </c>
      <c r="AF343" s="476">
        <f t="shared" si="78"/>
        <v>0</v>
      </c>
      <c r="AG343" s="554"/>
      <c r="AH343" s="554"/>
      <c r="AI343" s="456"/>
    </row>
    <row r="344" spans="1:35" s="370" customFormat="1" x14ac:dyDescent="0.25">
      <c r="A344" s="243"/>
      <c r="B344" s="345"/>
      <c r="C344" s="346"/>
      <c r="D344" s="346"/>
      <c r="E344" s="347"/>
      <c r="F344" s="346"/>
      <c r="G344" s="351"/>
      <c r="H344" s="372"/>
      <c r="I344" s="313"/>
      <c r="J344" s="313"/>
      <c r="K344" s="313"/>
      <c r="L344" s="340"/>
      <c r="M344" s="313"/>
      <c r="N344" s="340"/>
      <c r="O344" s="349"/>
      <c r="P344" s="348"/>
      <c r="Q344" s="350"/>
      <c r="R344" s="354"/>
      <c r="S344" s="354"/>
      <c r="T344" s="354"/>
      <c r="U344" s="354"/>
      <c r="V344" s="354"/>
      <c r="W344" s="372"/>
      <c r="X344" s="522" t="s">
        <v>2016</v>
      </c>
      <c r="Y344" s="246" t="s">
        <v>1395</v>
      </c>
      <c r="Z344" s="235" t="s">
        <v>175</v>
      </c>
      <c r="AA344" s="235" t="s">
        <v>175</v>
      </c>
      <c r="AB344" s="443" t="s">
        <v>2017</v>
      </c>
      <c r="AC344" s="577"/>
      <c r="AD344" s="292">
        <f t="shared" si="78"/>
        <v>0</v>
      </c>
      <c r="AE344" s="476">
        <f t="shared" si="78"/>
        <v>147</v>
      </c>
      <c r="AF344" s="476">
        <f t="shared" si="78"/>
        <v>0</v>
      </c>
      <c r="AG344" s="554"/>
      <c r="AH344" s="554"/>
      <c r="AI344" s="456"/>
    </row>
    <row r="345" spans="1:35" s="370" customFormat="1" x14ac:dyDescent="0.25">
      <c r="A345" s="243"/>
      <c r="B345" s="345"/>
      <c r="C345" s="346"/>
      <c r="D345" s="346"/>
      <c r="E345" s="347"/>
      <c r="F345" s="346"/>
      <c r="G345" s="351"/>
      <c r="H345" s="372"/>
      <c r="I345" s="313"/>
      <c r="J345" s="313"/>
      <c r="K345" s="313"/>
      <c r="L345" s="340"/>
      <c r="M345" s="313"/>
      <c r="N345" s="340"/>
      <c r="O345" s="349"/>
      <c r="P345" s="348"/>
      <c r="Q345" s="350"/>
      <c r="R345" s="354"/>
      <c r="S345" s="354"/>
      <c r="T345" s="354"/>
      <c r="U345" s="354"/>
      <c r="V345" s="354"/>
      <c r="W345" s="372"/>
      <c r="X345" s="520" t="s">
        <v>1782</v>
      </c>
      <c r="Y345" s="246" t="s">
        <v>1395</v>
      </c>
      <c r="Z345" s="235" t="s">
        <v>175</v>
      </c>
      <c r="AA345" s="235" t="s">
        <v>175</v>
      </c>
      <c r="AB345" s="443" t="s">
        <v>2017</v>
      </c>
      <c r="AC345" s="238">
        <v>200</v>
      </c>
      <c r="AD345" s="292">
        <f t="shared" si="78"/>
        <v>0</v>
      </c>
      <c r="AE345" s="476">
        <f t="shared" si="78"/>
        <v>147</v>
      </c>
      <c r="AF345" s="476">
        <f t="shared" si="78"/>
        <v>0</v>
      </c>
      <c r="AG345" s="554"/>
      <c r="AH345" s="554"/>
      <c r="AI345" s="456"/>
    </row>
    <row r="346" spans="1:35" s="370" customFormat="1" ht="31.5" x14ac:dyDescent="0.25">
      <c r="A346" s="243"/>
      <c r="B346" s="345"/>
      <c r="C346" s="346"/>
      <c r="D346" s="346"/>
      <c r="E346" s="347"/>
      <c r="F346" s="346"/>
      <c r="G346" s="351"/>
      <c r="H346" s="372"/>
      <c r="I346" s="313"/>
      <c r="J346" s="313"/>
      <c r="K346" s="313"/>
      <c r="L346" s="340"/>
      <c r="M346" s="313"/>
      <c r="N346" s="340"/>
      <c r="O346" s="349"/>
      <c r="P346" s="348"/>
      <c r="Q346" s="350"/>
      <c r="R346" s="354"/>
      <c r="S346" s="354"/>
      <c r="T346" s="354"/>
      <c r="U346" s="354"/>
      <c r="V346" s="354"/>
      <c r="W346" s="372"/>
      <c r="X346" s="520" t="s">
        <v>1274</v>
      </c>
      <c r="Y346" s="246" t="s">
        <v>1395</v>
      </c>
      <c r="Z346" s="235" t="s">
        <v>175</v>
      </c>
      <c r="AA346" s="235" t="s">
        <v>175</v>
      </c>
      <c r="AB346" s="443" t="s">
        <v>2017</v>
      </c>
      <c r="AC346" s="238">
        <v>240</v>
      </c>
      <c r="AD346" s="292">
        <v>0</v>
      </c>
      <c r="AE346" s="476">
        <v>147</v>
      </c>
      <c r="AF346" s="476">
        <v>0</v>
      </c>
      <c r="AG346" s="554"/>
      <c r="AH346" s="554"/>
      <c r="AI346" s="456"/>
    </row>
    <row r="347" spans="1:35" s="370" customFormat="1" ht="31.5" x14ac:dyDescent="0.25">
      <c r="A347" s="243"/>
      <c r="B347" s="345"/>
      <c r="C347" s="346"/>
      <c r="D347" s="346"/>
      <c r="E347" s="347"/>
      <c r="F347" s="346"/>
      <c r="G347" s="351"/>
      <c r="H347" s="372"/>
      <c r="I347" s="313"/>
      <c r="J347" s="313"/>
      <c r="K347" s="313"/>
      <c r="L347" s="340"/>
      <c r="M347" s="313"/>
      <c r="N347" s="340"/>
      <c r="O347" s="349"/>
      <c r="P347" s="348"/>
      <c r="Q347" s="350"/>
      <c r="R347" s="354"/>
      <c r="S347" s="354"/>
      <c r="T347" s="354"/>
      <c r="U347" s="354"/>
      <c r="V347" s="354"/>
      <c r="W347" s="372"/>
      <c r="X347" s="521" t="s">
        <v>2104</v>
      </c>
      <c r="Y347" s="246" t="s">
        <v>1395</v>
      </c>
      <c r="Z347" s="235" t="s">
        <v>175</v>
      </c>
      <c r="AA347" s="235" t="s">
        <v>175</v>
      </c>
      <c r="AB347" s="443" t="s">
        <v>1806</v>
      </c>
      <c r="AC347" s="238"/>
      <c r="AD347" s="292">
        <f t="shared" ref="AD347:AF349" si="79">AD348</f>
        <v>0</v>
      </c>
      <c r="AE347" s="476">
        <f t="shared" si="79"/>
        <v>4.5</v>
      </c>
      <c r="AF347" s="476">
        <f t="shared" si="79"/>
        <v>4.5</v>
      </c>
      <c r="AG347" s="554"/>
      <c r="AH347" s="554"/>
      <c r="AI347" s="456"/>
    </row>
    <row r="348" spans="1:35" s="370" customFormat="1" ht="47.25" x14ac:dyDescent="0.25">
      <c r="A348" s="243"/>
      <c r="B348" s="345"/>
      <c r="C348" s="346"/>
      <c r="D348" s="346"/>
      <c r="E348" s="347"/>
      <c r="F348" s="346"/>
      <c r="G348" s="351"/>
      <c r="H348" s="372"/>
      <c r="I348" s="313"/>
      <c r="J348" s="313"/>
      <c r="K348" s="313"/>
      <c r="L348" s="340"/>
      <c r="M348" s="313"/>
      <c r="N348" s="340"/>
      <c r="O348" s="349"/>
      <c r="P348" s="348"/>
      <c r="Q348" s="350"/>
      <c r="R348" s="354"/>
      <c r="S348" s="354"/>
      <c r="T348" s="354"/>
      <c r="U348" s="354"/>
      <c r="V348" s="354"/>
      <c r="W348" s="372"/>
      <c r="X348" s="521" t="s">
        <v>2105</v>
      </c>
      <c r="Y348" s="246" t="s">
        <v>1395</v>
      </c>
      <c r="Z348" s="235" t="s">
        <v>175</v>
      </c>
      <c r="AA348" s="235" t="s">
        <v>175</v>
      </c>
      <c r="AB348" s="443" t="s">
        <v>2106</v>
      </c>
      <c r="AC348" s="238"/>
      <c r="AD348" s="292">
        <f t="shared" si="79"/>
        <v>0</v>
      </c>
      <c r="AE348" s="476">
        <f t="shared" si="79"/>
        <v>4.5</v>
      </c>
      <c r="AF348" s="476">
        <f t="shared" si="79"/>
        <v>4.5</v>
      </c>
      <c r="AG348" s="554"/>
      <c r="AH348" s="554"/>
      <c r="AI348" s="456"/>
    </row>
    <row r="349" spans="1:35" s="370" customFormat="1" ht="31.5" x14ac:dyDescent="0.25">
      <c r="A349" s="243"/>
      <c r="B349" s="345"/>
      <c r="C349" s="346"/>
      <c r="D349" s="346"/>
      <c r="E349" s="347"/>
      <c r="F349" s="346"/>
      <c r="G349" s="351"/>
      <c r="H349" s="372"/>
      <c r="I349" s="313"/>
      <c r="J349" s="313"/>
      <c r="K349" s="313"/>
      <c r="L349" s="340"/>
      <c r="M349" s="313"/>
      <c r="N349" s="340"/>
      <c r="O349" s="349"/>
      <c r="P349" s="348"/>
      <c r="Q349" s="350"/>
      <c r="R349" s="354"/>
      <c r="S349" s="354"/>
      <c r="T349" s="354"/>
      <c r="U349" s="354"/>
      <c r="V349" s="354"/>
      <c r="W349" s="372"/>
      <c r="X349" s="529" t="s">
        <v>2107</v>
      </c>
      <c r="Y349" s="246" t="s">
        <v>1395</v>
      </c>
      <c r="Z349" s="235" t="s">
        <v>175</v>
      </c>
      <c r="AA349" s="235" t="s">
        <v>175</v>
      </c>
      <c r="AB349" s="443" t="s">
        <v>2108</v>
      </c>
      <c r="AC349" s="238"/>
      <c r="AD349" s="292">
        <f t="shared" si="79"/>
        <v>0</v>
      </c>
      <c r="AE349" s="476">
        <f t="shared" si="79"/>
        <v>4.5</v>
      </c>
      <c r="AF349" s="476">
        <f t="shared" si="79"/>
        <v>4.5</v>
      </c>
      <c r="AG349" s="554"/>
      <c r="AH349" s="554"/>
      <c r="AI349" s="456"/>
    </row>
    <row r="350" spans="1:35" s="370" customFormat="1" ht="94.5" x14ac:dyDescent="0.25">
      <c r="A350" s="243"/>
      <c r="B350" s="345"/>
      <c r="C350" s="346"/>
      <c r="D350" s="346"/>
      <c r="E350" s="347"/>
      <c r="F350" s="346"/>
      <c r="G350" s="351"/>
      <c r="H350" s="372"/>
      <c r="I350" s="313"/>
      <c r="J350" s="313"/>
      <c r="K350" s="313"/>
      <c r="L350" s="340"/>
      <c r="M350" s="313"/>
      <c r="N350" s="340"/>
      <c r="O350" s="349"/>
      <c r="P350" s="348"/>
      <c r="Q350" s="350"/>
      <c r="R350" s="354"/>
      <c r="S350" s="354"/>
      <c r="T350" s="354"/>
      <c r="U350" s="354"/>
      <c r="V350" s="354"/>
      <c r="W350" s="372"/>
      <c r="X350" s="529" t="s">
        <v>2244</v>
      </c>
      <c r="Y350" s="246" t="s">
        <v>1395</v>
      </c>
      <c r="Z350" s="235" t="s">
        <v>175</v>
      </c>
      <c r="AA350" s="235" t="s">
        <v>175</v>
      </c>
      <c r="AB350" s="472" t="s">
        <v>2109</v>
      </c>
      <c r="AC350" s="238"/>
      <c r="AD350" s="292">
        <f t="shared" ref="AD350:AF351" si="80">AD351</f>
        <v>0</v>
      </c>
      <c r="AE350" s="476">
        <f t="shared" si="80"/>
        <v>4.5</v>
      </c>
      <c r="AF350" s="476">
        <f t="shared" si="80"/>
        <v>4.5</v>
      </c>
      <c r="AG350" s="554"/>
      <c r="AH350" s="554"/>
      <c r="AI350" s="456"/>
    </row>
    <row r="351" spans="1:35" s="370" customFormat="1" x14ac:dyDescent="0.25">
      <c r="A351" s="243"/>
      <c r="B351" s="345"/>
      <c r="C351" s="346"/>
      <c r="D351" s="346"/>
      <c r="E351" s="347"/>
      <c r="F351" s="346"/>
      <c r="G351" s="351"/>
      <c r="H351" s="372"/>
      <c r="I351" s="313"/>
      <c r="J351" s="313"/>
      <c r="K351" s="313"/>
      <c r="L351" s="340"/>
      <c r="M351" s="313"/>
      <c r="N351" s="340"/>
      <c r="O351" s="349"/>
      <c r="P351" s="348"/>
      <c r="Q351" s="350"/>
      <c r="R351" s="354"/>
      <c r="S351" s="354"/>
      <c r="T351" s="354"/>
      <c r="U351" s="354"/>
      <c r="V351" s="354"/>
      <c r="W351" s="372"/>
      <c r="X351" s="520" t="s">
        <v>1782</v>
      </c>
      <c r="Y351" s="246" t="s">
        <v>1395</v>
      </c>
      <c r="Z351" s="235" t="s">
        <v>175</v>
      </c>
      <c r="AA351" s="235" t="s">
        <v>175</v>
      </c>
      <c r="AB351" s="472" t="s">
        <v>2109</v>
      </c>
      <c r="AC351" s="238">
        <v>200</v>
      </c>
      <c r="AD351" s="292">
        <f t="shared" si="80"/>
        <v>0</v>
      </c>
      <c r="AE351" s="476">
        <f t="shared" si="80"/>
        <v>4.5</v>
      </c>
      <c r="AF351" s="476">
        <f t="shared" si="80"/>
        <v>4.5</v>
      </c>
      <c r="AG351" s="554"/>
      <c r="AH351" s="554"/>
      <c r="AI351" s="456"/>
    </row>
    <row r="352" spans="1:35" s="370" customFormat="1" ht="31.5" x14ac:dyDescent="0.25">
      <c r="A352" s="243"/>
      <c r="B352" s="345"/>
      <c r="C352" s="346"/>
      <c r="D352" s="346"/>
      <c r="E352" s="347"/>
      <c r="F352" s="346"/>
      <c r="G352" s="351"/>
      <c r="H352" s="372"/>
      <c r="I352" s="313"/>
      <c r="J352" s="313"/>
      <c r="K352" s="313"/>
      <c r="L352" s="340"/>
      <c r="M352" s="313"/>
      <c r="N352" s="340"/>
      <c r="O352" s="349"/>
      <c r="P352" s="348"/>
      <c r="Q352" s="350"/>
      <c r="R352" s="354"/>
      <c r="S352" s="354"/>
      <c r="T352" s="354"/>
      <c r="U352" s="354"/>
      <c r="V352" s="354"/>
      <c r="W352" s="372"/>
      <c r="X352" s="520" t="s">
        <v>1274</v>
      </c>
      <c r="Y352" s="246" t="s">
        <v>1395</v>
      </c>
      <c r="Z352" s="235" t="s">
        <v>175</v>
      </c>
      <c r="AA352" s="235" t="s">
        <v>175</v>
      </c>
      <c r="AB352" s="472" t="s">
        <v>2109</v>
      </c>
      <c r="AC352" s="238">
        <v>240</v>
      </c>
      <c r="AD352" s="292">
        <v>0</v>
      </c>
      <c r="AE352" s="476">
        <v>4.5</v>
      </c>
      <c r="AF352" s="476">
        <v>4.5</v>
      </c>
      <c r="AG352" s="554"/>
      <c r="AH352" s="554"/>
      <c r="AI352" s="456"/>
    </row>
    <row r="353" spans="1:35" s="370" customFormat="1" ht="31.5" x14ac:dyDescent="0.25">
      <c r="A353" s="380" t="s">
        <v>930</v>
      </c>
      <c r="B353" s="283" t="s">
        <v>1395</v>
      </c>
      <c r="C353" s="235" t="s">
        <v>175</v>
      </c>
      <c r="D353" s="235" t="s">
        <v>175</v>
      </c>
      <c r="E353" s="395" t="s">
        <v>927</v>
      </c>
      <c r="F353" s="235"/>
      <c r="G353" s="379" t="e">
        <f>G361+G373</f>
        <v>#REF!</v>
      </c>
      <c r="H353" s="372"/>
      <c r="I353" s="313"/>
      <c r="J353" s="313"/>
      <c r="K353" s="313"/>
      <c r="L353" s="340"/>
      <c r="M353" s="313"/>
      <c r="N353" s="340"/>
      <c r="O353" s="349"/>
      <c r="P353" s="348"/>
      <c r="Q353" s="350"/>
      <c r="R353" s="354"/>
      <c r="S353" s="354"/>
      <c r="T353" s="354"/>
      <c r="U353" s="354"/>
      <c r="V353" s="354"/>
      <c r="W353" s="372"/>
      <c r="X353" s="521" t="s">
        <v>1989</v>
      </c>
      <c r="Y353" s="246" t="s">
        <v>1395</v>
      </c>
      <c r="Z353" s="235" t="s">
        <v>175</v>
      </c>
      <c r="AA353" s="235" t="s">
        <v>175</v>
      </c>
      <c r="AB353" s="443" t="s">
        <v>1990</v>
      </c>
      <c r="AC353" s="238"/>
      <c r="AD353" s="292">
        <f>AD354+AD359</f>
        <v>9859.6</v>
      </c>
      <c r="AE353" s="476">
        <f>AE354+AE359</f>
        <v>9764.6</v>
      </c>
      <c r="AF353" s="476">
        <f>AF354+AF359</f>
        <v>9764.6</v>
      </c>
      <c r="AG353" s="554"/>
      <c r="AH353" s="554"/>
      <c r="AI353" s="456"/>
    </row>
    <row r="354" spans="1:35" s="370" customFormat="1" x14ac:dyDescent="0.25">
      <c r="A354" s="380"/>
      <c r="B354" s="283"/>
      <c r="C354" s="235"/>
      <c r="D354" s="235"/>
      <c r="E354" s="395"/>
      <c r="F354" s="235"/>
      <c r="G354" s="379"/>
      <c r="H354" s="372"/>
      <c r="I354" s="313"/>
      <c r="J354" s="313"/>
      <c r="K354" s="313"/>
      <c r="L354" s="340"/>
      <c r="M354" s="313"/>
      <c r="N354" s="340"/>
      <c r="O354" s="349"/>
      <c r="P354" s="348"/>
      <c r="Q354" s="350"/>
      <c r="R354" s="354"/>
      <c r="S354" s="354"/>
      <c r="T354" s="354"/>
      <c r="U354" s="354"/>
      <c r="V354" s="354"/>
      <c r="W354" s="372"/>
      <c r="X354" s="518" t="s">
        <v>2371</v>
      </c>
      <c r="Y354" s="246" t="s">
        <v>1395</v>
      </c>
      <c r="Z354" s="235" t="s">
        <v>175</v>
      </c>
      <c r="AA354" s="235" t="s">
        <v>175</v>
      </c>
      <c r="AB354" s="443" t="s">
        <v>1991</v>
      </c>
      <c r="AC354" s="238"/>
      <c r="AD354" s="292">
        <f t="shared" ref="AD354:AF357" si="81">AD355</f>
        <v>239</v>
      </c>
      <c r="AE354" s="476">
        <f t="shared" si="81"/>
        <v>239</v>
      </c>
      <c r="AF354" s="476">
        <f t="shared" si="81"/>
        <v>239</v>
      </c>
      <c r="AG354" s="554"/>
      <c r="AH354" s="554"/>
      <c r="AI354" s="456"/>
    </row>
    <row r="355" spans="1:35" s="370" customFormat="1" ht="52.9" customHeight="1" x14ac:dyDescent="0.25">
      <c r="A355" s="380"/>
      <c r="B355" s="283"/>
      <c r="C355" s="235"/>
      <c r="D355" s="235"/>
      <c r="E355" s="395"/>
      <c r="F355" s="235"/>
      <c r="G355" s="379"/>
      <c r="H355" s="372"/>
      <c r="I355" s="313"/>
      <c r="J355" s="313"/>
      <c r="K355" s="313"/>
      <c r="L355" s="340"/>
      <c r="M355" s="313"/>
      <c r="N355" s="340"/>
      <c r="O355" s="349"/>
      <c r="P355" s="348"/>
      <c r="Q355" s="350"/>
      <c r="R355" s="354"/>
      <c r="S355" s="354"/>
      <c r="T355" s="354"/>
      <c r="U355" s="354"/>
      <c r="V355" s="354"/>
      <c r="W355" s="372"/>
      <c r="X355" s="521" t="s">
        <v>2372</v>
      </c>
      <c r="Y355" s="246" t="s">
        <v>1395</v>
      </c>
      <c r="Z355" s="235" t="s">
        <v>175</v>
      </c>
      <c r="AA355" s="235" t="s">
        <v>175</v>
      </c>
      <c r="AB355" s="443" t="s">
        <v>2175</v>
      </c>
      <c r="AC355" s="238"/>
      <c r="AD355" s="292">
        <f t="shared" si="81"/>
        <v>239</v>
      </c>
      <c r="AE355" s="476">
        <f t="shared" si="81"/>
        <v>239</v>
      </c>
      <c r="AF355" s="476">
        <f t="shared" si="81"/>
        <v>239</v>
      </c>
      <c r="AG355" s="554"/>
      <c r="AH355" s="554"/>
      <c r="AI355" s="456"/>
    </row>
    <row r="356" spans="1:35" s="370" customFormat="1" ht="110.25" x14ac:dyDescent="0.25">
      <c r="A356" s="380"/>
      <c r="B356" s="283"/>
      <c r="C356" s="235"/>
      <c r="D356" s="235"/>
      <c r="E356" s="395"/>
      <c r="F356" s="235"/>
      <c r="G356" s="379"/>
      <c r="H356" s="372"/>
      <c r="I356" s="313"/>
      <c r="J356" s="313"/>
      <c r="K356" s="313"/>
      <c r="L356" s="340"/>
      <c r="M356" s="313"/>
      <c r="N356" s="340"/>
      <c r="O356" s="349"/>
      <c r="P356" s="348"/>
      <c r="Q356" s="350"/>
      <c r="R356" s="354"/>
      <c r="S356" s="354"/>
      <c r="T356" s="354"/>
      <c r="U356" s="354"/>
      <c r="V356" s="354"/>
      <c r="W356" s="372"/>
      <c r="X356" s="521" t="s">
        <v>2177</v>
      </c>
      <c r="Y356" s="246" t="s">
        <v>1395</v>
      </c>
      <c r="Z356" s="235" t="s">
        <v>175</v>
      </c>
      <c r="AA356" s="235" t="s">
        <v>175</v>
      </c>
      <c r="AB356" s="443" t="s">
        <v>2176</v>
      </c>
      <c r="AC356" s="238"/>
      <c r="AD356" s="292">
        <f t="shared" si="81"/>
        <v>239</v>
      </c>
      <c r="AE356" s="476">
        <f t="shared" si="81"/>
        <v>239</v>
      </c>
      <c r="AF356" s="476">
        <f t="shared" si="81"/>
        <v>239</v>
      </c>
      <c r="AG356" s="554"/>
      <c r="AH356" s="554"/>
      <c r="AI356" s="456"/>
    </row>
    <row r="357" spans="1:35" s="370" customFormat="1" ht="47.25" x14ac:dyDescent="0.25">
      <c r="A357" s="380"/>
      <c r="B357" s="283"/>
      <c r="C357" s="235"/>
      <c r="D357" s="235"/>
      <c r="E357" s="395"/>
      <c r="F357" s="235"/>
      <c r="G357" s="379"/>
      <c r="H357" s="372"/>
      <c r="I357" s="313"/>
      <c r="J357" s="313"/>
      <c r="K357" s="313"/>
      <c r="L357" s="340"/>
      <c r="M357" s="313"/>
      <c r="N357" s="340"/>
      <c r="O357" s="349"/>
      <c r="P357" s="348"/>
      <c r="Q357" s="350"/>
      <c r="R357" s="354"/>
      <c r="S357" s="354"/>
      <c r="T357" s="354"/>
      <c r="U357" s="354"/>
      <c r="V357" s="354"/>
      <c r="W357" s="372"/>
      <c r="X357" s="520" t="s">
        <v>922</v>
      </c>
      <c r="Y357" s="246" t="s">
        <v>1395</v>
      </c>
      <c r="Z357" s="235" t="s">
        <v>175</v>
      </c>
      <c r="AA357" s="235" t="s">
        <v>175</v>
      </c>
      <c r="AB357" s="443" t="s">
        <v>2176</v>
      </c>
      <c r="AC357" s="238">
        <v>100</v>
      </c>
      <c r="AD357" s="292">
        <f t="shared" si="81"/>
        <v>239</v>
      </c>
      <c r="AE357" s="476">
        <f t="shared" si="81"/>
        <v>239</v>
      </c>
      <c r="AF357" s="476">
        <f t="shared" si="81"/>
        <v>239</v>
      </c>
      <c r="AG357" s="554"/>
      <c r="AH357" s="554"/>
      <c r="AI357" s="456"/>
    </row>
    <row r="358" spans="1:35" s="370" customFormat="1" x14ac:dyDescent="0.25">
      <c r="A358" s="380"/>
      <c r="B358" s="283"/>
      <c r="C358" s="235"/>
      <c r="D358" s="235"/>
      <c r="E358" s="395"/>
      <c r="F358" s="235"/>
      <c r="G358" s="379"/>
      <c r="H358" s="372"/>
      <c r="I358" s="313"/>
      <c r="J358" s="313"/>
      <c r="K358" s="313"/>
      <c r="L358" s="340"/>
      <c r="M358" s="313"/>
      <c r="N358" s="340"/>
      <c r="O358" s="349"/>
      <c r="P358" s="348"/>
      <c r="Q358" s="350"/>
      <c r="R358" s="354"/>
      <c r="S358" s="354"/>
      <c r="T358" s="354"/>
      <c r="U358" s="354"/>
      <c r="V358" s="354"/>
      <c r="W358" s="372"/>
      <c r="X358" s="520" t="s">
        <v>1748</v>
      </c>
      <c r="Y358" s="246" t="s">
        <v>1395</v>
      </c>
      <c r="Z358" s="235" t="s">
        <v>175</v>
      </c>
      <c r="AA358" s="235" t="s">
        <v>175</v>
      </c>
      <c r="AB358" s="443" t="s">
        <v>2176</v>
      </c>
      <c r="AC358" s="238">
        <v>120</v>
      </c>
      <c r="AD358" s="292">
        <v>239</v>
      </c>
      <c r="AE358" s="476">
        <v>239</v>
      </c>
      <c r="AF358" s="476">
        <v>239</v>
      </c>
      <c r="AG358" s="554"/>
      <c r="AH358" s="554"/>
      <c r="AI358" s="456"/>
    </row>
    <row r="359" spans="1:35" s="370" customFormat="1" x14ac:dyDescent="0.25">
      <c r="A359" s="380"/>
      <c r="B359" s="283"/>
      <c r="C359" s="235"/>
      <c r="D359" s="235"/>
      <c r="E359" s="395"/>
      <c r="F359" s="235"/>
      <c r="G359" s="379"/>
      <c r="H359" s="372"/>
      <c r="I359" s="313"/>
      <c r="J359" s="313"/>
      <c r="K359" s="313"/>
      <c r="L359" s="340"/>
      <c r="M359" s="313"/>
      <c r="N359" s="340"/>
      <c r="O359" s="349"/>
      <c r="P359" s="348"/>
      <c r="Q359" s="350"/>
      <c r="R359" s="354"/>
      <c r="S359" s="354"/>
      <c r="T359" s="354"/>
      <c r="U359" s="354"/>
      <c r="V359" s="354"/>
      <c r="W359" s="372"/>
      <c r="X359" s="521" t="s">
        <v>1161</v>
      </c>
      <c r="Y359" s="246" t="s">
        <v>1395</v>
      </c>
      <c r="Z359" s="235" t="s">
        <v>175</v>
      </c>
      <c r="AA359" s="235" t="s">
        <v>175</v>
      </c>
      <c r="AB359" s="443" t="s">
        <v>2202</v>
      </c>
      <c r="AC359" s="238"/>
      <c r="AD359" s="292">
        <f t="shared" ref="AD359:AF360" si="82">AD360</f>
        <v>9620.6</v>
      </c>
      <c r="AE359" s="476">
        <f t="shared" si="82"/>
        <v>9525.6</v>
      </c>
      <c r="AF359" s="476">
        <f t="shared" si="82"/>
        <v>9525.6</v>
      </c>
      <c r="AG359" s="554"/>
      <c r="AH359" s="554"/>
      <c r="AI359" s="456"/>
    </row>
    <row r="360" spans="1:35" s="370" customFormat="1" ht="31.5" x14ac:dyDescent="0.25">
      <c r="A360" s="380"/>
      <c r="B360" s="283"/>
      <c r="C360" s="235"/>
      <c r="D360" s="235"/>
      <c r="E360" s="395"/>
      <c r="F360" s="235"/>
      <c r="G360" s="379"/>
      <c r="H360" s="372"/>
      <c r="I360" s="313"/>
      <c r="J360" s="313"/>
      <c r="K360" s="313"/>
      <c r="L360" s="340"/>
      <c r="M360" s="313"/>
      <c r="N360" s="340"/>
      <c r="O360" s="349"/>
      <c r="P360" s="348"/>
      <c r="Q360" s="350"/>
      <c r="R360" s="354"/>
      <c r="S360" s="354"/>
      <c r="T360" s="354"/>
      <c r="U360" s="354"/>
      <c r="V360" s="354"/>
      <c r="W360" s="372"/>
      <c r="X360" s="521" t="s">
        <v>1910</v>
      </c>
      <c r="Y360" s="246" t="s">
        <v>1395</v>
      </c>
      <c r="Z360" s="235" t="s">
        <v>175</v>
      </c>
      <c r="AA360" s="235" t="s">
        <v>175</v>
      </c>
      <c r="AB360" s="443" t="s">
        <v>2201</v>
      </c>
      <c r="AC360" s="238"/>
      <c r="AD360" s="292">
        <f t="shared" si="82"/>
        <v>9620.6</v>
      </c>
      <c r="AE360" s="476">
        <f t="shared" si="82"/>
        <v>9525.6</v>
      </c>
      <c r="AF360" s="476">
        <f t="shared" si="82"/>
        <v>9525.6</v>
      </c>
      <c r="AG360" s="554"/>
      <c r="AH360" s="554"/>
      <c r="AI360" s="456"/>
    </row>
    <row r="361" spans="1:35" s="370" customFormat="1" x14ac:dyDescent="0.25">
      <c r="A361" s="380" t="s">
        <v>638</v>
      </c>
      <c r="B361" s="283" t="s">
        <v>1395</v>
      </c>
      <c r="C361" s="235" t="s">
        <v>175</v>
      </c>
      <c r="D361" s="235" t="s">
        <v>175</v>
      </c>
      <c r="E361" s="236" t="s">
        <v>928</v>
      </c>
      <c r="F361" s="235"/>
      <c r="G361" s="379" t="e">
        <f>G362+G367+G370</f>
        <v>#REF!</v>
      </c>
      <c r="H361" s="372"/>
      <c r="I361" s="313"/>
      <c r="J361" s="313"/>
      <c r="K361" s="313"/>
      <c r="L361" s="340"/>
      <c r="M361" s="313"/>
      <c r="N361" s="340"/>
      <c r="O361" s="349"/>
      <c r="P361" s="348"/>
      <c r="Q361" s="350"/>
      <c r="R361" s="354"/>
      <c r="S361" s="354"/>
      <c r="T361" s="354"/>
      <c r="U361" s="354"/>
      <c r="V361" s="354"/>
      <c r="W361" s="372"/>
      <c r="X361" s="520" t="s">
        <v>1924</v>
      </c>
      <c r="Y361" s="246" t="s">
        <v>1395</v>
      </c>
      <c r="Z361" s="235" t="s">
        <v>175</v>
      </c>
      <c r="AA361" s="235" t="s">
        <v>175</v>
      </c>
      <c r="AB361" s="443" t="s">
        <v>2200</v>
      </c>
      <c r="AC361" s="238"/>
      <c r="AD361" s="292">
        <f>AD362+AD367+AD370</f>
        <v>9620.6</v>
      </c>
      <c r="AE361" s="476">
        <f>AE362+AE367+AE370</f>
        <v>9525.6</v>
      </c>
      <c r="AF361" s="476">
        <f>AF362+AF367+AF370</f>
        <v>9525.6</v>
      </c>
      <c r="AG361" s="554"/>
      <c r="AH361" s="554"/>
      <c r="AI361" s="456"/>
    </row>
    <row r="362" spans="1:35" s="370" customFormat="1" ht="31.5" x14ac:dyDescent="0.25">
      <c r="A362" s="380" t="s">
        <v>1683</v>
      </c>
      <c r="B362" s="283" t="s">
        <v>1395</v>
      </c>
      <c r="C362" s="235" t="s">
        <v>175</v>
      </c>
      <c r="D362" s="235" t="s">
        <v>175</v>
      </c>
      <c r="E362" s="236" t="s">
        <v>929</v>
      </c>
      <c r="F362" s="235"/>
      <c r="G362" s="379" t="e">
        <f>G363+#REF!</f>
        <v>#REF!</v>
      </c>
      <c r="H362" s="372"/>
      <c r="I362" s="313"/>
      <c r="J362" s="313"/>
      <c r="K362" s="313"/>
      <c r="L362" s="340"/>
      <c r="M362" s="313"/>
      <c r="N362" s="340"/>
      <c r="O362" s="349"/>
      <c r="P362" s="348"/>
      <c r="Q362" s="350"/>
      <c r="R362" s="354"/>
      <c r="S362" s="354"/>
      <c r="T362" s="354"/>
      <c r="U362" s="354"/>
      <c r="V362" s="354"/>
      <c r="W362" s="372"/>
      <c r="X362" s="520" t="s">
        <v>1925</v>
      </c>
      <c r="Y362" s="246" t="s">
        <v>1395</v>
      </c>
      <c r="Z362" s="235" t="s">
        <v>175</v>
      </c>
      <c r="AA362" s="235" t="s">
        <v>175</v>
      </c>
      <c r="AB362" s="443" t="s">
        <v>2199</v>
      </c>
      <c r="AC362" s="238"/>
      <c r="AD362" s="292">
        <f>AD363+AD365</f>
        <v>1220.4000000000003</v>
      </c>
      <c r="AE362" s="476">
        <f>AE363+AE365</f>
        <v>1125.4000000000001</v>
      </c>
      <c r="AF362" s="476">
        <f>AF363+AF365</f>
        <v>1125.4000000000001</v>
      </c>
      <c r="AG362" s="554"/>
      <c r="AH362" s="554"/>
      <c r="AI362" s="456"/>
    </row>
    <row r="363" spans="1:35" s="370" customFormat="1" ht="31.5" x14ac:dyDescent="0.25">
      <c r="A363" s="378" t="s">
        <v>923</v>
      </c>
      <c r="B363" s="283" t="s">
        <v>1395</v>
      </c>
      <c r="C363" s="235" t="s">
        <v>175</v>
      </c>
      <c r="D363" s="235" t="s">
        <v>175</v>
      </c>
      <c r="E363" s="236" t="s">
        <v>929</v>
      </c>
      <c r="F363" s="235">
        <v>200</v>
      </c>
      <c r="G363" s="379">
        <f>G364</f>
        <v>3195.1000000000004</v>
      </c>
      <c r="H363" s="372"/>
      <c r="I363" s="313"/>
      <c r="J363" s="313"/>
      <c r="K363" s="313"/>
      <c r="L363" s="340"/>
      <c r="M363" s="313"/>
      <c r="N363" s="340"/>
      <c r="O363" s="349"/>
      <c r="P363" s="348"/>
      <c r="Q363" s="350"/>
      <c r="R363" s="354"/>
      <c r="S363" s="354"/>
      <c r="T363" s="354"/>
      <c r="U363" s="354"/>
      <c r="V363" s="354"/>
      <c r="W363" s="372"/>
      <c r="X363" s="520" t="s">
        <v>1782</v>
      </c>
      <c r="Y363" s="246" t="s">
        <v>1395</v>
      </c>
      <c r="Z363" s="235" t="s">
        <v>175</v>
      </c>
      <c r="AA363" s="235" t="s">
        <v>175</v>
      </c>
      <c r="AB363" s="443" t="s">
        <v>2199</v>
      </c>
      <c r="AC363" s="238">
        <v>200</v>
      </c>
      <c r="AD363" s="292">
        <f>AD364</f>
        <v>1195.7000000000003</v>
      </c>
      <c r="AE363" s="476">
        <f>AE364</f>
        <v>1125.4000000000001</v>
      </c>
      <c r="AF363" s="476">
        <f>AF364</f>
        <v>1125.4000000000001</v>
      </c>
      <c r="AG363" s="554"/>
      <c r="AH363" s="554"/>
      <c r="AI363" s="456"/>
    </row>
    <row r="364" spans="1:35" s="370" customFormat="1" ht="31.5" x14ac:dyDescent="0.25">
      <c r="A364" s="396" t="s">
        <v>1274</v>
      </c>
      <c r="B364" s="283" t="s">
        <v>1395</v>
      </c>
      <c r="C364" s="235" t="s">
        <v>175</v>
      </c>
      <c r="D364" s="235" t="s">
        <v>175</v>
      </c>
      <c r="E364" s="236" t="s">
        <v>929</v>
      </c>
      <c r="F364" s="235">
        <v>240</v>
      </c>
      <c r="G364" s="379">
        <f>2288.8+906.3</f>
        <v>3195.1000000000004</v>
      </c>
      <c r="H364" s="372"/>
      <c r="I364" s="313"/>
      <c r="J364" s="313"/>
      <c r="K364" s="313"/>
      <c r="L364" s="348"/>
      <c r="M364" s="313"/>
      <c r="N364" s="348"/>
      <c r="O364" s="349"/>
      <c r="P364" s="348"/>
      <c r="Q364" s="350"/>
      <c r="R364" s="354"/>
      <c r="S364" s="354"/>
      <c r="T364" s="354"/>
      <c r="U364" s="354"/>
      <c r="V364" s="354"/>
      <c r="W364" s="372"/>
      <c r="X364" s="520" t="s">
        <v>1274</v>
      </c>
      <c r="Y364" s="246" t="s">
        <v>1395</v>
      </c>
      <c r="Z364" s="235" t="s">
        <v>175</v>
      </c>
      <c r="AA364" s="235" t="s">
        <v>175</v>
      </c>
      <c r="AB364" s="443" t="s">
        <v>2199</v>
      </c>
      <c r="AC364" s="238">
        <v>240</v>
      </c>
      <c r="AD364" s="292">
        <f>1125.4-0.1-24.6+95</f>
        <v>1195.7000000000003</v>
      </c>
      <c r="AE364" s="476">
        <v>1125.4000000000001</v>
      </c>
      <c r="AF364" s="476">
        <v>1125.4000000000001</v>
      </c>
      <c r="AG364" s="554"/>
      <c r="AH364" s="554"/>
      <c r="AI364" s="456"/>
    </row>
    <row r="365" spans="1:35" s="370" customFormat="1" x14ac:dyDescent="0.25">
      <c r="A365" s="396"/>
      <c r="B365" s="283"/>
      <c r="C365" s="235"/>
      <c r="D365" s="235"/>
      <c r="E365" s="236"/>
      <c r="F365" s="235"/>
      <c r="G365" s="379"/>
      <c r="H365" s="372"/>
      <c r="I365" s="313"/>
      <c r="J365" s="313"/>
      <c r="K365" s="313"/>
      <c r="L365" s="348"/>
      <c r="M365" s="313"/>
      <c r="N365" s="348"/>
      <c r="O365" s="349"/>
      <c r="P365" s="348"/>
      <c r="Q365" s="350"/>
      <c r="R365" s="354"/>
      <c r="S365" s="354"/>
      <c r="T365" s="354"/>
      <c r="U365" s="354"/>
      <c r="V365" s="354"/>
      <c r="W365" s="372"/>
      <c r="X365" s="520" t="s">
        <v>924</v>
      </c>
      <c r="Y365" s="246" t="s">
        <v>1395</v>
      </c>
      <c r="Z365" s="235" t="s">
        <v>175</v>
      </c>
      <c r="AA365" s="235" t="s">
        <v>175</v>
      </c>
      <c r="AB365" s="443" t="s">
        <v>2199</v>
      </c>
      <c r="AC365" s="238">
        <v>800</v>
      </c>
      <c r="AD365" s="292">
        <f>AD366</f>
        <v>24.7</v>
      </c>
      <c r="AE365" s="476">
        <f>AE366</f>
        <v>0</v>
      </c>
      <c r="AF365" s="476">
        <f>AF366</f>
        <v>0</v>
      </c>
      <c r="AG365" s="554"/>
      <c r="AH365" s="554"/>
      <c r="AI365" s="456"/>
    </row>
    <row r="366" spans="1:35" s="370" customFormat="1" x14ac:dyDescent="0.25">
      <c r="A366" s="396"/>
      <c r="B366" s="283"/>
      <c r="C366" s="235"/>
      <c r="D366" s="235"/>
      <c r="E366" s="236"/>
      <c r="F366" s="235"/>
      <c r="G366" s="379"/>
      <c r="H366" s="372"/>
      <c r="I366" s="313"/>
      <c r="J366" s="313"/>
      <c r="K366" s="313"/>
      <c r="L366" s="348"/>
      <c r="M366" s="313"/>
      <c r="N366" s="348"/>
      <c r="O366" s="349"/>
      <c r="P366" s="348"/>
      <c r="Q366" s="350"/>
      <c r="R366" s="354"/>
      <c r="S366" s="354"/>
      <c r="T366" s="354"/>
      <c r="U366" s="354"/>
      <c r="V366" s="354"/>
      <c r="W366" s="372"/>
      <c r="X366" s="520" t="s">
        <v>1320</v>
      </c>
      <c r="Y366" s="246" t="s">
        <v>1395</v>
      </c>
      <c r="Z366" s="235" t="s">
        <v>175</v>
      </c>
      <c r="AA366" s="235" t="s">
        <v>175</v>
      </c>
      <c r="AB366" s="443" t="s">
        <v>2199</v>
      </c>
      <c r="AC366" s="238">
        <v>850</v>
      </c>
      <c r="AD366" s="292">
        <f>24.7</f>
        <v>24.7</v>
      </c>
      <c r="AE366" s="476">
        <v>0</v>
      </c>
      <c r="AF366" s="476">
        <v>0</v>
      </c>
      <c r="AG366" s="554"/>
      <c r="AH366" s="554"/>
      <c r="AI366" s="456"/>
    </row>
    <row r="367" spans="1:35" s="370" customFormat="1" ht="47.25" x14ac:dyDescent="0.25">
      <c r="A367" s="380" t="s">
        <v>1295</v>
      </c>
      <c r="B367" s="283" t="s">
        <v>1395</v>
      </c>
      <c r="C367" s="235" t="s">
        <v>175</v>
      </c>
      <c r="D367" s="235" t="s">
        <v>175</v>
      </c>
      <c r="E367" s="236" t="s">
        <v>931</v>
      </c>
      <c r="F367" s="235"/>
      <c r="G367" s="379">
        <f>G368</f>
        <v>7341.9</v>
      </c>
      <c r="H367" s="372"/>
      <c r="I367" s="313"/>
      <c r="J367" s="313"/>
      <c r="K367" s="313"/>
      <c r="L367" s="340"/>
      <c r="M367" s="313"/>
      <c r="N367" s="340"/>
      <c r="O367" s="349"/>
      <c r="P367" s="348"/>
      <c r="Q367" s="350"/>
      <c r="R367" s="354"/>
      <c r="S367" s="354"/>
      <c r="T367" s="354"/>
      <c r="U367" s="354"/>
      <c r="V367" s="354"/>
      <c r="W367" s="372"/>
      <c r="X367" s="520" t="s">
        <v>1926</v>
      </c>
      <c r="Y367" s="246" t="s">
        <v>1395</v>
      </c>
      <c r="Z367" s="235" t="s">
        <v>175</v>
      </c>
      <c r="AA367" s="235" t="s">
        <v>175</v>
      </c>
      <c r="AB367" s="443" t="s">
        <v>2198</v>
      </c>
      <c r="AC367" s="238"/>
      <c r="AD367" s="292">
        <f t="shared" ref="AD367:AF368" si="83">AD368</f>
        <v>4697.3</v>
      </c>
      <c r="AE367" s="476">
        <f t="shared" si="83"/>
        <v>4697.3</v>
      </c>
      <c r="AF367" s="476">
        <f t="shared" si="83"/>
        <v>4697.3</v>
      </c>
      <c r="AG367" s="554"/>
      <c r="AH367" s="554"/>
      <c r="AI367" s="456"/>
    </row>
    <row r="368" spans="1:35" s="370" customFormat="1" ht="63" x14ac:dyDescent="0.25">
      <c r="A368" s="396" t="s">
        <v>922</v>
      </c>
      <c r="B368" s="283" t="s">
        <v>1395</v>
      </c>
      <c r="C368" s="235" t="s">
        <v>175</v>
      </c>
      <c r="D368" s="235" t="s">
        <v>175</v>
      </c>
      <c r="E368" s="236" t="s">
        <v>931</v>
      </c>
      <c r="F368" s="235">
        <v>100</v>
      </c>
      <c r="G368" s="379">
        <f>G369</f>
        <v>7341.9</v>
      </c>
      <c r="H368" s="372"/>
      <c r="I368" s="313"/>
      <c r="J368" s="313"/>
      <c r="K368" s="313"/>
      <c r="L368" s="348"/>
      <c r="M368" s="313"/>
      <c r="N368" s="348"/>
      <c r="O368" s="349"/>
      <c r="P368" s="348"/>
      <c r="Q368" s="350"/>
      <c r="R368" s="354"/>
      <c r="S368" s="354"/>
      <c r="T368" s="354"/>
      <c r="U368" s="354"/>
      <c r="V368" s="354"/>
      <c r="W368" s="372"/>
      <c r="X368" s="520" t="s">
        <v>922</v>
      </c>
      <c r="Y368" s="246" t="s">
        <v>1395</v>
      </c>
      <c r="Z368" s="235" t="s">
        <v>175</v>
      </c>
      <c r="AA368" s="235" t="s">
        <v>175</v>
      </c>
      <c r="AB368" s="443" t="s">
        <v>2198</v>
      </c>
      <c r="AC368" s="238">
        <v>100</v>
      </c>
      <c r="AD368" s="292">
        <f t="shared" si="83"/>
        <v>4697.3</v>
      </c>
      <c r="AE368" s="476">
        <f t="shared" si="83"/>
        <v>4697.3</v>
      </c>
      <c r="AF368" s="476">
        <f t="shared" si="83"/>
        <v>4697.3</v>
      </c>
      <c r="AG368" s="554"/>
      <c r="AH368" s="554"/>
      <c r="AI368" s="456"/>
    </row>
    <row r="369" spans="1:35" s="370" customFormat="1" ht="31.5" x14ac:dyDescent="0.25">
      <c r="A369" s="378" t="s">
        <v>1748</v>
      </c>
      <c r="B369" s="283" t="s">
        <v>1395</v>
      </c>
      <c r="C369" s="235" t="s">
        <v>175</v>
      </c>
      <c r="D369" s="235" t="s">
        <v>175</v>
      </c>
      <c r="E369" s="236" t="s">
        <v>931</v>
      </c>
      <c r="F369" s="235">
        <v>120</v>
      </c>
      <c r="G369" s="379">
        <f>1564+5777.9</f>
        <v>7341.9</v>
      </c>
      <c r="H369" s="372"/>
      <c r="I369" s="313"/>
      <c r="J369" s="313"/>
      <c r="K369" s="313"/>
      <c r="L369" s="340"/>
      <c r="M369" s="313"/>
      <c r="N369" s="340"/>
      <c r="O369" s="349"/>
      <c r="P369" s="348"/>
      <c r="Q369" s="350"/>
      <c r="R369" s="354"/>
      <c r="S369" s="354"/>
      <c r="T369" s="354"/>
      <c r="U369" s="354"/>
      <c r="V369" s="354"/>
      <c r="W369" s="372"/>
      <c r="X369" s="520" t="s">
        <v>1748</v>
      </c>
      <c r="Y369" s="246" t="s">
        <v>1395</v>
      </c>
      <c r="Z369" s="235" t="s">
        <v>175</v>
      </c>
      <c r="AA369" s="235" t="s">
        <v>175</v>
      </c>
      <c r="AB369" s="443" t="s">
        <v>2198</v>
      </c>
      <c r="AC369" s="238">
        <v>120</v>
      </c>
      <c r="AD369" s="292">
        <v>4697.3</v>
      </c>
      <c r="AE369" s="476">
        <v>4697.3</v>
      </c>
      <c r="AF369" s="476">
        <v>4697.3</v>
      </c>
      <c r="AG369" s="554"/>
      <c r="AH369" s="554"/>
      <c r="AI369" s="456"/>
    </row>
    <row r="370" spans="1:35" s="370" customFormat="1" ht="31.5" x14ac:dyDescent="0.25">
      <c r="A370" s="380" t="s">
        <v>720</v>
      </c>
      <c r="B370" s="283" t="s">
        <v>1395</v>
      </c>
      <c r="C370" s="235" t="s">
        <v>175</v>
      </c>
      <c r="D370" s="235" t="s">
        <v>175</v>
      </c>
      <c r="E370" s="236" t="s">
        <v>932</v>
      </c>
      <c r="F370" s="235"/>
      <c r="G370" s="379">
        <f>G371</f>
        <v>16897.099999999999</v>
      </c>
      <c r="H370" s="372"/>
      <c r="I370" s="313"/>
      <c r="J370" s="313"/>
      <c r="K370" s="313"/>
      <c r="L370" s="340"/>
      <c r="M370" s="313"/>
      <c r="N370" s="340"/>
      <c r="O370" s="349"/>
      <c r="P370" s="348"/>
      <c r="Q370" s="350"/>
      <c r="R370" s="354"/>
      <c r="S370" s="354"/>
      <c r="T370" s="354"/>
      <c r="U370" s="354"/>
      <c r="V370" s="354"/>
      <c r="W370" s="372"/>
      <c r="X370" s="520" t="s">
        <v>1927</v>
      </c>
      <c r="Y370" s="246" t="s">
        <v>1395</v>
      </c>
      <c r="Z370" s="235" t="s">
        <v>175</v>
      </c>
      <c r="AA370" s="235" t="s">
        <v>175</v>
      </c>
      <c r="AB370" s="443" t="s">
        <v>2197</v>
      </c>
      <c r="AC370" s="238"/>
      <c r="AD370" s="292">
        <f t="shared" ref="AD370:AF371" si="84">AD371</f>
        <v>3702.9</v>
      </c>
      <c r="AE370" s="476">
        <f t="shared" si="84"/>
        <v>3702.9</v>
      </c>
      <c r="AF370" s="476">
        <f t="shared" si="84"/>
        <v>3702.9</v>
      </c>
      <c r="AG370" s="554"/>
      <c r="AH370" s="554"/>
      <c r="AI370" s="456"/>
    </row>
    <row r="371" spans="1:35" s="370" customFormat="1" ht="63" x14ac:dyDescent="0.25">
      <c r="A371" s="396" t="s">
        <v>922</v>
      </c>
      <c r="B371" s="283" t="s">
        <v>1395</v>
      </c>
      <c r="C371" s="235" t="s">
        <v>175</v>
      </c>
      <c r="D371" s="235" t="s">
        <v>175</v>
      </c>
      <c r="E371" s="236" t="s">
        <v>932</v>
      </c>
      <c r="F371" s="235">
        <v>100</v>
      </c>
      <c r="G371" s="379">
        <f>G372</f>
        <v>16897.099999999999</v>
      </c>
      <c r="H371" s="372"/>
      <c r="I371" s="313"/>
      <c r="J371" s="313"/>
      <c r="K371" s="313"/>
      <c r="L371" s="340"/>
      <c r="M371" s="313"/>
      <c r="N371" s="340"/>
      <c r="O371" s="349"/>
      <c r="P371" s="348"/>
      <c r="Q371" s="350"/>
      <c r="R371" s="354"/>
      <c r="S371" s="354"/>
      <c r="T371" s="354"/>
      <c r="U371" s="354"/>
      <c r="V371" s="354"/>
      <c r="W371" s="372"/>
      <c r="X371" s="520" t="s">
        <v>922</v>
      </c>
      <c r="Y371" s="246" t="s">
        <v>1395</v>
      </c>
      <c r="Z371" s="235" t="s">
        <v>175</v>
      </c>
      <c r="AA371" s="235" t="s">
        <v>175</v>
      </c>
      <c r="AB371" s="443" t="s">
        <v>2197</v>
      </c>
      <c r="AC371" s="238">
        <v>100</v>
      </c>
      <c r="AD371" s="292">
        <f t="shared" si="84"/>
        <v>3702.9</v>
      </c>
      <c r="AE371" s="476">
        <f t="shared" si="84"/>
        <v>3702.9</v>
      </c>
      <c r="AF371" s="476">
        <f t="shared" si="84"/>
        <v>3702.9</v>
      </c>
      <c r="AG371" s="554"/>
      <c r="AH371" s="554"/>
      <c r="AI371" s="456"/>
    </row>
    <row r="372" spans="1:35" s="370" customFormat="1" ht="31.5" x14ac:dyDescent="0.25">
      <c r="A372" s="378" t="s">
        <v>1748</v>
      </c>
      <c r="B372" s="283" t="s">
        <v>1395</v>
      </c>
      <c r="C372" s="235" t="s">
        <v>175</v>
      </c>
      <c r="D372" s="235" t="s">
        <v>175</v>
      </c>
      <c r="E372" s="236" t="s">
        <v>932</v>
      </c>
      <c r="F372" s="235">
        <v>120</v>
      </c>
      <c r="G372" s="379">
        <f>5536.1+11361</f>
        <v>16897.099999999999</v>
      </c>
      <c r="H372" s="372"/>
      <c r="I372" s="313"/>
      <c r="J372" s="313"/>
      <c r="K372" s="313"/>
      <c r="L372" s="340"/>
      <c r="M372" s="313"/>
      <c r="N372" s="340"/>
      <c r="O372" s="349"/>
      <c r="P372" s="348"/>
      <c r="Q372" s="350"/>
      <c r="R372" s="354"/>
      <c r="S372" s="354"/>
      <c r="T372" s="354"/>
      <c r="U372" s="354"/>
      <c r="V372" s="354"/>
      <c r="W372" s="372"/>
      <c r="X372" s="520" t="s">
        <v>1748</v>
      </c>
      <c r="Y372" s="246" t="s">
        <v>1395</v>
      </c>
      <c r="Z372" s="235" t="s">
        <v>175</v>
      </c>
      <c r="AA372" s="235" t="s">
        <v>175</v>
      </c>
      <c r="AB372" s="443" t="s">
        <v>2197</v>
      </c>
      <c r="AC372" s="238">
        <v>120</v>
      </c>
      <c r="AD372" s="292">
        <v>3702.9</v>
      </c>
      <c r="AE372" s="476">
        <v>3702.9</v>
      </c>
      <c r="AF372" s="476">
        <v>3702.9</v>
      </c>
      <c r="AG372" s="554"/>
      <c r="AH372" s="554"/>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59" t="s">
        <v>174</v>
      </c>
      <c r="Y373" s="575" t="s">
        <v>1395</v>
      </c>
      <c r="Z373" s="247" t="s">
        <v>205</v>
      </c>
      <c r="AA373" s="248"/>
      <c r="AB373" s="271"/>
      <c r="AC373" s="576"/>
      <c r="AD373" s="745">
        <f>AD374+AD398+AD417</f>
        <v>61092.9</v>
      </c>
      <c r="AE373" s="479">
        <f>AE374+AE398+AE417</f>
        <v>48002.9</v>
      </c>
      <c r="AF373" s="479">
        <f>AF374+AF398+AF417</f>
        <v>47980</v>
      </c>
      <c r="AG373" s="647"/>
      <c r="AH373" s="647"/>
      <c r="AI373" s="456"/>
    </row>
    <row r="374" spans="1:35" s="344" customFormat="1" x14ac:dyDescent="0.25">
      <c r="A374" s="335"/>
      <c r="B374" s="336"/>
      <c r="C374" s="338"/>
      <c r="D374" s="339"/>
      <c r="E374" s="339"/>
      <c r="F374" s="339"/>
      <c r="G374" s="340"/>
      <c r="H374" s="340"/>
      <c r="I374" s="340"/>
      <c r="J374" s="340"/>
      <c r="K374" s="340"/>
      <c r="L374" s="340"/>
      <c r="M374" s="340"/>
      <c r="N374" s="340"/>
      <c r="O374" s="341"/>
      <c r="P374" s="340"/>
      <c r="Q374" s="342"/>
      <c r="R374" s="362"/>
      <c r="S374" s="362"/>
      <c r="T374" s="362"/>
      <c r="U374" s="362"/>
      <c r="V374" s="362"/>
      <c r="W374" s="362"/>
      <c r="X374" s="520" t="s">
        <v>1813</v>
      </c>
      <c r="Y374" s="246" t="s">
        <v>1395</v>
      </c>
      <c r="Z374" s="236" t="s">
        <v>205</v>
      </c>
      <c r="AA374" s="235" t="s">
        <v>193</v>
      </c>
      <c r="AB374" s="271"/>
      <c r="AC374" s="576"/>
      <c r="AD374" s="292">
        <f>AD385+AD375+AD392</f>
        <v>57930.5</v>
      </c>
      <c r="AE374" s="292">
        <f t="shared" ref="AE374:AF374" si="85">AE385+AE375+AE392</f>
        <v>43460.5</v>
      </c>
      <c r="AF374" s="292">
        <f t="shared" si="85"/>
        <v>43460.5</v>
      </c>
      <c r="AG374" s="554"/>
      <c r="AH374" s="554"/>
      <c r="AI374" s="456"/>
    </row>
    <row r="375" spans="1:35" s="344" customFormat="1" x14ac:dyDescent="0.25">
      <c r="A375" s="335"/>
      <c r="B375" s="336"/>
      <c r="C375" s="338"/>
      <c r="D375" s="339"/>
      <c r="E375" s="339"/>
      <c r="F375" s="339"/>
      <c r="G375" s="340"/>
      <c r="H375" s="340"/>
      <c r="I375" s="340"/>
      <c r="J375" s="340"/>
      <c r="K375" s="340"/>
      <c r="L375" s="340"/>
      <c r="M375" s="340"/>
      <c r="N375" s="340"/>
      <c r="O375" s="341"/>
      <c r="P375" s="340"/>
      <c r="Q375" s="342"/>
      <c r="R375" s="362"/>
      <c r="S375" s="362"/>
      <c r="T375" s="362"/>
      <c r="U375" s="362"/>
      <c r="V375" s="362"/>
      <c r="W375" s="362"/>
      <c r="X375" s="521" t="s">
        <v>1999</v>
      </c>
      <c r="Y375" s="246" t="s">
        <v>1395</v>
      </c>
      <c r="Z375" s="236" t="s">
        <v>205</v>
      </c>
      <c r="AA375" s="235" t="s">
        <v>193</v>
      </c>
      <c r="AB375" s="443" t="s">
        <v>1775</v>
      </c>
      <c r="AC375" s="576"/>
      <c r="AD375" s="292">
        <f>AD376+AD380</f>
        <v>57695.5</v>
      </c>
      <c r="AE375" s="476">
        <f>AE376+AE380</f>
        <v>43445.5</v>
      </c>
      <c r="AF375" s="476">
        <f>AF376+AF380</f>
        <v>43445.5</v>
      </c>
      <c r="AG375" s="554"/>
      <c r="AH375" s="554"/>
      <c r="AI375" s="456"/>
    </row>
    <row r="376" spans="1:35" s="344" customFormat="1" ht="47.25" x14ac:dyDescent="0.25">
      <c r="A376" s="335"/>
      <c r="B376" s="336"/>
      <c r="C376" s="338"/>
      <c r="D376" s="339"/>
      <c r="E376" s="339"/>
      <c r="F376" s="339"/>
      <c r="G376" s="340"/>
      <c r="H376" s="340"/>
      <c r="I376" s="340"/>
      <c r="J376" s="340"/>
      <c r="K376" s="340"/>
      <c r="L376" s="340"/>
      <c r="M376" s="340"/>
      <c r="N376" s="340"/>
      <c r="O376" s="341"/>
      <c r="P376" s="340"/>
      <c r="Q376" s="342"/>
      <c r="R376" s="362"/>
      <c r="S376" s="362"/>
      <c r="T376" s="362"/>
      <c r="U376" s="362"/>
      <c r="V376" s="362"/>
      <c r="W376" s="362"/>
      <c r="X376" s="553" t="s">
        <v>2419</v>
      </c>
      <c r="Y376" s="246" t="s">
        <v>1395</v>
      </c>
      <c r="Z376" s="236" t="s">
        <v>205</v>
      </c>
      <c r="AA376" s="235" t="s">
        <v>193</v>
      </c>
      <c r="AB376" s="443" t="s">
        <v>2269</v>
      </c>
      <c r="AC376" s="238"/>
      <c r="AD376" s="292">
        <f>AD377</f>
        <v>14250</v>
      </c>
      <c r="AE376" s="476">
        <f>AE377</f>
        <v>0</v>
      </c>
      <c r="AF376" s="476">
        <f>AF377</f>
        <v>0</v>
      </c>
      <c r="AG376" s="554"/>
      <c r="AH376" s="554"/>
      <c r="AI376" s="456"/>
    </row>
    <row r="377" spans="1:35" s="344" customFormat="1" ht="47.25" x14ac:dyDescent="0.25">
      <c r="A377" s="335"/>
      <c r="B377" s="336"/>
      <c r="C377" s="338"/>
      <c r="D377" s="339"/>
      <c r="E377" s="339"/>
      <c r="F377" s="339"/>
      <c r="G377" s="340"/>
      <c r="H377" s="340"/>
      <c r="I377" s="340"/>
      <c r="J377" s="340"/>
      <c r="K377" s="340"/>
      <c r="L377" s="340"/>
      <c r="M377" s="340"/>
      <c r="N377" s="340"/>
      <c r="O377" s="341"/>
      <c r="P377" s="340"/>
      <c r="Q377" s="342"/>
      <c r="R377" s="362"/>
      <c r="S377" s="362"/>
      <c r="T377" s="362"/>
      <c r="U377" s="362"/>
      <c r="V377" s="362"/>
      <c r="W377" s="362"/>
      <c r="X377" s="524" t="s">
        <v>2221</v>
      </c>
      <c r="Y377" s="246" t="s">
        <v>1395</v>
      </c>
      <c r="Z377" s="235" t="s">
        <v>205</v>
      </c>
      <c r="AA377" s="235" t="s">
        <v>193</v>
      </c>
      <c r="AB377" s="443" t="s">
        <v>2324</v>
      </c>
      <c r="AC377" s="577"/>
      <c r="AD377" s="746">
        <f>AD378</f>
        <v>14250</v>
      </c>
      <c r="AE377" s="489">
        <v>0</v>
      </c>
      <c r="AF377" s="489">
        <v>0</v>
      </c>
      <c r="AG377" s="554"/>
      <c r="AH377" s="554"/>
      <c r="AI377" s="456"/>
    </row>
    <row r="378" spans="1:35" s="344" customFormat="1" ht="31.5" x14ac:dyDescent="0.25">
      <c r="A378" s="335"/>
      <c r="B378" s="336"/>
      <c r="C378" s="338"/>
      <c r="D378" s="339"/>
      <c r="E378" s="339"/>
      <c r="F378" s="339"/>
      <c r="G378" s="340"/>
      <c r="H378" s="340"/>
      <c r="I378" s="340"/>
      <c r="J378" s="340"/>
      <c r="K378" s="340"/>
      <c r="L378" s="340"/>
      <c r="M378" s="340"/>
      <c r="N378" s="340"/>
      <c r="O378" s="341"/>
      <c r="P378" s="340"/>
      <c r="Q378" s="342"/>
      <c r="R378" s="362"/>
      <c r="S378" s="362"/>
      <c r="T378" s="362"/>
      <c r="U378" s="362"/>
      <c r="V378" s="362"/>
      <c r="W378" s="362"/>
      <c r="X378" s="520" t="s">
        <v>1343</v>
      </c>
      <c r="Y378" s="246" t="s">
        <v>1395</v>
      </c>
      <c r="Z378" s="235" t="s">
        <v>205</v>
      </c>
      <c r="AA378" s="235" t="s">
        <v>193</v>
      </c>
      <c r="AB378" s="443" t="s">
        <v>2324</v>
      </c>
      <c r="AC378" s="577">
        <v>600</v>
      </c>
      <c r="AD378" s="746">
        <f>AD379</f>
        <v>14250</v>
      </c>
      <c r="AE378" s="489">
        <v>0</v>
      </c>
      <c r="AF378" s="489">
        <v>0</v>
      </c>
      <c r="AG378" s="554"/>
      <c r="AH378" s="554"/>
      <c r="AI378" s="456"/>
    </row>
    <row r="379" spans="1:35" s="344" customFormat="1" x14ac:dyDescent="0.25">
      <c r="A379" s="335"/>
      <c r="B379" s="336"/>
      <c r="C379" s="338"/>
      <c r="D379" s="339"/>
      <c r="E379" s="339"/>
      <c r="F379" s="339"/>
      <c r="G379" s="340"/>
      <c r="H379" s="340"/>
      <c r="I379" s="340"/>
      <c r="J379" s="340"/>
      <c r="K379" s="340"/>
      <c r="L379" s="340"/>
      <c r="M379" s="340"/>
      <c r="N379" s="340"/>
      <c r="O379" s="341"/>
      <c r="P379" s="340"/>
      <c r="Q379" s="342"/>
      <c r="R379" s="362"/>
      <c r="S379" s="362"/>
      <c r="T379" s="362"/>
      <c r="U379" s="362"/>
      <c r="V379" s="362"/>
      <c r="W379" s="362"/>
      <c r="X379" s="520" t="s">
        <v>1344</v>
      </c>
      <c r="Y379" s="246" t="s">
        <v>1395</v>
      </c>
      <c r="Z379" s="235" t="s">
        <v>205</v>
      </c>
      <c r="AA379" s="235" t="s">
        <v>193</v>
      </c>
      <c r="AB379" s="443" t="s">
        <v>2324</v>
      </c>
      <c r="AC379" s="577">
        <v>610</v>
      </c>
      <c r="AD379" s="746">
        <f>7125+7125</f>
        <v>14250</v>
      </c>
      <c r="AE379" s="489">
        <v>0</v>
      </c>
      <c r="AF379" s="489">
        <v>0</v>
      </c>
      <c r="AG379" s="554"/>
      <c r="AH379" s="554"/>
      <c r="AI379" s="456"/>
    </row>
    <row r="380" spans="1:35" s="344" customFormat="1" x14ac:dyDescent="0.25">
      <c r="A380" s="335"/>
      <c r="B380" s="336"/>
      <c r="C380" s="338"/>
      <c r="D380" s="339"/>
      <c r="E380" s="339"/>
      <c r="F380" s="339"/>
      <c r="G380" s="340"/>
      <c r="H380" s="340"/>
      <c r="I380" s="340"/>
      <c r="J380" s="340"/>
      <c r="K380" s="340"/>
      <c r="L380" s="340"/>
      <c r="M380" s="340"/>
      <c r="N380" s="340"/>
      <c r="O380" s="341"/>
      <c r="P380" s="340"/>
      <c r="Q380" s="342"/>
      <c r="R380" s="362"/>
      <c r="S380" s="362"/>
      <c r="T380" s="362"/>
      <c r="U380" s="362"/>
      <c r="V380" s="362"/>
      <c r="W380" s="362"/>
      <c r="X380" s="520" t="s">
        <v>2367</v>
      </c>
      <c r="Y380" s="246" t="s">
        <v>1395</v>
      </c>
      <c r="Z380" s="236" t="s">
        <v>205</v>
      </c>
      <c r="AA380" s="235" t="s">
        <v>193</v>
      </c>
      <c r="AB380" s="443" t="s">
        <v>2368</v>
      </c>
      <c r="AC380" s="577"/>
      <c r="AD380" s="746">
        <f t="shared" ref="AD380:AF383" si="86">AD381</f>
        <v>43445.5</v>
      </c>
      <c r="AE380" s="489">
        <f t="shared" si="86"/>
        <v>43445.5</v>
      </c>
      <c r="AF380" s="489">
        <f t="shared" si="86"/>
        <v>43445.5</v>
      </c>
      <c r="AG380" s="554"/>
      <c r="AH380" s="554"/>
      <c r="AI380" s="456"/>
    </row>
    <row r="381" spans="1:35" s="344" customFormat="1" ht="31.5" x14ac:dyDescent="0.25">
      <c r="A381" s="335"/>
      <c r="B381" s="336"/>
      <c r="C381" s="338"/>
      <c r="D381" s="339"/>
      <c r="E381" s="339"/>
      <c r="F381" s="339"/>
      <c r="G381" s="340"/>
      <c r="H381" s="340"/>
      <c r="I381" s="340"/>
      <c r="J381" s="340"/>
      <c r="K381" s="340"/>
      <c r="L381" s="340"/>
      <c r="M381" s="340"/>
      <c r="N381" s="340"/>
      <c r="O381" s="341"/>
      <c r="P381" s="340"/>
      <c r="Q381" s="342"/>
      <c r="R381" s="362"/>
      <c r="S381" s="362"/>
      <c r="T381" s="362"/>
      <c r="U381" s="362"/>
      <c r="V381" s="362"/>
      <c r="W381" s="362"/>
      <c r="X381" s="520" t="s">
        <v>2365</v>
      </c>
      <c r="Y381" s="246" t="s">
        <v>1395</v>
      </c>
      <c r="Z381" s="235" t="s">
        <v>205</v>
      </c>
      <c r="AA381" s="235" t="s">
        <v>193</v>
      </c>
      <c r="AB381" s="443" t="s">
        <v>2369</v>
      </c>
      <c r="AC381" s="577"/>
      <c r="AD381" s="746">
        <f t="shared" si="86"/>
        <v>43445.5</v>
      </c>
      <c r="AE381" s="489">
        <f t="shared" si="86"/>
        <v>43445.5</v>
      </c>
      <c r="AF381" s="489">
        <f t="shared" si="86"/>
        <v>43445.5</v>
      </c>
      <c r="AG381" s="554"/>
      <c r="AH381" s="554"/>
      <c r="AI381" s="456"/>
    </row>
    <row r="382" spans="1:35" s="344" customFormat="1" ht="51" customHeight="1" thickBot="1" x14ac:dyDescent="0.3">
      <c r="A382" s="335"/>
      <c r="B382" s="336"/>
      <c r="C382" s="338"/>
      <c r="D382" s="339"/>
      <c r="E382" s="339"/>
      <c r="F382" s="339"/>
      <c r="G382" s="340"/>
      <c r="H382" s="340"/>
      <c r="I382" s="340"/>
      <c r="J382" s="340"/>
      <c r="K382" s="340"/>
      <c r="L382" s="340"/>
      <c r="M382" s="340"/>
      <c r="N382" s="340"/>
      <c r="O382" s="341"/>
      <c r="P382" s="340"/>
      <c r="Q382" s="342"/>
      <c r="R382" s="362"/>
      <c r="S382" s="362"/>
      <c r="T382" s="362"/>
      <c r="U382" s="362"/>
      <c r="V382" s="362"/>
      <c r="W382" s="362"/>
      <c r="X382" s="724" t="s">
        <v>2366</v>
      </c>
      <c r="Y382" s="246" t="s">
        <v>1395</v>
      </c>
      <c r="Z382" s="235" t="s">
        <v>205</v>
      </c>
      <c r="AA382" s="235" t="s">
        <v>193</v>
      </c>
      <c r="AB382" s="443" t="s">
        <v>2370</v>
      </c>
      <c r="AC382" s="577"/>
      <c r="AD382" s="746">
        <f t="shared" si="86"/>
        <v>43445.5</v>
      </c>
      <c r="AE382" s="489">
        <f t="shared" si="86"/>
        <v>43445.5</v>
      </c>
      <c r="AF382" s="489">
        <f t="shared" si="86"/>
        <v>43445.5</v>
      </c>
      <c r="AG382" s="554"/>
      <c r="AH382" s="554"/>
      <c r="AI382" s="456"/>
    </row>
    <row r="383" spans="1:35" s="344" customFormat="1" ht="31.5" x14ac:dyDescent="0.25">
      <c r="A383" s="335"/>
      <c r="B383" s="336"/>
      <c r="C383" s="338"/>
      <c r="D383" s="339"/>
      <c r="E383" s="339"/>
      <c r="F383" s="339"/>
      <c r="G383" s="340"/>
      <c r="H383" s="340"/>
      <c r="I383" s="340"/>
      <c r="J383" s="340"/>
      <c r="K383" s="340"/>
      <c r="L383" s="340"/>
      <c r="M383" s="340"/>
      <c r="N383" s="340"/>
      <c r="O383" s="341"/>
      <c r="P383" s="340"/>
      <c r="Q383" s="342"/>
      <c r="R383" s="362"/>
      <c r="S383" s="362"/>
      <c r="T383" s="362"/>
      <c r="U383" s="362"/>
      <c r="V383" s="362"/>
      <c r="W383" s="362"/>
      <c r="X383" s="520" t="s">
        <v>1343</v>
      </c>
      <c r="Y383" s="246" t="s">
        <v>1395</v>
      </c>
      <c r="Z383" s="235" t="s">
        <v>205</v>
      </c>
      <c r="AA383" s="235" t="s">
        <v>193</v>
      </c>
      <c r="AB383" s="443" t="s">
        <v>2370</v>
      </c>
      <c r="AC383" s="577">
        <v>600</v>
      </c>
      <c r="AD383" s="746">
        <f t="shared" si="86"/>
        <v>43445.5</v>
      </c>
      <c r="AE383" s="489">
        <f t="shared" si="86"/>
        <v>43445.5</v>
      </c>
      <c r="AF383" s="489">
        <f t="shared" si="86"/>
        <v>43445.5</v>
      </c>
      <c r="AG383" s="554"/>
      <c r="AH383" s="554"/>
      <c r="AI383" s="456"/>
    </row>
    <row r="384" spans="1:35" s="344" customFormat="1" x14ac:dyDescent="0.25">
      <c r="A384" s="335"/>
      <c r="B384" s="336"/>
      <c r="C384" s="338"/>
      <c r="D384" s="339"/>
      <c r="E384" s="339"/>
      <c r="F384" s="339"/>
      <c r="G384" s="340"/>
      <c r="H384" s="340"/>
      <c r="I384" s="340"/>
      <c r="J384" s="340"/>
      <c r="K384" s="340"/>
      <c r="L384" s="340"/>
      <c r="M384" s="340"/>
      <c r="N384" s="340"/>
      <c r="O384" s="341"/>
      <c r="P384" s="340"/>
      <c r="Q384" s="342"/>
      <c r="R384" s="362"/>
      <c r="S384" s="362"/>
      <c r="T384" s="362"/>
      <c r="U384" s="362"/>
      <c r="V384" s="362"/>
      <c r="W384" s="362"/>
      <c r="X384" s="520" t="s">
        <v>1344</v>
      </c>
      <c r="Y384" s="246" t="s">
        <v>1395</v>
      </c>
      <c r="Z384" s="235" t="s">
        <v>205</v>
      </c>
      <c r="AA384" s="235" t="s">
        <v>193</v>
      </c>
      <c r="AB384" s="443" t="s">
        <v>2370</v>
      </c>
      <c r="AC384" s="577">
        <v>610</v>
      </c>
      <c r="AD384" s="746">
        <v>43445.5</v>
      </c>
      <c r="AE384" s="489">
        <v>43445.5</v>
      </c>
      <c r="AF384" s="489">
        <v>43445.5</v>
      </c>
      <c r="AG384" s="554"/>
      <c r="AH384" s="554"/>
      <c r="AI384" s="456"/>
    </row>
    <row r="385" spans="1:35" s="370" customFormat="1" x14ac:dyDescent="0.25">
      <c r="A385" s="311"/>
      <c r="B385" s="345"/>
      <c r="C385" s="347"/>
      <c r="D385" s="346"/>
      <c r="E385" s="347"/>
      <c r="F385" s="347"/>
      <c r="G385" s="348"/>
      <c r="H385" s="372"/>
      <c r="I385" s="313"/>
      <c r="J385" s="313"/>
      <c r="K385" s="313"/>
      <c r="L385" s="348"/>
      <c r="M385" s="313"/>
      <c r="N385" s="348"/>
      <c r="O385" s="353"/>
      <c r="P385" s="348"/>
      <c r="Q385" s="350"/>
      <c r="R385" s="354"/>
      <c r="S385" s="354"/>
      <c r="T385" s="354"/>
      <c r="U385" s="354"/>
      <c r="V385" s="354"/>
      <c r="W385" s="354"/>
      <c r="X385" s="521" t="s">
        <v>2022</v>
      </c>
      <c r="Y385" s="246" t="s">
        <v>1395</v>
      </c>
      <c r="Z385" s="235" t="s">
        <v>205</v>
      </c>
      <c r="AA385" s="235" t="s">
        <v>193</v>
      </c>
      <c r="AB385" s="249" t="s">
        <v>1760</v>
      </c>
      <c r="AC385" s="238"/>
      <c r="AD385" s="292">
        <f t="shared" ref="AD385:AF386" si="87">AD386</f>
        <v>15</v>
      </c>
      <c r="AE385" s="476">
        <f t="shared" si="87"/>
        <v>15</v>
      </c>
      <c r="AF385" s="476">
        <f t="shared" si="87"/>
        <v>15</v>
      </c>
      <c r="AG385" s="554"/>
      <c r="AH385" s="554"/>
      <c r="AI385" s="456"/>
    </row>
    <row r="386" spans="1:35" s="370" customFormat="1" ht="31.5" x14ac:dyDescent="0.25">
      <c r="A386" s="311"/>
      <c r="B386" s="345"/>
      <c r="C386" s="347"/>
      <c r="D386" s="346"/>
      <c r="E386" s="347"/>
      <c r="F386" s="347"/>
      <c r="G386" s="348"/>
      <c r="H386" s="372"/>
      <c r="I386" s="313"/>
      <c r="J386" s="313"/>
      <c r="K386" s="313"/>
      <c r="L386" s="340"/>
      <c r="M386" s="313"/>
      <c r="N386" s="340"/>
      <c r="O386" s="353"/>
      <c r="P386" s="348"/>
      <c r="Q386" s="350"/>
      <c r="R386" s="354"/>
      <c r="S386" s="354"/>
      <c r="T386" s="354"/>
      <c r="U386" s="354"/>
      <c r="V386" s="354"/>
      <c r="W386" s="354"/>
      <c r="X386" s="521" t="s">
        <v>2039</v>
      </c>
      <c r="Y386" s="246" t="s">
        <v>1395</v>
      </c>
      <c r="Z386" s="235" t="s">
        <v>205</v>
      </c>
      <c r="AA386" s="235" t="s">
        <v>193</v>
      </c>
      <c r="AB386" s="443" t="s">
        <v>1779</v>
      </c>
      <c r="AC386" s="577"/>
      <c r="AD386" s="292">
        <f>AD387</f>
        <v>15</v>
      </c>
      <c r="AE386" s="476">
        <f t="shared" si="87"/>
        <v>15</v>
      </c>
      <c r="AF386" s="476">
        <f t="shared" si="87"/>
        <v>15</v>
      </c>
      <c r="AG386" s="554"/>
      <c r="AH386" s="554"/>
      <c r="AI386" s="456"/>
    </row>
    <row r="387" spans="1:35" s="370" customFormat="1" ht="31.5" x14ac:dyDescent="0.25">
      <c r="A387" s="311"/>
      <c r="B387" s="345"/>
      <c r="C387" s="347"/>
      <c r="D387" s="346"/>
      <c r="E387" s="347"/>
      <c r="F387" s="347"/>
      <c r="G387" s="348"/>
      <c r="H387" s="372"/>
      <c r="I387" s="313"/>
      <c r="J387" s="313"/>
      <c r="K387" s="313"/>
      <c r="L387" s="340"/>
      <c r="M387" s="313"/>
      <c r="N387" s="340"/>
      <c r="O387" s="353"/>
      <c r="P387" s="348"/>
      <c r="Q387" s="350"/>
      <c r="R387" s="354"/>
      <c r="S387" s="354"/>
      <c r="T387" s="354"/>
      <c r="U387" s="354"/>
      <c r="V387" s="354"/>
      <c r="W387" s="354"/>
      <c r="X387" s="521" t="s">
        <v>2040</v>
      </c>
      <c r="Y387" s="246" t="s">
        <v>1395</v>
      </c>
      <c r="Z387" s="235" t="s">
        <v>205</v>
      </c>
      <c r="AA387" s="235" t="s">
        <v>193</v>
      </c>
      <c r="AB387" s="443" t="s">
        <v>2185</v>
      </c>
      <c r="AC387" s="577"/>
      <c r="AD387" s="292">
        <f>AD388</f>
        <v>15</v>
      </c>
      <c r="AE387" s="476">
        <f>AE388</f>
        <v>15</v>
      </c>
      <c r="AF387" s="476">
        <f>AF388</f>
        <v>15</v>
      </c>
      <c r="AG387" s="554"/>
      <c r="AH387" s="554"/>
      <c r="AI387" s="456"/>
    </row>
    <row r="388" spans="1:35" s="370" customFormat="1" ht="31.5" x14ac:dyDescent="0.25">
      <c r="A388" s="311"/>
      <c r="B388" s="345"/>
      <c r="C388" s="347"/>
      <c r="D388" s="346"/>
      <c r="E388" s="347"/>
      <c r="F388" s="347"/>
      <c r="G388" s="348"/>
      <c r="H388" s="372"/>
      <c r="I388" s="313"/>
      <c r="J388" s="313"/>
      <c r="K388" s="313"/>
      <c r="L388" s="340"/>
      <c r="M388" s="313"/>
      <c r="N388" s="340"/>
      <c r="O388" s="353"/>
      <c r="P388" s="348"/>
      <c r="Q388" s="350"/>
      <c r="R388" s="354"/>
      <c r="S388" s="354"/>
      <c r="T388" s="354"/>
      <c r="U388" s="354"/>
      <c r="V388" s="354"/>
      <c r="W388" s="354"/>
      <c r="X388" s="521" t="s">
        <v>2041</v>
      </c>
      <c r="Y388" s="246" t="s">
        <v>1395</v>
      </c>
      <c r="Z388" s="235" t="s">
        <v>205</v>
      </c>
      <c r="AA388" s="235" t="s">
        <v>193</v>
      </c>
      <c r="AB388" s="443" t="s">
        <v>2186</v>
      </c>
      <c r="AC388" s="577"/>
      <c r="AD388" s="292">
        <f>AD389</f>
        <v>15</v>
      </c>
      <c r="AE388" s="476">
        <f>AE389</f>
        <v>15</v>
      </c>
      <c r="AF388" s="476">
        <f>AF389</f>
        <v>15</v>
      </c>
      <c r="AG388" s="554"/>
      <c r="AH388" s="554"/>
      <c r="AI388" s="456"/>
    </row>
    <row r="389" spans="1:35" s="370" customFormat="1" ht="31.5" x14ac:dyDescent="0.25">
      <c r="A389" s="311"/>
      <c r="B389" s="345"/>
      <c r="C389" s="347"/>
      <c r="D389" s="346"/>
      <c r="E389" s="347"/>
      <c r="F389" s="347"/>
      <c r="G389" s="348"/>
      <c r="H389" s="372"/>
      <c r="I389" s="313"/>
      <c r="J389" s="313"/>
      <c r="K389" s="313"/>
      <c r="L389" s="340"/>
      <c r="M389" s="313"/>
      <c r="N389" s="340"/>
      <c r="O389" s="353"/>
      <c r="P389" s="348"/>
      <c r="Q389" s="350"/>
      <c r="R389" s="354"/>
      <c r="S389" s="354"/>
      <c r="T389" s="354"/>
      <c r="U389" s="354"/>
      <c r="V389" s="354"/>
      <c r="W389" s="354"/>
      <c r="X389" s="520" t="s">
        <v>2188</v>
      </c>
      <c r="Y389" s="246" t="s">
        <v>1395</v>
      </c>
      <c r="Z389" s="235" t="s">
        <v>205</v>
      </c>
      <c r="AA389" s="235" t="s">
        <v>193</v>
      </c>
      <c r="AB389" s="443" t="s">
        <v>2190</v>
      </c>
      <c r="AC389" s="577"/>
      <c r="AD389" s="746">
        <f t="shared" ref="AD389:AF390" si="88">AD390</f>
        <v>15</v>
      </c>
      <c r="AE389" s="489">
        <f t="shared" si="88"/>
        <v>15</v>
      </c>
      <c r="AF389" s="489">
        <f t="shared" si="88"/>
        <v>15</v>
      </c>
      <c r="AG389" s="648"/>
      <c r="AH389" s="648"/>
      <c r="AI389" s="456"/>
    </row>
    <row r="390" spans="1:35" s="370" customFormat="1" ht="31.5" x14ac:dyDescent="0.25">
      <c r="A390" s="311"/>
      <c r="B390" s="345"/>
      <c r="C390" s="347"/>
      <c r="D390" s="346"/>
      <c r="E390" s="347"/>
      <c r="F390" s="347"/>
      <c r="G390" s="348"/>
      <c r="H390" s="372"/>
      <c r="I390" s="313"/>
      <c r="J390" s="313"/>
      <c r="K390" s="313"/>
      <c r="L390" s="340"/>
      <c r="M390" s="313"/>
      <c r="N390" s="340"/>
      <c r="O390" s="353"/>
      <c r="P390" s="348"/>
      <c r="Q390" s="350"/>
      <c r="R390" s="354"/>
      <c r="S390" s="354"/>
      <c r="T390" s="354"/>
      <c r="U390" s="354"/>
      <c r="V390" s="354"/>
      <c r="W390" s="354"/>
      <c r="X390" s="520" t="s">
        <v>1343</v>
      </c>
      <c r="Y390" s="246" t="s">
        <v>1395</v>
      </c>
      <c r="Z390" s="235" t="s">
        <v>205</v>
      </c>
      <c r="AA390" s="235" t="s">
        <v>193</v>
      </c>
      <c r="AB390" s="443" t="s">
        <v>2190</v>
      </c>
      <c r="AC390" s="577">
        <v>600</v>
      </c>
      <c r="AD390" s="746">
        <f t="shared" si="88"/>
        <v>15</v>
      </c>
      <c r="AE390" s="489">
        <f t="shared" si="88"/>
        <v>15</v>
      </c>
      <c r="AF390" s="489">
        <f t="shared" si="88"/>
        <v>15</v>
      </c>
      <c r="AG390" s="648"/>
      <c r="AH390" s="648"/>
      <c r="AI390" s="456"/>
    </row>
    <row r="391" spans="1:35" s="370" customFormat="1" x14ac:dyDescent="0.25">
      <c r="A391" s="311"/>
      <c r="B391" s="345"/>
      <c r="C391" s="347"/>
      <c r="D391" s="346"/>
      <c r="E391" s="347"/>
      <c r="F391" s="347"/>
      <c r="G391" s="348"/>
      <c r="H391" s="372"/>
      <c r="I391" s="313"/>
      <c r="J391" s="313"/>
      <c r="K391" s="313"/>
      <c r="L391" s="340"/>
      <c r="M391" s="313"/>
      <c r="N391" s="340"/>
      <c r="O391" s="353"/>
      <c r="P391" s="348"/>
      <c r="Q391" s="350"/>
      <c r="R391" s="354"/>
      <c r="S391" s="354"/>
      <c r="T391" s="354"/>
      <c r="U391" s="354"/>
      <c r="V391" s="354"/>
      <c r="W391" s="354"/>
      <c r="X391" s="520" t="s">
        <v>1344</v>
      </c>
      <c r="Y391" s="246" t="s">
        <v>1395</v>
      </c>
      <c r="Z391" s="235" t="s">
        <v>205</v>
      </c>
      <c r="AA391" s="235" t="s">
        <v>193</v>
      </c>
      <c r="AB391" s="443" t="s">
        <v>2190</v>
      </c>
      <c r="AC391" s="577">
        <v>610</v>
      </c>
      <c r="AD391" s="746">
        <v>15</v>
      </c>
      <c r="AE391" s="489">
        <v>15</v>
      </c>
      <c r="AF391" s="489">
        <v>15</v>
      </c>
      <c r="AG391" s="648"/>
      <c r="AH391" s="648"/>
      <c r="AI391" s="456"/>
    </row>
    <row r="392" spans="1:35" s="370" customFormat="1" ht="31.5" x14ac:dyDescent="0.25">
      <c r="A392" s="311"/>
      <c r="B392" s="345"/>
      <c r="C392" s="347"/>
      <c r="D392" s="346"/>
      <c r="E392" s="347"/>
      <c r="F392" s="347"/>
      <c r="G392" s="348"/>
      <c r="H392" s="372"/>
      <c r="I392" s="313"/>
      <c r="J392" s="313"/>
      <c r="K392" s="313"/>
      <c r="L392" s="340"/>
      <c r="M392" s="313"/>
      <c r="N392" s="340"/>
      <c r="O392" s="353"/>
      <c r="P392" s="348"/>
      <c r="Q392" s="350"/>
      <c r="R392" s="354"/>
      <c r="S392" s="354"/>
      <c r="T392" s="354"/>
      <c r="U392" s="354"/>
      <c r="V392" s="354"/>
      <c r="W392" s="354"/>
      <c r="X392" s="549" t="s">
        <v>1854</v>
      </c>
      <c r="Y392" s="246" t="s">
        <v>1395</v>
      </c>
      <c r="Z392" s="235" t="s">
        <v>205</v>
      </c>
      <c r="AA392" s="235" t="s">
        <v>193</v>
      </c>
      <c r="AB392" s="249" t="s">
        <v>1762</v>
      </c>
      <c r="AC392" s="577"/>
      <c r="AD392" s="746">
        <f>AD393</f>
        <v>220</v>
      </c>
      <c r="AE392" s="746">
        <f t="shared" ref="AE392:AF392" si="89">AE393</f>
        <v>0</v>
      </c>
      <c r="AF392" s="746">
        <f t="shared" si="89"/>
        <v>0</v>
      </c>
      <c r="AG392" s="648"/>
      <c r="AH392" s="648"/>
      <c r="AI392" s="456"/>
    </row>
    <row r="393" spans="1:35" s="370" customFormat="1" ht="31.5" x14ac:dyDescent="0.25">
      <c r="A393" s="311"/>
      <c r="B393" s="345"/>
      <c r="C393" s="346"/>
      <c r="D393" s="346"/>
      <c r="E393" s="347"/>
      <c r="F393" s="371"/>
      <c r="G393" s="348"/>
      <c r="H393" s="348"/>
      <c r="I393" s="348"/>
      <c r="J393" s="348"/>
      <c r="K393" s="348"/>
      <c r="L393" s="340"/>
      <c r="M393" s="348"/>
      <c r="N393" s="340"/>
      <c r="O393" s="348"/>
      <c r="P393" s="348"/>
      <c r="Q393" s="350"/>
      <c r="R393" s="354"/>
      <c r="S393" s="354"/>
      <c r="T393" s="354"/>
      <c r="U393" s="354"/>
      <c r="V393" s="354"/>
      <c r="W393" s="354"/>
      <c r="X393" s="549" t="s">
        <v>2277</v>
      </c>
      <c r="Y393" s="246" t="s">
        <v>1395</v>
      </c>
      <c r="Z393" s="235" t="s">
        <v>205</v>
      </c>
      <c r="AA393" s="235" t="s">
        <v>193</v>
      </c>
      <c r="AB393" s="443" t="s">
        <v>1764</v>
      </c>
      <c r="AC393" s="238"/>
      <c r="AD393" s="292">
        <f t="shared" ref="AD393:AF395" si="90">AD394</f>
        <v>220</v>
      </c>
      <c r="AE393" s="476">
        <f t="shared" si="90"/>
        <v>0</v>
      </c>
      <c r="AF393" s="476">
        <f t="shared" si="90"/>
        <v>0</v>
      </c>
      <c r="AG393" s="554"/>
      <c r="AH393" s="554"/>
      <c r="AI393" s="456"/>
    </row>
    <row r="394" spans="1:35" s="370" customFormat="1" x14ac:dyDescent="0.25">
      <c r="A394" s="311"/>
      <c r="B394" s="345"/>
      <c r="C394" s="346"/>
      <c r="D394" s="346"/>
      <c r="E394" s="347"/>
      <c r="F394" s="371"/>
      <c r="G394" s="348"/>
      <c r="H394" s="348"/>
      <c r="I394" s="348"/>
      <c r="J394" s="348"/>
      <c r="K394" s="348"/>
      <c r="L394" s="340"/>
      <c r="M394" s="348"/>
      <c r="N394" s="340"/>
      <c r="O394" s="348"/>
      <c r="P394" s="348"/>
      <c r="Q394" s="350"/>
      <c r="R394" s="354"/>
      <c r="S394" s="354"/>
      <c r="T394" s="354"/>
      <c r="U394" s="354"/>
      <c r="V394" s="354"/>
      <c r="W394" s="354"/>
      <c r="X394" s="530" t="s">
        <v>1881</v>
      </c>
      <c r="Y394" s="246" t="s">
        <v>1395</v>
      </c>
      <c r="Z394" s="235" t="s">
        <v>205</v>
      </c>
      <c r="AA394" s="235" t="s">
        <v>193</v>
      </c>
      <c r="AB394" s="443" t="s">
        <v>1790</v>
      </c>
      <c r="AC394" s="580"/>
      <c r="AD394" s="292">
        <f t="shared" si="90"/>
        <v>220</v>
      </c>
      <c r="AE394" s="476">
        <f t="shared" si="90"/>
        <v>0</v>
      </c>
      <c r="AF394" s="476">
        <f t="shared" si="90"/>
        <v>0</v>
      </c>
      <c r="AG394" s="554"/>
      <c r="AH394" s="554"/>
      <c r="AI394" s="456"/>
    </row>
    <row r="395" spans="1:35" s="370" customFormat="1" x14ac:dyDescent="0.25">
      <c r="A395" s="311"/>
      <c r="B395" s="345"/>
      <c r="C395" s="346"/>
      <c r="D395" s="346"/>
      <c r="E395" s="347"/>
      <c r="F395" s="371"/>
      <c r="G395" s="348"/>
      <c r="H395" s="348"/>
      <c r="I395" s="348"/>
      <c r="J395" s="348"/>
      <c r="K395" s="348"/>
      <c r="L395" s="340"/>
      <c r="M395" s="348"/>
      <c r="N395" s="340"/>
      <c r="O395" s="348"/>
      <c r="P395" s="348"/>
      <c r="Q395" s="350"/>
      <c r="R395" s="354"/>
      <c r="S395" s="354"/>
      <c r="T395" s="354"/>
      <c r="U395" s="354"/>
      <c r="V395" s="354"/>
      <c r="W395" s="354"/>
      <c r="X395" s="520" t="s">
        <v>1877</v>
      </c>
      <c r="Y395" s="246" t="s">
        <v>1395</v>
      </c>
      <c r="Z395" s="235" t="s">
        <v>205</v>
      </c>
      <c r="AA395" s="235" t="s">
        <v>193</v>
      </c>
      <c r="AB395" s="443" t="s">
        <v>1878</v>
      </c>
      <c r="AC395" s="238"/>
      <c r="AD395" s="292">
        <f>AD396</f>
        <v>220</v>
      </c>
      <c r="AE395" s="292">
        <f t="shared" si="90"/>
        <v>0</v>
      </c>
      <c r="AF395" s="292">
        <f t="shared" si="90"/>
        <v>0</v>
      </c>
      <c r="AG395" s="554"/>
      <c r="AH395" s="554"/>
      <c r="AI395" s="456"/>
    </row>
    <row r="396" spans="1:35" s="370" customFormat="1" ht="31.5" x14ac:dyDescent="0.25">
      <c r="A396" s="311"/>
      <c r="B396" s="345"/>
      <c r="C396" s="347"/>
      <c r="D396" s="346"/>
      <c r="E396" s="347"/>
      <c r="F396" s="347"/>
      <c r="G396" s="348"/>
      <c r="H396" s="372"/>
      <c r="I396" s="313"/>
      <c r="J396" s="313"/>
      <c r="K396" s="313"/>
      <c r="L396" s="340"/>
      <c r="M396" s="313"/>
      <c r="N396" s="340"/>
      <c r="O396" s="353"/>
      <c r="P396" s="348"/>
      <c r="Q396" s="350"/>
      <c r="R396" s="354"/>
      <c r="S396" s="354"/>
      <c r="T396" s="354"/>
      <c r="U396" s="354"/>
      <c r="V396" s="354"/>
      <c r="W396" s="354"/>
      <c r="X396" s="520" t="s">
        <v>1343</v>
      </c>
      <c r="Y396" s="246" t="s">
        <v>1395</v>
      </c>
      <c r="Z396" s="235" t="s">
        <v>205</v>
      </c>
      <c r="AA396" s="235" t="s">
        <v>193</v>
      </c>
      <c r="AB396" s="443" t="s">
        <v>1878</v>
      </c>
      <c r="AC396" s="577">
        <v>600</v>
      </c>
      <c r="AD396" s="746">
        <f>AD397</f>
        <v>220</v>
      </c>
      <c r="AE396" s="746">
        <f t="shared" ref="AE396:AF396" si="91">AE397</f>
        <v>0</v>
      </c>
      <c r="AF396" s="746">
        <f t="shared" si="91"/>
        <v>0</v>
      </c>
      <c r="AG396" s="648"/>
      <c r="AH396" s="648"/>
      <c r="AI396" s="456"/>
    </row>
    <row r="397" spans="1:35" s="370" customFormat="1" x14ac:dyDescent="0.25">
      <c r="A397" s="311"/>
      <c r="B397" s="345"/>
      <c r="C397" s="347"/>
      <c r="D397" s="346"/>
      <c r="E397" s="347"/>
      <c r="F397" s="347"/>
      <c r="G397" s="348"/>
      <c r="H397" s="372"/>
      <c r="I397" s="313"/>
      <c r="J397" s="313"/>
      <c r="K397" s="313"/>
      <c r="L397" s="340"/>
      <c r="M397" s="313"/>
      <c r="N397" s="340"/>
      <c r="O397" s="353"/>
      <c r="P397" s="348"/>
      <c r="Q397" s="350"/>
      <c r="R397" s="354"/>
      <c r="S397" s="354"/>
      <c r="T397" s="354"/>
      <c r="U397" s="354"/>
      <c r="V397" s="354"/>
      <c r="W397" s="354"/>
      <c r="X397" s="520" t="s">
        <v>1344</v>
      </c>
      <c r="Y397" s="246" t="s">
        <v>1395</v>
      </c>
      <c r="Z397" s="235" t="s">
        <v>205</v>
      </c>
      <c r="AA397" s="235" t="s">
        <v>193</v>
      </c>
      <c r="AB397" s="443" t="s">
        <v>1878</v>
      </c>
      <c r="AC397" s="577">
        <v>610</v>
      </c>
      <c r="AD397" s="746">
        <f>120+100</f>
        <v>220</v>
      </c>
      <c r="AE397" s="746">
        <v>0</v>
      </c>
      <c r="AF397" s="746">
        <v>0</v>
      </c>
      <c r="AG397" s="648"/>
      <c r="AH397" s="648"/>
      <c r="AI397" s="456"/>
    </row>
    <row r="398" spans="1:35" x14ac:dyDescent="0.25">
      <c r="A398" s="311"/>
      <c r="B398" s="345"/>
      <c r="C398" s="346"/>
      <c r="D398" s="346"/>
      <c r="E398" s="347"/>
      <c r="F398" s="347"/>
      <c r="G398" s="348"/>
      <c r="H398" s="348"/>
      <c r="I398" s="348"/>
      <c r="J398" s="348"/>
      <c r="K398" s="348"/>
      <c r="L398" s="340"/>
      <c r="M398" s="348"/>
      <c r="N398" s="340"/>
      <c r="O398" s="349"/>
      <c r="P398" s="348"/>
      <c r="Q398" s="350"/>
      <c r="R398" s="354"/>
      <c r="S398" s="354"/>
      <c r="T398" s="354"/>
      <c r="U398" s="354"/>
      <c r="V398" s="354"/>
      <c r="W398" s="354"/>
      <c r="X398" s="520" t="s">
        <v>1814</v>
      </c>
      <c r="Y398" s="246" t="s">
        <v>1395</v>
      </c>
      <c r="Z398" s="235" t="s">
        <v>205</v>
      </c>
      <c r="AA398" s="235" t="s">
        <v>205</v>
      </c>
      <c r="AB398" s="249"/>
      <c r="AC398" s="577"/>
      <c r="AD398" s="292">
        <f>AD399+AD409</f>
        <v>1130.5</v>
      </c>
      <c r="AE398" s="476">
        <f>AE399+AE409</f>
        <v>1130.5</v>
      </c>
      <c r="AF398" s="476">
        <f>AF399+AF409</f>
        <v>1130.5</v>
      </c>
      <c r="AG398" s="554"/>
      <c r="AH398" s="554"/>
      <c r="AI398" s="456"/>
    </row>
    <row r="399" spans="1:35" ht="31.5" x14ac:dyDescent="0.25">
      <c r="A399" s="311"/>
      <c r="B399" s="345"/>
      <c r="C399" s="346"/>
      <c r="D399" s="346"/>
      <c r="E399" s="347"/>
      <c r="F399" s="347"/>
      <c r="G399" s="348"/>
      <c r="H399" s="348"/>
      <c r="I399" s="348"/>
      <c r="J399" s="348"/>
      <c r="K399" s="348"/>
      <c r="L399" s="340"/>
      <c r="M399" s="348"/>
      <c r="N399" s="340"/>
      <c r="O399" s="349"/>
      <c r="P399" s="348"/>
      <c r="Q399" s="350"/>
      <c r="R399" s="354"/>
      <c r="S399" s="354"/>
      <c r="T399" s="354"/>
      <c r="U399" s="354"/>
      <c r="V399" s="354"/>
      <c r="W399" s="354"/>
      <c r="X399" s="549" t="s">
        <v>1854</v>
      </c>
      <c r="Y399" s="246" t="s">
        <v>1395</v>
      </c>
      <c r="Z399" s="235" t="s">
        <v>205</v>
      </c>
      <c r="AA399" s="235" t="s">
        <v>205</v>
      </c>
      <c r="AB399" s="249" t="s">
        <v>1762</v>
      </c>
      <c r="AC399" s="577"/>
      <c r="AD399" s="292">
        <f>AD400</f>
        <v>355.5</v>
      </c>
      <c r="AE399" s="476">
        <f>AE400</f>
        <v>355.5</v>
      </c>
      <c r="AF399" s="476">
        <f>AF400</f>
        <v>355.5</v>
      </c>
      <c r="AG399" s="554"/>
      <c r="AH399" s="554"/>
      <c r="AI399" s="456"/>
    </row>
    <row r="400" spans="1:35" x14ac:dyDescent="0.25">
      <c r="A400" s="311"/>
      <c r="B400" s="345"/>
      <c r="C400" s="346"/>
      <c r="D400" s="346"/>
      <c r="E400" s="347"/>
      <c r="F400" s="347"/>
      <c r="G400" s="348"/>
      <c r="H400" s="348"/>
      <c r="I400" s="348"/>
      <c r="J400" s="348"/>
      <c r="K400" s="348"/>
      <c r="L400" s="340"/>
      <c r="M400" s="348"/>
      <c r="N400" s="340"/>
      <c r="O400" s="349"/>
      <c r="P400" s="348"/>
      <c r="Q400" s="350"/>
      <c r="R400" s="354"/>
      <c r="S400" s="354"/>
      <c r="T400" s="354"/>
      <c r="U400" s="354"/>
      <c r="V400" s="354"/>
      <c r="W400" s="354"/>
      <c r="X400" s="549" t="s">
        <v>1855</v>
      </c>
      <c r="Y400" s="246" t="s">
        <v>1395</v>
      </c>
      <c r="Z400" s="235" t="s">
        <v>205</v>
      </c>
      <c r="AA400" s="235" t="s">
        <v>205</v>
      </c>
      <c r="AB400" s="249" t="s">
        <v>1766</v>
      </c>
      <c r="AC400" s="577"/>
      <c r="AD400" s="292">
        <f>AD401+AD405</f>
        <v>355.5</v>
      </c>
      <c r="AE400" s="476">
        <f>AE401+AE405</f>
        <v>355.5</v>
      </c>
      <c r="AF400" s="476">
        <f>AF401+AF405</f>
        <v>355.5</v>
      </c>
      <c r="AG400" s="554"/>
      <c r="AH400" s="554"/>
      <c r="AI400" s="456"/>
    </row>
    <row r="401" spans="1:35" ht="47.25" x14ac:dyDescent="0.25">
      <c r="A401" s="311"/>
      <c r="B401" s="345"/>
      <c r="C401" s="346"/>
      <c r="D401" s="346"/>
      <c r="E401" s="347"/>
      <c r="F401" s="347"/>
      <c r="G401" s="348"/>
      <c r="H401" s="348"/>
      <c r="I401" s="348"/>
      <c r="J401" s="348"/>
      <c r="K401" s="348"/>
      <c r="L401" s="340"/>
      <c r="M401" s="348"/>
      <c r="N401" s="340"/>
      <c r="O401" s="349"/>
      <c r="P401" s="348"/>
      <c r="Q401" s="350"/>
      <c r="R401" s="354"/>
      <c r="S401" s="354"/>
      <c r="T401" s="354"/>
      <c r="U401" s="354"/>
      <c r="V401" s="354"/>
      <c r="W401" s="354"/>
      <c r="X401" s="530" t="s">
        <v>2256</v>
      </c>
      <c r="Y401" s="246" t="s">
        <v>1395</v>
      </c>
      <c r="Z401" s="235" t="s">
        <v>205</v>
      </c>
      <c r="AA401" s="235" t="s">
        <v>205</v>
      </c>
      <c r="AB401" s="443" t="s">
        <v>1862</v>
      </c>
      <c r="AC401" s="577"/>
      <c r="AD401" s="292">
        <f t="shared" ref="AD401:AF402" si="92">AD402</f>
        <v>292</v>
      </c>
      <c r="AE401" s="476">
        <f t="shared" si="92"/>
        <v>292</v>
      </c>
      <c r="AF401" s="476">
        <f t="shared" si="92"/>
        <v>292</v>
      </c>
      <c r="AG401" s="554"/>
      <c r="AH401" s="554"/>
      <c r="AI401" s="456"/>
    </row>
    <row r="402" spans="1:35" ht="47.25" x14ac:dyDescent="0.25">
      <c r="A402" s="311"/>
      <c r="B402" s="345"/>
      <c r="C402" s="346"/>
      <c r="D402" s="346"/>
      <c r="E402" s="347"/>
      <c r="F402" s="347"/>
      <c r="G402" s="348"/>
      <c r="H402" s="348"/>
      <c r="I402" s="348"/>
      <c r="J402" s="348"/>
      <c r="K402" s="348"/>
      <c r="L402" s="340"/>
      <c r="M402" s="348"/>
      <c r="N402" s="340"/>
      <c r="O402" s="349"/>
      <c r="P402" s="348"/>
      <c r="Q402" s="350"/>
      <c r="R402" s="354"/>
      <c r="S402" s="354"/>
      <c r="T402" s="354"/>
      <c r="U402" s="354"/>
      <c r="V402" s="354"/>
      <c r="W402" s="354"/>
      <c r="X402" s="549" t="s">
        <v>1856</v>
      </c>
      <c r="Y402" s="246" t="s">
        <v>1395</v>
      </c>
      <c r="Z402" s="235" t="s">
        <v>205</v>
      </c>
      <c r="AA402" s="235" t="s">
        <v>205</v>
      </c>
      <c r="AB402" s="443" t="s">
        <v>1863</v>
      </c>
      <c r="AC402" s="577"/>
      <c r="AD402" s="292">
        <f t="shared" si="92"/>
        <v>292</v>
      </c>
      <c r="AE402" s="476">
        <f t="shared" si="92"/>
        <v>292</v>
      </c>
      <c r="AF402" s="476">
        <f t="shared" si="92"/>
        <v>292</v>
      </c>
      <c r="AG402" s="554"/>
      <c r="AH402" s="554"/>
      <c r="AI402" s="456"/>
    </row>
    <row r="403" spans="1:35" x14ac:dyDescent="0.25">
      <c r="A403" s="311"/>
      <c r="B403" s="345"/>
      <c r="C403" s="346"/>
      <c r="D403" s="346"/>
      <c r="E403" s="347"/>
      <c r="F403" s="347"/>
      <c r="G403" s="348"/>
      <c r="H403" s="348"/>
      <c r="I403" s="348"/>
      <c r="J403" s="348"/>
      <c r="K403" s="348"/>
      <c r="L403" s="340"/>
      <c r="M403" s="348"/>
      <c r="N403" s="340"/>
      <c r="O403" s="349"/>
      <c r="P403" s="348"/>
      <c r="Q403" s="350"/>
      <c r="R403" s="354"/>
      <c r="S403" s="354"/>
      <c r="T403" s="354"/>
      <c r="U403" s="354"/>
      <c r="V403" s="354"/>
      <c r="W403" s="354"/>
      <c r="X403" s="520" t="s">
        <v>1782</v>
      </c>
      <c r="Y403" s="246" t="s">
        <v>1395</v>
      </c>
      <c r="Z403" s="235" t="s">
        <v>205</v>
      </c>
      <c r="AA403" s="235" t="s">
        <v>205</v>
      </c>
      <c r="AB403" s="443" t="s">
        <v>1863</v>
      </c>
      <c r="AC403" s="238">
        <v>200</v>
      </c>
      <c r="AD403" s="292">
        <f>AD404</f>
        <v>292</v>
      </c>
      <c r="AE403" s="476">
        <f>AE404</f>
        <v>292</v>
      </c>
      <c r="AF403" s="476">
        <f>AF404</f>
        <v>292</v>
      </c>
      <c r="AG403" s="554"/>
      <c r="AH403" s="554"/>
      <c r="AI403" s="456"/>
    </row>
    <row r="404" spans="1:35" ht="31.5" x14ac:dyDescent="0.25">
      <c r="A404" s="311"/>
      <c r="B404" s="345"/>
      <c r="C404" s="346"/>
      <c r="D404" s="346"/>
      <c r="E404" s="347"/>
      <c r="F404" s="347"/>
      <c r="G404" s="348"/>
      <c r="H404" s="348"/>
      <c r="I404" s="348"/>
      <c r="J404" s="348"/>
      <c r="K404" s="348"/>
      <c r="L404" s="340"/>
      <c r="M404" s="348"/>
      <c r="N404" s="340"/>
      <c r="O404" s="349"/>
      <c r="P404" s="348"/>
      <c r="Q404" s="350"/>
      <c r="R404" s="354"/>
      <c r="S404" s="354"/>
      <c r="T404" s="354"/>
      <c r="U404" s="354"/>
      <c r="V404" s="354"/>
      <c r="W404" s="354"/>
      <c r="X404" s="520" t="s">
        <v>1274</v>
      </c>
      <c r="Y404" s="246" t="s">
        <v>1395</v>
      </c>
      <c r="Z404" s="235" t="s">
        <v>205</v>
      </c>
      <c r="AA404" s="235" t="s">
        <v>205</v>
      </c>
      <c r="AB404" s="443" t="s">
        <v>1863</v>
      </c>
      <c r="AC404" s="238">
        <v>240</v>
      </c>
      <c r="AD404" s="292">
        <v>292</v>
      </c>
      <c r="AE404" s="476">
        <v>292</v>
      </c>
      <c r="AF404" s="476">
        <v>292</v>
      </c>
      <c r="AG404" s="554"/>
      <c r="AH404" s="554"/>
      <c r="AI404" s="456"/>
    </row>
    <row r="405" spans="1:35" ht="78.75" x14ac:dyDescent="0.25">
      <c r="A405" s="311"/>
      <c r="B405" s="345"/>
      <c r="C405" s="346"/>
      <c r="D405" s="346"/>
      <c r="E405" s="347"/>
      <c r="F405" s="346"/>
      <c r="G405" s="348"/>
      <c r="H405" s="348"/>
      <c r="I405" s="348"/>
      <c r="J405" s="348"/>
      <c r="K405" s="348"/>
      <c r="L405" s="348"/>
      <c r="M405" s="348"/>
      <c r="N405" s="348"/>
      <c r="O405" s="349"/>
      <c r="P405" s="348"/>
      <c r="Q405" s="350"/>
      <c r="R405" s="354"/>
      <c r="S405" s="354"/>
      <c r="T405" s="354"/>
      <c r="U405" s="354"/>
      <c r="V405" s="354"/>
      <c r="W405" s="354"/>
      <c r="X405" s="520" t="s">
        <v>1868</v>
      </c>
      <c r="Y405" s="246" t="s">
        <v>1395</v>
      </c>
      <c r="Z405" s="235" t="s">
        <v>205</v>
      </c>
      <c r="AA405" s="235" t="s">
        <v>205</v>
      </c>
      <c r="AB405" s="465" t="s">
        <v>1869</v>
      </c>
      <c r="AC405" s="238"/>
      <c r="AD405" s="292">
        <f t="shared" ref="AD405:AF406" si="93">AD406</f>
        <v>63.5</v>
      </c>
      <c r="AE405" s="476">
        <f t="shared" si="93"/>
        <v>63.5</v>
      </c>
      <c r="AF405" s="476">
        <f t="shared" si="93"/>
        <v>63.5</v>
      </c>
      <c r="AG405" s="554"/>
      <c r="AH405" s="554"/>
      <c r="AI405" s="456"/>
    </row>
    <row r="406" spans="1:35" ht="63" x14ac:dyDescent="0.25">
      <c r="A406" s="311"/>
      <c r="B406" s="345"/>
      <c r="C406" s="346"/>
      <c r="D406" s="346"/>
      <c r="E406" s="347"/>
      <c r="F406" s="346"/>
      <c r="G406" s="348"/>
      <c r="H406" s="348"/>
      <c r="I406" s="348"/>
      <c r="J406" s="348"/>
      <c r="K406" s="348"/>
      <c r="L406" s="340"/>
      <c r="M406" s="348"/>
      <c r="N406" s="340"/>
      <c r="O406" s="349"/>
      <c r="P406" s="348"/>
      <c r="Q406" s="350"/>
      <c r="R406" s="354"/>
      <c r="S406" s="354"/>
      <c r="T406" s="354"/>
      <c r="U406" s="354"/>
      <c r="V406" s="354"/>
      <c r="W406" s="354"/>
      <c r="X406" s="532" t="s">
        <v>1870</v>
      </c>
      <c r="Y406" s="246" t="s">
        <v>1395</v>
      </c>
      <c r="Z406" s="235" t="s">
        <v>205</v>
      </c>
      <c r="AA406" s="235" t="s">
        <v>205</v>
      </c>
      <c r="AB406" s="443" t="s">
        <v>1871</v>
      </c>
      <c r="AC406" s="238"/>
      <c r="AD406" s="292">
        <f t="shared" si="93"/>
        <v>63.5</v>
      </c>
      <c r="AE406" s="476">
        <f t="shared" si="93"/>
        <v>63.5</v>
      </c>
      <c r="AF406" s="476">
        <f t="shared" si="93"/>
        <v>63.5</v>
      </c>
      <c r="AG406" s="554"/>
      <c r="AH406" s="554"/>
      <c r="AI406" s="456"/>
    </row>
    <row r="407" spans="1:35" s="370" customFormat="1" x14ac:dyDescent="0.25">
      <c r="A407" s="397"/>
      <c r="B407" s="345"/>
      <c r="C407" s="345"/>
      <c r="D407" s="345"/>
      <c r="E407" s="347"/>
      <c r="F407" s="346"/>
      <c r="G407" s="348"/>
      <c r="H407" s="398"/>
      <c r="I407" s="313"/>
      <c r="J407" s="313"/>
      <c r="K407" s="313"/>
      <c r="L407" s="340"/>
      <c r="M407" s="313"/>
      <c r="N407" s="340"/>
      <c r="O407" s="349"/>
      <c r="P407" s="348"/>
      <c r="Q407" s="350"/>
      <c r="R407" s="354"/>
      <c r="S407" s="354"/>
      <c r="T407" s="354"/>
      <c r="U407" s="354"/>
      <c r="V407" s="354"/>
      <c r="W407" s="372"/>
      <c r="X407" s="520" t="s">
        <v>1782</v>
      </c>
      <c r="Y407" s="246" t="s">
        <v>1395</v>
      </c>
      <c r="Z407" s="255" t="s">
        <v>205</v>
      </c>
      <c r="AA407" s="255" t="s">
        <v>205</v>
      </c>
      <c r="AB407" s="443" t="s">
        <v>1871</v>
      </c>
      <c r="AC407" s="238">
        <v>200</v>
      </c>
      <c r="AD407" s="292">
        <f>AD408</f>
        <v>63.5</v>
      </c>
      <c r="AE407" s="476">
        <f>AE408</f>
        <v>63.5</v>
      </c>
      <c r="AF407" s="476">
        <f>AF408</f>
        <v>63.5</v>
      </c>
      <c r="AG407" s="554"/>
      <c r="AH407" s="554"/>
      <c r="AI407" s="456"/>
    </row>
    <row r="408" spans="1:35" ht="31.5" x14ac:dyDescent="0.25">
      <c r="A408" s="357"/>
      <c r="B408" s="345"/>
      <c r="C408" s="345"/>
      <c r="D408" s="345"/>
      <c r="E408" s="347"/>
      <c r="F408" s="346"/>
      <c r="G408" s="348"/>
      <c r="H408" s="300"/>
      <c r="I408" s="358"/>
      <c r="J408" s="358"/>
      <c r="K408" s="358"/>
      <c r="L408" s="348"/>
      <c r="M408" s="358"/>
      <c r="N408" s="348"/>
      <c r="O408" s="349"/>
      <c r="P408" s="303"/>
      <c r="Q408" s="350"/>
      <c r="R408" s="354"/>
      <c r="S408" s="354"/>
      <c r="T408" s="354"/>
      <c r="U408" s="354"/>
      <c r="V408" s="354"/>
      <c r="X408" s="520" t="s">
        <v>1274</v>
      </c>
      <c r="Y408" s="246" t="s">
        <v>1395</v>
      </c>
      <c r="Z408" s="255" t="s">
        <v>205</v>
      </c>
      <c r="AA408" s="255" t="s">
        <v>205</v>
      </c>
      <c r="AB408" s="443" t="s">
        <v>1871</v>
      </c>
      <c r="AC408" s="238">
        <v>240</v>
      </c>
      <c r="AD408" s="292">
        <v>63.5</v>
      </c>
      <c r="AE408" s="476">
        <v>63.5</v>
      </c>
      <c r="AF408" s="476">
        <v>63.5</v>
      </c>
      <c r="AG408" s="554"/>
      <c r="AH408" s="554"/>
      <c r="AI408" s="456"/>
    </row>
    <row r="409" spans="1:35" ht="31.5" x14ac:dyDescent="0.25">
      <c r="A409" s="357"/>
      <c r="B409" s="345"/>
      <c r="C409" s="345"/>
      <c r="D409" s="345"/>
      <c r="E409" s="347"/>
      <c r="F409" s="346"/>
      <c r="G409" s="348"/>
      <c r="H409" s="300"/>
      <c r="I409" s="358"/>
      <c r="J409" s="358"/>
      <c r="K409" s="358"/>
      <c r="L409" s="348"/>
      <c r="M409" s="358"/>
      <c r="N409" s="348"/>
      <c r="O409" s="349"/>
      <c r="P409" s="303"/>
      <c r="Q409" s="350"/>
      <c r="R409" s="354"/>
      <c r="S409" s="354"/>
      <c r="T409" s="354"/>
      <c r="U409" s="354"/>
      <c r="V409" s="354"/>
      <c r="X409" s="521" t="s">
        <v>2104</v>
      </c>
      <c r="Y409" s="246" t="s">
        <v>1395</v>
      </c>
      <c r="Z409" s="235" t="s">
        <v>205</v>
      </c>
      <c r="AA409" s="235" t="s">
        <v>205</v>
      </c>
      <c r="AB409" s="443" t="s">
        <v>1806</v>
      </c>
      <c r="AC409" s="238"/>
      <c r="AD409" s="292">
        <f t="shared" ref="AD409:AF413" si="94">AD410</f>
        <v>775</v>
      </c>
      <c r="AE409" s="476">
        <f t="shared" si="94"/>
        <v>775</v>
      </c>
      <c r="AF409" s="476">
        <f t="shared" si="94"/>
        <v>775</v>
      </c>
      <c r="AG409" s="554"/>
      <c r="AH409" s="554"/>
      <c r="AI409" s="456"/>
    </row>
    <row r="410" spans="1:35" x14ac:dyDescent="0.25">
      <c r="A410" s="357"/>
      <c r="B410" s="345"/>
      <c r="C410" s="345"/>
      <c r="D410" s="345"/>
      <c r="E410" s="347"/>
      <c r="F410" s="346"/>
      <c r="G410" s="348"/>
      <c r="H410" s="300"/>
      <c r="I410" s="358"/>
      <c r="J410" s="358"/>
      <c r="K410" s="358"/>
      <c r="L410" s="348"/>
      <c r="M410" s="358"/>
      <c r="N410" s="348"/>
      <c r="O410" s="349"/>
      <c r="P410" s="303"/>
      <c r="Q410" s="350"/>
      <c r="R410" s="354"/>
      <c r="S410" s="354"/>
      <c r="T410" s="354"/>
      <c r="U410" s="354"/>
      <c r="V410" s="354"/>
      <c r="X410" s="521" t="s">
        <v>2113</v>
      </c>
      <c r="Y410" s="246" t="s">
        <v>1395</v>
      </c>
      <c r="Z410" s="255" t="s">
        <v>205</v>
      </c>
      <c r="AA410" s="255" t="s">
        <v>205</v>
      </c>
      <c r="AB410" s="443" t="s">
        <v>2114</v>
      </c>
      <c r="AC410" s="238"/>
      <c r="AD410" s="292">
        <f t="shared" si="94"/>
        <v>775</v>
      </c>
      <c r="AE410" s="476">
        <f t="shared" si="94"/>
        <v>775</v>
      </c>
      <c r="AF410" s="476">
        <f t="shared" si="94"/>
        <v>775</v>
      </c>
      <c r="AG410" s="554"/>
      <c r="AH410" s="554"/>
      <c r="AI410" s="456"/>
    </row>
    <row r="411" spans="1:35" ht="63" x14ac:dyDescent="0.25">
      <c r="A411" s="357"/>
      <c r="B411" s="345"/>
      <c r="C411" s="345"/>
      <c r="D411" s="345"/>
      <c r="E411" s="347"/>
      <c r="F411" s="346"/>
      <c r="G411" s="348"/>
      <c r="H411" s="300"/>
      <c r="I411" s="358"/>
      <c r="J411" s="358"/>
      <c r="K411" s="358"/>
      <c r="L411" s="348"/>
      <c r="M411" s="358"/>
      <c r="N411" s="348"/>
      <c r="O411" s="349"/>
      <c r="P411" s="303"/>
      <c r="Q411" s="350"/>
      <c r="R411" s="354"/>
      <c r="S411" s="354"/>
      <c r="T411" s="354"/>
      <c r="U411" s="354"/>
      <c r="V411" s="354"/>
      <c r="X411" s="529" t="s">
        <v>2115</v>
      </c>
      <c r="Y411" s="246" t="s">
        <v>1395</v>
      </c>
      <c r="Z411" s="255" t="s">
        <v>205</v>
      </c>
      <c r="AA411" s="255" t="s">
        <v>205</v>
      </c>
      <c r="AB411" s="443" t="s">
        <v>2116</v>
      </c>
      <c r="AC411" s="238"/>
      <c r="AD411" s="292">
        <f t="shared" si="94"/>
        <v>775</v>
      </c>
      <c r="AE411" s="476">
        <f t="shared" si="94"/>
        <v>775</v>
      </c>
      <c r="AF411" s="476">
        <f t="shared" si="94"/>
        <v>775</v>
      </c>
      <c r="AG411" s="554"/>
      <c r="AH411" s="554"/>
      <c r="AI411" s="456"/>
    </row>
    <row r="412" spans="1:35" ht="31.5" x14ac:dyDescent="0.25">
      <c r="A412" s="357"/>
      <c r="B412" s="345"/>
      <c r="C412" s="345"/>
      <c r="D412" s="345"/>
      <c r="E412" s="347"/>
      <c r="F412" s="346"/>
      <c r="G412" s="348"/>
      <c r="H412" s="300"/>
      <c r="I412" s="358"/>
      <c r="J412" s="358"/>
      <c r="K412" s="358"/>
      <c r="L412" s="348"/>
      <c r="M412" s="358"/>
      <c r="N412" s="348"/>
      <c r="O412" s="349"/>
      <c r="P412" s="303"/>
      <c r="Q412" s="350"/>
      <c r="R412" s="354"/>
      <c r="S412" s="354"/>
      <c r="T412" s="354"/>
      <c r="U412" s="354"/>
      <c r="V412" s="354"/>
      <c r="X412" s="529" t="s">
        <v>2117</v>
      </c>
      <c r="Y412" s="246" t="s">
        <v>1395</v>
      </c>
      <c r="Z412" s="235" t="s">
        <v>205</v>
      </c>
      <c r="AA412" s="235" t="s">
        <v>205</v>
      </c>
      <c r="AB412" s="443" t="s">
        <v>2118</v>
      </c>
      <c r="AC412" s="238"/>
      <c r="AD412" s="292">
        <f>AD413+AD415</f>
        <v>775</v>
      </c>
      <c r="AE412" s="476">
        <f t="shared" si="94"/>
        <v>775</v>
      </c>
      <c r="AF412" s="476">
        <f t="shared" si="94"/>
        <v>775</v>
      </c>
      <c r="AG412" s="554"/>
      <c r="AH412" s="554"/>
      <c r="AI412" s="456"/>
    </row>
    <row r="413" spans="1:35" x14ac:dyDescent="0.25">
      <c r="A413" s="357"/>
      <c r="B413" s="345"/>
      <c r="C413" s="345"/>
      <c r="D413" s="345"/>
      <c r="E413" s="347"/>
      <c r="F413" s="346"/>
      <c r="G413" s="348"/>
      <c r="H413" s="300"/>
      <c r="I413" s="358"/>
      <c r="J413" s="358"/>
      <c r="K413" s="358"/>
      <c r="L413" s="348"/>
      <c r="M413" s="358"/>
      <c r="N413" s="348"/>
      <c r="O413" s="349"/>
      <c r="P413" s="303"/>
      <c r="Q413" s="350"/>
      <c r="R413" s="354"/>
      <c r="S413" s="354"/>
      <c r="T413" s="354"/>
      <c r="U413" s="354"/>
      <c r="V413" s="354"/>
      <c r="X413" s="520" t="s">
        <v>1782</v>
      </c>
      <c r="Y413" s="246" t="s">
        <v>1395</v>
      </c>
      <c r="Z413" s="255" t="s">
        <v>205</v>
      </c>
      <c r="AA413" s="255" t="s">
        <v>205</v>
      </c>
      <c r="AB413" s="443" t="s">
        <v>2118</v>
      </c>
      <c r="AC413" s="238">
        <v>200</v>
      </c>
      <c r="AD413" s="292">
        <f t="shared" si="94"/>
        <v>430</v>
      </c>
      <c r="AE413" s="476">
        <f t="shared" si="94"/>
        <v>775</v>
      </c>
      <c r="AF413" s="476">
        <f t="shared" si="94"/>
        <v>775</v>
      </c>
      <c r="AG413" s="554"/>
      <c r="AH413" s="554"/>
      <c r="AI413" s="456"/>
    </row>
    <row r="414" spans="1:35" ht="31.5" x14ac:dyDescent="0.25">
      <c r="A414" s="357"/>
      <c r="B414" s="345"/>
      <c r="C414" s="345"/>
      <c r="D414" s="345"/>
      <c r="E414" s="347"/>
      <c r="F414" s="346"/>
      <c r="G414" s="348"/>
      <c r="H414" s="300"/>
      <c r="I414" s="358"/>
      <c r="J414" s="358"/>
      <c r="K414" s="358"/>
      <c r="L414" s="348"/>
      <c r="M414" s="358"/>
      <c r="N414" s="348"/>
      <c r="O414" s="349"/>
      <c r="P414" s="303"/>
      <c r="Q414" s="350"/>
      <c r="R414" s="354"/>
      <c r="S414" s="354"/>
      <c r="T414" s="354"/>
      <c r="U414" s="354"/>
      <c r="V414" s="354"/>
      <c r="X414" s="520" t="s">
        <v>1274</v>
      </c>
      <c r="Y414" s="246" t="s">
        <v>1395</v>
      </c>
      <c r="Z414" s="255" t="s">
        <v>205</v>
      </c>
      <c r="AA414" s="255" t="s">
        <v>205</v>
      </c>
      <c r="AB414" s="443" t="s">
        <v>2118</v>
      </c>
      <c r="AC414" s="238">
        <v>240</v>
      </c>
      <c r="AD414" s="292">
        <f>775-30-315</f>
        <v>430</v>
      </c>
      <c r="AE414" s="476">
        <v>775</v>
      </c>
      <c r="AF414" s="476">
        <v>775</v>
      </c>
      <c r="AG414" s="554"/>
      <c r="AH414" s="554"/>
      <c r="AI414" s="456"/>
    </row>
    <row r="415" spans="1:35" ht="31.5" x14ac:dyDescent="0.25">
      <c r="A415" s="357"/>
      <c r="B415" s="345"/>
      <c r="C415" s="345"/>
      <c r="D415" s="345"/>
      <c r="E415" s="347"/>
      <c r="F415" s="346"/>
      <c r="G415" s="348"/>
      <c r="H415" s="300"/>
      <c r="I415" s="358"/>
      <c r="J415" s="358"/>
      <c r="K415" s="358"/>
      <c r="L415" s="348"/>
      <c r="M415" s="358"/>
      <c r="N415" s="348"/>
      <c r="O415" s="349"/>
      <c r="P415" s="303"/>
      <c r="Q415" s="350"/>
      <c r="R415" s="354"/>
      <c r="S415" s="354"/>
      <c r="T415" s="354"/>
      <c r="U415" s="354"/>
      <c r="V415" s="354"/>
      <c r="X415" s="520" t="s">
        <v>1343</v>
      </c>
      <c r="Y415" s="246" t="s">
        <v>1395</v>
      </c>
      <c r="Z415" s="255" t="s">
        <v>205</v>
      </c>
      <c r="AA415" s="255" t="s">
        <v>205</v>
      </c>
      <c r="AB415" s="443" t="s">
        <v>2118</v>
      </c>
      <c r="AC415" s="238">
        <v>600</v>
      </c>
      <c r="AD415" s="292">
        <f>AD416</f>
        <v>345</v>
      </c>
      <c r="AE415" s="476">
        <f>AE416</f>
        <v>0</v>
      </c>
      <c r="AF415" s="476">
        <f>AF416</f>
        <v>0</v>
      </c>
      <c r="AG415" s="554"/>
      <c r="AH415" s="554"/>
      <c r="AI415" s="456"/>
    </row>
    <row r="416" spans="1:35" x14ac:dyDescent="0.25">
      <c r="A416" s="357"/>
      <c r="B416" s="345"/>
      <c r="C416" s="345"/>
      <c r="D416" s="345"/>
      <c r="E416" s="347"/>
      <c r="F416" s="346"/>
      <c r="G416" s="348"/>
      <c r="H416" s="300"/>
      <c r="I416" s="358"/>
      <c r="J416" s="358"/>
      <c r="K416" s="358"/>
      <c r="L416" s="348"/>
      <c r="M416" s="358"/>
      <c r="N416" s="348"/>
      <c r="O416" s="349"/>
      <c r="P416" s="303"/>
      <c r="Q416" s="350"/>
      <c r="R416" s="354"/>
      <c r="S416" s="354"/>
      <c r="T416" s="354"/>
      <c r="U416" s="354"/>
      <c r="V416" s="354"/>
      <c r="X416" s="520" t="s">
        <v>1344</v>
      </c>
      <c r="Y416" s="246" t="s">
        <v>1395</v>
      </c>
      <c r="Z416" s="255" t="s">
        <v>205</v>
      </c>
      <c r="AA416" s="255" t="s">
        <v>205</v>
      </c>
      <c r="AB416" s="443" t="s">
        <v>2118</v>
      </c>
      <c r="AC416" s="238">
        <v>610</v>
      </c>
      <c r="AD416" s="292">
        <f>30+315</f>
        <v>345</v>
      </c>
      <c r="AE416" s="476">
        <v>0</v>
      </c>
      <c r="AF416" s="476">
        <v>0</v>
      </c>
      <c r="AG416" s="554"/>
      <c r="AH416" s="554"/>
      <c r="AI416" s="456"/>
    </row>
    <row r="417" spans="1:35" x14ac:dyDescent="0.25">
      <c r="A417" s="357"/>
      <c r="B417" s="345"/>
      <c r="C417" s="345"/>
      <c r="D417" s="345"/>
      <c r="E417" s="347"/>
      <c r="F417" s="346"/>
      <c r="G417" s="348"/>
      <c r="H417" s="300"/>
      <c r="I417" s="358"/>
      <c r="J417" s="358"/>
      <c r="K417" s="358"/>
      <c r="L417" s="348"/>
      <c r="M417" s="358"/>
      <c r="N417" s="348"/>
      <c r="O417" s="349"/>
      <c r="P417" s="303"/>
      <c r="Q417" s="350"/>
      <c r="R417" s="354"/>
      <c r="S417" s="354"/>
      <c r="T417" s="354"/>
      <c r="U417" s="354"/>
      <c r="V417" s="354"/>
      <c r="X417" s="520" t="s">
        <v>840</v>
      </c>
      <c r="Y417" s="246" t="s">
        <v>1395</v>
      </c>
      <c r="Z417" s="235" t="s">
        <v>205</v>
      </c>
      <c r="AA417" s="235" t="s">
        <v>406</v>
      </c>
      <c r="AB417" s="249"/>
      <c r="AC417" s="238"/>
      <c r="AD417" s="292">
        <f>AD419</f>
        <v>2031.8999999999996</v>
      </c>
      <c r="AE417" s="476">
        <f>AE419</f>
        <v>3411.8999999999996</v>
      </c>
      <c r="AF417" s="476">
        <f>AF419</f>
        <v>3389</v>
      </c>
      <c r="AG417" s="554"/>
      <c r="AH417" s="554"/>
      <c r="AI417" s="456"/>
    </row>
    <row r="418" spans="1:35" x14ac:dyDescent="0.25">
      <c r="A418" s="357"/>
      <c r="B418" s="345"/>
      <c r="C418" s="345"/>
      <c r="D418" s="345"/>
      <c r="E418" s="347"/>
      <c r="F418" s="346"/>
      <c r="G418" s="348"/>
      <c r="H418" s="300"/>
      <c r="I418" s="358"/>
      <c r="J418" s="358"/>
      <c r="K418" s="358"/>
      <c r="L418" s="348"/>
      <c r="M418" s="358"/>
      <c r="N418" s="348"/>
      <c r="O418" s="349"/>
      <c r="P418" s="303"/>
      <c r="Q418" s="350"/>
      <c r="R418" s="354"/>
      <c r="S418" s="354"/>
      <c r="T418" s="354"/>
      <c r="U418" s="354"/>
      <c r="V418" s="354"/>
      <c r="X418" s="549" t="s">
        <v>2075</v>
      </c>
      <c r="Y418" s="246" t="s">
        <v>1395</v>
      </c>
      <c r="Z418" s="235" t="s">
        <v>205</v>
      </c>
      <c r="AA418" s="235" t="s">
        <v>406</v>
      </c>
      <c r="AB418" s="443" t="s">
        <v>1769</v>
      </c>
      <c r="AC418" s="238"/>
      <c r="AD418" s="292">
        <f t="shared" ref="AD418:AF421" si="95">AD419</f>
        <v>2031.8999999999996</v>
      </c>
      <c r="AE418" s="476">
        <f t="shared" si="95"/>
        <v>3411.8999999999996</v>
      </c>
      <c r="AF418" s="476">
        <f t="shared" si="95"/>
        <v>3389</v>
      </c>
      <c r="AG418" s="554"/>
      <c r="AH418" s="554"/>
      <c r="AI418" s="456"/>
    </row>
    <row r="419" spans="1:35" x14ac:dyDescent="0.25">
      <c r="A419" s="357"/>
      <c r="B419" s="345"/>
      <c r="C419" s="345"/>
      <c r="D419" s="345"/>
      <c r="E419" s="347"/>
      <c r="F419" s="346"/>
      <c r="G419" s="348"/>
      <c r="H419" s="300"/>
      <c r="I419" s="358"/>
      <c r="J419" s="358"/>
      <c r="K419" s="358"/>
      <c r="L419" s="340"/>
      <c r="M419" s="358"/>
      <c r="N419" s="340"/>
      <c r="O419" s="349"/>
      <c r="P419" s="303"/>
      <c r="Q419" s="350"/>
      <c r="R419" s="354"/>
      <c r="S419" s="354"/>
      <c r="T419" s="354"/>
      <c r="U419" s="354"/>
      <c r="V419" s="354"/>
      <c r="X419" s="549" t="s">
        <v>2090</v>
      </c>
      <c r="Y419" s="246" t="s">
        <v>1395</v>
      </c>
      <c r="Z419" s="235" t="s">
        <v>205</v>
      </c>
      <c r="AA419" s="235" t="s">
        <v>406</v>
      </c>
      <c r="AB419" s="443" t="s">
        <v>2091</v>
      </c>
      <c r="AC419" s="238"/>
      <c r="AD419" s="292">
        <f t="shared" si="95"/>
        <v>2031.8999999999996</v>
      </c>
      <c r="AE419" s="476">
        <f t="shared" si="95"/>
        <v>3411.8999999999996</v>
      </c>
      <c r="AF419" s="476">
        <f t="shared" si="95"/>
        <v>3389</v>
      </c>
      <c r="AG419" s="554"/>
      <c r="AH419" s="554"/>
      <c r="AI419" s="456"/>
    </row>
    <row r="420" spans="1:35" ht="31.5" x14ac:dyDescent="0.25">
      <c r="A420" s="357"/>
      <c r="B420" s="345"/>
      <c r="C420" s="345"/>
      <c r="D420" s="345"/>
      <c r="E420" s="347"/>
      <c r="F420" s="346"/>
      <c r="G420" s="348"/>
      <c r="H420" s="300"/>
      <c r="I420" s="358"/>
      <c r="J420" s="358"/>
      <c r="K420" s="358"/>
      <c r="L420" s="340"/>
      <c r="M420" s="358"/>
      <c r="N420" s="340"/>
      <c r="O420" s="349"/>
      <c r="P420" s="303"/>
      <c r="Q420" s="350"/>
      <c r="R420" s="354"/>
      <c r="S420" s="354"/>
      <c r="T420" s="354"/>
      <c r="U420" s="354"/>
      <c r="V420" s="354"/>
      <c r="X420" s="532" t="s">
        <v>2092</v>
      </c>
      <c r="Y420" s="246" t="s">
        <v>1395</v>
      </c>
      <c r="Z420" s="235" t="s">
        <v>205</v>
      </c>
      <c r="AA420" s="235" t="s">
        <v>406</v>
      </c>
      <c r="AB420" s="443" t="s">
        <v>2093</v>
      </c>
      <c r="AC420" s="238"/>
      <c r="AD420" s="292">
        <f t="shared" si="95"/>
        <v>2031.8999999999996</v>
      </c>
      <c r="AE420" s="476">
        <f t="shared" si="95"/>
        <v>3411.8999999999996</v>
      </c>
      <c r="AF420" s="476">
        <f t="shared" si="95"/>
        <v>3389</v>
      </c>
      <c r="AG420" s="554"/>
      <c r="AH420" s="554"/>
      <c r="AI420" s="456"/>
    </row>
    <row r="421" spans="1:35" x14ac:dyDescent="0.25">
      <c r="A421" s="357"/>
      <c r="B421" s="345"/>
      <c r="C421" s="345"/>
      <c r="D421" s="345"/>
      <c r="E421" s="347"/>
      <c r="F421" s="346"/>
      <c r="G421" s="348"/>
      <c r="H421" s="300"/>
      <c r="I421" s="358"/>
      <c r="J421" s="358"/>
      <c r="K421" s="358"/>
      <c r="L421" s="340"/>
      <c r="M421" s="358"/>
      <c r="N421" s="340"/>
      <c r="O421" s="349"/>
      <c r="P421" s="303"/>
      <c r="Q421" s="350"/>
      <c r="R421" s="354"/>
      <c r="S421" s="354"/>
      <c r="T421" s="354"/>
      <c r="U421" s="354"/>
      <c r="V421" s="354"/>
      <c r="X421" s="626" t="s">
        <v>2094</v>
      </c>
      <c r="Y421" s="246" t="s">
        <v>1395</v>
      </c>
      <c r="Z421" s="235" t="s">
        <v>205</v>
      </c>
      <c r="AA421" s="235" t="s">
        <v>406</v>
      </c>
      <c r="AB421" s="443" t="s">
        <v>2095</v>
      </c>
      <c r="AC421" s="238"/>
      <c r="AD421" s="292">
        <f t="shared" si="95"/>
        <v>2031.8999999999996</v>
      </c>
      <c r="AE421" s="476">
        <f t="shared" si="95"/>
        <v>3411.8999999999996</v>
      </c>
      <c r="AF421" s="476">
        <f t="shared" si="95"/>
        <v>3389</v>
      </c>
      <c r="AG421" s="554"/>
      <c r="AH421" s="554"/>
      <c r="AI421" s="456"/>
    </row>
    <row r="422" spans="1:35" ht="47.25" x14ac:dyDescent="0.25">
      <c r="A422" s="357"/>
      <c r="B422" s="345"/>
      <c r="C422" s="345"/>
      <c r="D422" s="345"/>
      <c r="E422" s="347"/>
      <c r="F422" s="346"/>
      <c r="G422" s="348"/>
      <c r="H422" s="300"/>
      <c r="I422" s="358"/>
      <c r="J422" s="358"/>
      <c r="K422" s="358"/>
      <c r="L422" s="340"/>
      <c r="M422" s="358"/>
      <c r="N422" s="340"/>
      <c r="O422" s="349"/>
      <c r="P422" s="303"/>
      <c r="Q422" s="350"/>
      <c r="R422" s="354"/>
      <c r="S422" s="354"/>
      <c r="T422" s="354"/>
      <c r="U422" s="354"/>
      <c r="V422" s="354"/>
      <c r="X422" s="626" t="s">
        <v>2136</v>
      </c>
      <c r="Y422" s="246" t="s">
        <v>1395</v>
      </c>
      <c r="Z422" s="235" t="s">
        <v>205</v>
      </c>
      <c r="AA422" s="235" t="s">
        <v>406</v>
      </c>
      <c r="AB422" s="443" t="s">
        <v>2137</v>
      </c>
      <c r="AC422" s="238"/>
      <c r="AD422" s="292">
        <f>AD425+AD423+AD427</f>
        <v>2031.8999999999996</v>
      </c>
      <c r="AE422" s="292">
        <f t="shared" ref="AE422:AF422" si="96">AE425+AE423+AE427</f>
        <v>3411.8999999999996</v>
      </c>
      <c r="AF422" s="292">
        <f t="shared" si="96"/>
        <v>3389</v>
      </c>
      <c r="AG422" s="554"/>
      <c r="AH422" s="554"/>
      <c r="AI422" s="456"/>
    </row>
    <row r="423" spans="1:35" x14ac:dyDescent="0.25">
      <c r="A423" s="357"/>
      <c r="B423" s="345"/>
      <c r="C423" s="345"/>
      <c r="D423" s="345"/>
      <c r="E423" s="347"/>
      <c r="F423" s="346"/>
      <c r="G423" s="348"/>
      <c r="H423" s="300"/>
      <c r="I423" s="358"/>
      <c r="J423" s="358"/>
      <c r="K423" s="358"/>
      <c r="L423" s="340"/>
      <c r="M423" s="358"/>
      <c r="N423" s="340"/>
      <c r="O423" s="349"/>
      <c r="P423" s="303"/>
      <c r="Q423" s="350"/>
      <c r="R423" s="354"/>
      <c r="S423" s="354"/>
      <c r="T423" s="354"/>
      <c r="U423" s="354"/>
      <c r="V423" s="354"/>
      <c r="X423" s="524" t="s">
        <v>1782</v>
      </c>
      <c r="Y423" s="246" t="s">
        <v>1395</v>
      </c>
      <c r="Z423" s="235" t="s">
        <v>205</v>
      </c>
      <c r="AA423" s="235" t="s">
        <v>406</v>
      </c>
      <c r="AB423" s="443" t="s">
        <v>2137</v>
      </c>
      <c r="AC423" s="238">
        <v>200</v>
      </c>
      <c r="AD423" s="292">
        <f>AD424</f>
        <v>1739.3</v>
      </c>
      <c r="AE423" s="476">
        <f>AE424</f>
        <v>120</v>
      </c>
      <c r="AF423" s="476">
        <f>AF424</f>
        <v>120</v>
      </c>
      <c r="AG423" s="554"/>
      <c r="AH423" s="554"/>
      <c r="AI423" s="456"/>
    </row>
    <row r="424" spans="1:35" ht="31.5" x14ac:dyDescent="0.25">
      <c r="A424" s="357"/>
      <c r="B424" s="345"/>
      <c r="C424" s="345"/>
      <c r="D424" s="345"/>
      <c r="E424" s="347"/>
      <c r="F424" s="346"/>
      <c r="G424" s="348"/>
      <c r="H424" s="300"/>
      <c r="I424" s="358"/>
      <c r="J424" s="358"/>
      <c r="K424" s="358"/>
      <c r="L424" s="340"/>
      <c r="M424" s="358"/>
      <c r="N424" s="340"/>
      <c r="O424" s="349"/>
      <c r="P424" s="303"/>
      <c r="Q424" s="350"/>
      <c r="R424" s="354"/>
      <c r="S424" s="354"/>
      <c r="T424" s="354"/>
      <c r="U424" s="354"/>
      <c r="V424" s="354"/>
      <c r="X424" s="524" t="s">
        <v>1274</v>
      </c>
      <c r="Y424" s="246" t="s">
        <v>1395</v>
      </c>
      <c r="Z424" s="235" t="s">
        <v>205</v>
      </c>
      <c r="AA424" s="235" t="s">
        <v>406</v>
      </c>
      <c r="AB424" s="443" t="s">
        <v>2137</v>
      </c>
      <c r="AC424" s="238">
        <v>240</v>
      </c>
      <c r="AD424" s="292">
        <f>120+1674-54.7</f>
        <v>1739.3</v>
      </c>
      <c r="AE424" s="476">
        <v>120</v>
      </c>
      <c r="AF424" s="476">
        <v>120</v>
      </c>
      <c r="AG424" s="554"/>
      <c r="AH424" s="554"/>
      <c r="AI424" s="456"/>
    </row>
    <row r="425" spans="1:35" x14ac:dyDescent="0.25">
      <c r="A425" s="357"/>
      <c r="B425" s="345"/>
      <c r="C425" s="345"/>
      <c r="D425" s="345"/>
      <c r="E425" s="347"/>
      <c r="F425" s="346"/>
      <c r="G425" s="348"/>
      <c r="H425" s="300"/>
      <c r="I425" s="358"/>
      <c r="J425" s="358"/>
      <c r="K425" s="358"/>
      <c r="L425" s="340"/>
      <c r="M425" s="358"/>
      <c r="N425" s="340"/>
      <c r="O425" s="349"/>
      <c r="P425" s="303"/>
      <c r="Q425" s="350"/>
      <c r="R425" s="354"/>
      <c r="S425" s="354"/>
      <c r="T425" s="354"/>
      <c r="U425" s="354"/>
      <c r="V425" s="354"/>
      <c r="X425" s="520" t="s">
        <v>1755</v>
      </c>
      <c r="Y425" s="246" t="s">
        <v>1395</v>
      </c>
      <c r="Z425" s="235" t="s">
        <v>205</v>
      </c>
      <c r="AA425" s="235" t="s">
        <v>406</v>
      </c>
      <c r="AB425" s="443" t="s">
        <v>2137</v>
      </c>
      <c r="AC425" s="238">
        <v>300</v>
      </c>
      <c r="AD425" s="292">
        <f>AD426</f>
        <v>286.39999999999964</v>
      </c>
      <c r="AE425" s="476">
        <f>AE426</f>
        <v>3291.8999999999996</v>
      </c>
      <c r="AF425" s="476">
        <f>AF426</f>
        <v>3269</v>
      </c>
      <c r="AG425" s="554"/>
      <c r="AH425" s="554"/>
      <c r="AI425" s="456"/>
    </row>
    <row r="426" spans="1:35" x14ac:dyDescent="0.25">
      <c r="A426" s="357"/>
      <c r="B426" s="345"/>
      <c r="C426" s="345"/>
      <c r="D426" s="345"/>
      <c r="E426" s="347"/>
      <c r="F426" s="346"/>
      <c r="G426" s="348"/>
      <c r="H426" s="300"/>
      <c r="I426" s="358"/>
      <c r="J426" s="358"/>
      <c r="K426" s="358"/>
      <c r="L426" s="340"/>
      <c r="M426" s="358"/>
      <c r="N426" s="340"/>
      <c r="O426" s="349"/>
      <c r="P426" s="303"/>
      <c r="Q426" s="350"/>
      <c r="R426" s="354"/>
      <c r="S426" s="354"/>
      <c r="T426" s="354"/>
      <c r="U426" s="354"/>
      <c r="V426" s="354"/>
      <c r="X426" s="520" t="s">
        <v>868</v>
      </c>
      <c r="Y426" s="246" t="s">
        <v>1395</v>
      </c>
      <c r="Z426" s="235" t="s">
        <v>205</v>
      </c>
      <c r="AA426" s="235" t="s">
        <v>406</v>
      </c>
      <c r="AB426" s="443" t="s">
        <v>2137</v>
      </c>
      <c r="AC426" s="238">
        <v>320</v>
      </c>
      <c r="AD426" s="292">
        <f>2176+2105.9-870-120-1340-1674+54.7-40-6.2</f>
        <v>286.39999999999964</v>
      </c>
      <c r="AE426" s="476">
        <f>2176+2105.9-870-120</f>
        <v>3291.8999999999996</v>
      </c>
      <c r="AF426" s="476">
        <f>2176+2083-870-120</f>
        <v>3269</v>
      </c>
      <c r="AG426" s="554"/>
      <c r="AH426" s="554"/>
      <c r="AI426" s="456"/>
    </row>
    <row r="427" spans="1:35" ht="31.5" x14ac:dyDescent="0.25">
      <c r="A427" s="357"/>
      <c r="B427" s="345"/>
      <c r="C427" s="345"/>
      <c r="D427" s="345"/>
      <c r="E427" s="347"/>
      <c r="F427" s="346"/>
      <c r="G427" s="348"/>
      <c r="H427" s="300"/>
      <c r="I427" s="358"/>
      <c r="J427" s="358"/>
      <c r="K427" s="358"/>
      <c r="L427" s="340"/>
      <c r="M427" s="358"/>
      <c r="N427" s="340"/>
      <c r="O427" s="349"/>
      <c r="P427" s="303"/>
      <c r="Q427" s="350"/>
      <c r="R427" s="354"/>
      <c r="S427" s="354"/>
      <c r="T427" s="354"/>
      <c r="U427" s="354"/>
      <c r="V427" s="354"/>
      <c r="X427" s="520" t="s">
        <v>1343</v>
      </c>
      <c r="Y427" s="246" t="s">
        <v>1395</v>
      </c>
      <c r="Z427" s="235" t="s">
        <v>205</v>
      </c>
      <c r="AA427" s="235" t="s">
        <v>406</v>
      </c>
      <c r="AB427" s="443" t="s">
        <v>2137</v>
      </c>
      <c r="AC427" s="238">
        <v>600</v>
      </c>
      <c r="AD427" s="292">
        <f>AD428</f>
        <v>6.2</v>
      </c>
      <c r="AE427" s="292">
        <f t="shared" ref="AE427:AF427" si="97">AE428</f>
        <v>0</v>
      </c>
      <c r="AF427" s="292">
        <f t="shared" si="97"/>
        <v>0</v>
      </c>
      <c r="AG427" s="554"/>
      <c r="AH427" s="554"/>
      <c r="AI427" s="456"/>
    </row>
    <row r="428" spans="1:35" x14ac:dyDescent="0.25">
      <c r="A428" s="357"/>
      <c r="B428" s="345"/>
      <c r="C428" s="345"/>
      <c r="D428" s="345"/>
      <c r="E428" s="347"/>
      <c r="F428" s="346"/>
      <c r="G428" s="348"/>
      <c r="H428" s="300"/>
      <c r="I428" s="358"/>
      <c r="J428" s="358"/>
      <c r="K428" s="358"/>
      <c r="L428" s="340"/>
      <c r="M428" s="358"/>
      <c r="N428" s="340"/>
      <c r="O428" s="349"/>
      <c r="P428" s="303"/>
      <c r="Q428" s="350"/>
      <c r="R428" s="354"/>
      <c r="S428" s="354"/>
      <c r="T428" s="354"/>
      <c r="U428" s="354"/>
      <c r="V428" s="354"/>
      <c r="X428" s="520" t="s">
        <v>1344</v>
      </c>
      <c r="Y428" s="246" t="s">
        <v>1395</v>
      </c>
      <c r="Z428" s="235" t="s">
        <v>205</v>
      </c>
      <c r="AA428" s="235" t="s">
        <v>406</v>
      </c>
      <c r="AB428" s="443" t="s">
        <v>2137</v>
      </c>
      <c r="AC428" s="238">
        <v>610</v>
      </c>
      <c r="AD428" s="292">
        <v>6.2</v>
      </c>
      <c r="AE428" s="476">
        <v>0</v>
      </c>
      <c r="AF428" s="476">
        <v>0</v>
      </c>
      <c r="AG428" s="554"/>
      <c r="AH428" s="554"/>
      <c r="AI428" s="456"/>
    </row>
    <row r="429" spans="1:35" s="344" customFormat="1" ht="18.75" x14ac:dyDescent="0.3">
      <c r="A429" s="335"/>
      <c r="B429" s="336"/>
      <c r="C429" s="338"/>
      <c r="D429" s="339"/>
      <c r="E429" s="339"/>
      <c r="F429" s="339"/>
      <c r="G429" s="340"/>
      <c r="H429" s="340"/>
      <c r="I429" s="340"/>
      <c r="J429" s="340"/>
      <c r="K429" s="340"/>
      <c r="L429" s="399"/>
      <c r="M429" s="340"/>
      <c r="N429" s="340"/>
      <c r="O429" s="341"/>
      <c r="P429" s="340"/>
      <c r="Q429" s="342"/>
      <c r="R429" s="362"/>
      <c r="S429" s="362"/>
      <c r="T429" s="362"/>
      <c r="U429" s="362"/>
      <c r="V429" s="362"/>
      <c r="W429" s="362"/>
      <c r="X429" s="559" t="s">
        <v>403</v>
      </c>
      <c r="Y429" s="575" t="s">
        <v>1395</v>
      </c>
      <c r="Z429" s="247" t="s">
        <v>290</v>
      </c>
      <c r="AA429" s="248"/>
      <c r="AB429" s="271"/>
      <c r="AC429" s="576"/>
      <c r="AD429" s="745">
        <f>AD430</f>
        <v>95431.599999999991</v>
      </c>
      <c r="AE429" s="479">
        <f>AE430</f>
        <v>89536</v>
      </c>
      <c r="AF429" s="479">
        <f>AF430</f>
        <v>89536</v>
      </c>
      <c r="AG429" s="647"/>
      <c r="AH429" s="647"/>
      <c r="AI429" s="456"/>
    </row>
    <row r="430" spans="1:35" s="370" customFormat="1"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0" t="s">
        <v>1403</v>
      </c>
      <c r="Y430" s="246" t="s">
        <v>1395</v>
      </c>
      <c r="Z430" s="235" t="s">
        <v>290</v>
      </c>
      <c r="AA430" s="235" t="s">
        <v>566</v>
      </c>
      <c r="AB430" s="249"/>
      <c r="AC430" s="577"/>
      <c r="AD430" s="292">
        <f>AD431+AD464+AD470</f>
        <v>95431.599999999991</v>
      </c>
      <c r="AE430" s="476">
        <f>AE431+AE464+AE470</f>
        <v>89536</v>
      </c>
      <c r="AF430" s="476">
        <f>AF431+AF464+AF470</f>
        <v>89536</v>
      </c>
      <c r="AG430" s="554"/>
      <c r="AH430" s="554"/>
      <c r="AI430" s="456"/>
    </row>
    <row r="431" spans="1:35" s="370" customFormat="1" x14ac:dyDescent="0.25">
      <c r="A431" s="311"/>
      <c r="B431" s="345"/>
      <c r="C431" s="346"/>
      <c r="D431" s="346"/>
      <c r="E431" s="347"/>
      <c r="F431" s="347"/>
      <c r="G431" s="348"/>
      <c r="H431" s="348"/>
      <c r="I431" s="348"/>
      <c r="J431" s="348"/>
      <c r="K431" s="348"/>
      <c r="L431" s="348"/>
      <c r="M431" s="348"/>
      <c r="N431" s="348"/>
      <c r="O431" s="359"/>
      <c r="P431" s="348"/>
      <c r="Q431" s="350"/>
      <c r="R431" s="354"/>
      <c r="S431" s="354"/>
      <c r="T431" s="354"/>
      <c r="U431" s="354"/>
      <c r="V431" s="354"/>
      <c r="W431" s="354"/>
      <c r="X431" s="521" t="s">
        <v>1999</v>
      </c>
      <c r="Y431" s="246" t="s">
        <v>1395</v>
      </c>
      <c r="Z431" s="235" t="s">
        <v>290</v>
      </c>
      <c r="AA431" s="235" t="s">
        <v>566</v>
      </c>
      <c r="AB431" s="443" t="s">
        <v>1775</v>
      </c>
      <c r="AC431" s="577"/>
      <c r="AD431" s="292">
        <f>AD432+AD437+AD445</f>
        <v>93413.9</v>
      </c>
      <c r="AE431" s="476">
        <f>AE432+AE437+AE445</f>
        <v>89536</v>
      </c>
      <c r="AF431" s="476">
        <f>AF432+AF437+AF445</f>
        <v>89536</v>
      </c>
      <c r="AG431" s="554"/>
      <c r="AH431" s="554"/>
      <c r="AI431" s="456"/>
    </row>
    <row r="432" spans="1:35" s="370" customFormat="1"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21" t="s">
        <v>2335</v>
      </c>
      <c r="Y432" s="246" t="s">
        <v>1395</v>
      </c>
      <c r="Z432" s="235" t="s">
        <v>290</v>
      </c>
      <c r="AA432" s="235" t="s">
        <v>566</v>
      </c>
      <c r="AB432" s="443" t="s">
        <v>2130</v>
      </c>
      <c r="AC432" s="577"/>
      <c r="AD432" s="292">
        <f t="shared" ref="AD432:AF433" si="98">AD433</f>
        <v>15732.5</v>
      </c>
      <c r="AE432" s="476">
        <f t="shared" si="98"/>
        <v>15732.5</v>
      </c>
      <c r="AF432" s="476">
        <f t="shared" si="98"/>
        <v>15732.5</v>
      </c>
      <c r="AG432" s="554"/>
      <c r="AH432" s="554"/>
      <c r="AI432" s="456"/>
    </row>
    <row r="433" spans="1:35" s="370" customFormat="1"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1" t="s">
        <v>2131</v>
      </c>
      <c r="Y433" s="246" t="s">
        <v>1395</v>
      </c>
      <c r="Z433" s="235" t="s">
        <v>290</v>
      </c>
      <c r="AA433" s="235" t="s">
        <v>566</v>
      </c>
      <c r="AB433" s="443" t="s">
        <v>2132</v>
      </c>
      <c r="AC433" s="577"/>
      <c r="AD433" s="292">
        <f t="shared" si="98"/>
        <v>15732.5</v>
      </c>
      <c r="AE433" s="476">
        <f t="shared" si="98"/>
        <v>15732.5</v>
      </c>
      <c r="AF433" s="476">
        <f t="shared" si="98"/>
        <v>15732.5</v>
      </c>
      <c r="AG433" s="554"/>
      <c r="AH433" s="554"/>
      <c r="AI433" s="456"/>
    </row>
    <row r="434" spans="1:35" s="370" customFormat="1" ht="31.5"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60" t="s">
        <v>2000</v>
      </c>
      <c r="Y434" s="246" t="s">
        <v>1395</v>
      </c>
      <c r="Z434" s="235" t="s">
        <v>290</v>
      </c>
      <c r="AA434" s="235" t="s">
        <v>566</v>
      </c>
      <c r="AB434" s="443" t="s">
        <v>2001</v>
      </c>
      <c r="AC434" s="577"/>
      <c r="AD434" s="292">
        <f t="shared" ref="AD434:AF435" si="99">AD435</f>
        <v>15732.5</v>
      </c>
      <c r="AE434" s="476">
        <f t="shared" si="99"/>
        <v>15732.5</v>
      </c>
      <c r="AF434" s="476">
        <f t="shared" si="99"/>
        <v>15732.5</v>
      </c>
      <c r="AG434" s="554"/>
      <c r="AH434" s="554"/>
      <c r="AI434" s="456"/>
    </row>
    <row r="435" spans="1:35" s="370" customFormat="1" ht="31.5"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0" t="s">
        <v>1343</v>
      </c>
      <c r="Y435" s="246" t="s">
        <v>1395</v>
      </c>
      <c r="Z435" s="235" t="s">
        <v>290</v>
      </c>
      <c r="AA435" s="235" t="s">
        <v>566</v>
      </c>
      <c r="AB435" s="443" t="s">
        <v>2001</v>
      </c>
      <c r="AC435" s="238">
        <v>600</v>
      </c>
      <c r="AD435" s="292">
        <f t="shared" si="99"/>
        <v>15732.5</v>
      </c>
      <c r="AE435" s="476">
        <f t="shared" si="99"/>
        <v>15732.5</v>
      </c>
      <c r="AF435" s="476">
        <f t="shared" si="99"/>
        <v>15732.5</v>
      </c>
      <c r="AG435" s="554"/>
      <c r="AH435" s="554"/>
      <c r="AI435" s="456"/>
    </row>
    <row r="436" spans="1:35" s="370" customFormat="1"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0" t="s">
        <v>1344</v>
      </c>
      <c r="Y436" s="246" t="s">
        <v>1395</v>
      </c>
      <c r="Z436" s="235" t="s">
        <v>290</v>
      </c>
      <c r="AA436" s="235" t="s">
        <v>566</v>
      </c>
      <c r="AB436" s="443" t="s">
        <v>2001</v>
      </c>
      <c r="AC436" s="238">
        <v>610</v>
      </c>
      <c r="AD436" s="746">
        <v>15732.5</v>
      </c>
      <c r="AE436" s="489">
        <v>15732.5</v>
      </c>
      <c r="AF436" s="489">
        <v>15732.5</v>
      </c>
      <c r="AG436" s="648"/>
      <c r="AH436" s="648"/>
      <c r="AI436" s="456"/>
    </row>
    <row r="437" spans="1:35" s="370" customFormat="1"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18" t="s">
        <v>2337</v>
      </c>
      <c r="Y437" s="246" t="s">
        <v>1395</v>
      </c>
      <c r="Z437" s="235" t="s">
        <v>290</v>
      </c>
      <c r="AA437" s="235" t="s">
        <v>566</v>
      </c>
      <c r="AB437" s="443" t="s">
        <v>1821</v>
      </c>
      <c r="AC437" s="588"/>
      <c r="AD437" s="746">
        <f>AD438</f>
        <v>23482.799999999999</v>
      </c>
      <c r="AE437" s="489">
        <f>AE438</f>
        <v>23482.799999999999</v>
      </c>
      <c r="AF437" s="489">
        <f>AF438</f>
        <v>23482.799999999999</v>
      </c>
      <c r="AG437" s="648"/>
      <c r="AH437" s="648"/>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1" t="s">
        <v>2002</v>
      </c>
      <c r="Y438" s="246" t="s">
        <v>1395</v>
      </c>
      <c r="Z438" s="235" t="s">
        <v>290</v>
      </c>
      <c r="AA438" s="235" t="s">
        <v>566</v>
      </c>
      <c r="AB438" s="443" t="s">
        <v>1822</v>
      </c>
      <c r="AC438" s="238"/>
      <c r="AD438" s="292">
        <f>AD439+AD442</f>
        <v>23482.799999999999</v>
      </c>
      <c r="AE438" s="476">
        <f>AE439+AE442</f>
        <v>23482.799999999999</v>
      </c>
      <c r="AF438" s="476">
        <f>AF439+AF442</f>
        <v>23482.799999999999</v>
      </c>
      <c r="AG438" s="554"/>
      <c r="AH438" s="554"/>
      <c r="AI438" s="456"/>
    </row>
    <row r="439" spans="1:35" s="370" customFormat="1" ht="31.5"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60" t="s">
        <v>2003</v>
      </c>
      <c r="Y439" s="246" t="s">
        <v>1395</v>
      </c>
      <c r="Z439" s="235" t="s">
        <v>290</v>
      </c>
      <c r="AA439" s="235" t="s">
        <v>566</v>
      </c>
      <c r="AB439" s="443" t="s">
        <v>2004</v>
      </c>
      <c r="AC439" s="238"/>
      <c r="AD439" s="292">
        <f t="shared" ref="AD439:AF440" si="100">AD440</f>
        <v>1000</v>
      </c>
      <c r="AE439" s="476">
        <f t="shared" si="100"/>
        <v>1000</v>
      </c>
      <c r="AF439" s="476">
        <f t="shared" si="100"/>
        <v>1000</v>
      </c>
      <c r="AG439" s="554"/>
      <c r="AH439" s="554"/>
      <c r="AI439" s="456"/>
    </row>
    <row r="440" spans="1:35" s="370" customFormat="1" ht="31.5"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0" t="s">
        <v>1343</v>
      </c>
      <c r="Y440" s="246" t="s">
        <v>1395</v>
      </c>
      <c r="Z440" s="235" t="s">
        <v>290</v>
      </c>
      <c r="AA440" s="235" t="s">
        <v>566</v>
      </c>
      <c r="AB440" s="443" t="s">
        <v>2004</v>
      </c>
      <c r="AC440" s="238">
        <v>600</v>
      </c>
      <c r="AD440" s="292">
        <f t="shared" si="100"/>
        <v>1000</v>
      </c>
      <c r="AE440" s="476">
        <f t="shared" si="100"/>
        <v>1000</v>
      </c>
      <c r="AF440" s="476">
        <f t="shared" si="100"/>
        <v>1000</v>
      </c>
      <c r="AG440" s="554"/>
      <c r="AH440" s="554"/>
      <c r="AI440" s="456"/>
    </row>
    <row r="441" spans="1:35" s="370" customFormat="1"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0" t="s">
        <v>1344</v>
      </c>
      <c r="Y441" s="246" t="s">
        <v>1395</v>
      </c>
      <c r="Z441" s="235" t="s">
        <v>290</v>
      </c>
      <c r="AA441" s="235" t="s">
        <v>566</v>
      </c>
      <c r="AB441" s="443" t="s">
        <v>2004</v>
      </c>
      <c r="AC441" s="238">
        <v>610</v>
      </c>
      <c r="AD441" s="292">
        <v>1000</v>
      </c>
      <c r="AE441" s="476">
        <v>1000</v>
      </c>
      <c r="AF441" s="476">
        <v>1000</v>
      </c>
      <c r="AG441" s="554"/>
      <c r="AH441" s="554"/>
      <c r="AI441" s="456"/>
    </row>
    <row r="442" spans="1:35" s="370" customFormat="1" ht="31.5"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0" t="s">
        <v>2005</v>
      </c>
      <c r="Y442" s="246" t="s">
        <v>1395</v>
      </c>
      <c r="Z442" s="235" t="s">
        <v>290</v>
      </c>
      <c r="AA442" s="235" t="s">
        <v>566</v>
      </c>
      <c r="AB442" s="443" t="s">
        <v>2006</v>
      </c>
      <c r="AC442" s="238"/>
      <c r="AD442" s="292">
        <f t="shared" ref="AD442:AF443" si="101">AD443</f>
        <v>22482.799999999999</v>
      </c>
      <c r="AE442" s="476">
        <f t="shared" si="101"/>
        <v>22482.799999999999</v>
      </c>
      <c r="AF442" s="476">
        <f t="shared" si="101"/>
        <v>22482.799999999999</v>
      </c>
      <c r="AG442" s="554"/>
      <c r="AH442" s="554"/>
      <c r="AI442" s="456"/>
    </row>
    <row r="443" spans="1:35" s="370" customFormat="1" ht="31.5"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20" t="s">
        <v>1343</v>
      </c>
      <c r="Y443" s="246" t="s">
        <v>1395</v>
      </c>
      <c r="Z443" s="235" t="s">
        <v>290</v>
      </c>
      <c r="AA443" s="235" t="s">
        <v>566</v>
      </c>
      <c r="AB443" s="443" t="s">
        <v>2006</v>
      </c>
      <c r="AC443" s="238">
        <v>600</v>
      </c>
      <c r="AD443" s="292">
        <f t="shared" si="101"/>
        <v>22482.799999999999</v>
      </c>
      <c r="AE443" s="476">
        <f t="shared" si="101"/>
        <v>22482.799999999999</v>
      </c>
      <c r="AF443" s="476">
        <f t="shared" si="101"/>
        <v>22482.799999999999</v>
      </c>
      <c r="AG443" s="554"/>
      <c r="AH443" s="554"/>
      <c r="AI443" s="456"/>
    </row>
    <row r="444" spans="1:35" s="370" customFormat="1"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0" t="s">
        <v>1344</v>
      </c>
      <c r="Y444" s="246" t="s">
        <v>1395</v>
      </c>
      <c r="Z444" s="235" t="s">
        <v>290</v>
      </c>
      <c r="AA444" s="235" t="s">
        <v>566</v>
      </c>
      <c r="AB444" s="443" t="s">
        <v>2006</v>
      </c>
      <c r="AC444" s="238">
        <v>610</v>
      </c>
      <c r="AD444" s="292">
        <v>22482.799999999999</v>
      </c>
      <c r="AE444" s="476">
        <v>22482.799999999999</v>
      </c>
      <c r="AF444" s="476">
        <v>22482.799999999999</v>
      </c>
      <c r="AG444" s="554"/>
      <c r="AH444" s="554"/>
      <c r="AI444" s="456"/>
    </row>
    <row r="445" spans="1:35" s="370" customFormat="1" ht="31.5"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21" t="s">
        <v>2341</v>
      </c>
      <c r="Y445" s="246" t="s">
        <v>1395</v>
      </c>
      <c r="Z445" s="235" t="s">
        <v>290</v>
      </c>
      <c r="AA445" s="235" t="s">
        <v>566</v>
      </c>
      <c r="AB445" s="443" t="s">
        <v>2007</v>
      </c>
      <c r="AC445" s="238"/>
      <c r="AD445" s="292">
        <f>AD446+AD456</f>
        <v>54198.6</v>
      </c>
      <c r="AE445" s="476">
        <f>AE446+AE456</f>
        <v>50320.7</v>
      </c>
      <c r="AF445" s="476">
        <f>AF446+AF456</f>
        <v>50320.7</v>
      </c>
      <c r="AG445" s="554"/>
      <c r="AH445" s="554"/>
      <c r="AI445" s="456"/>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1" t="s">
        <v>2342</v>
      </c>
      <c r="Y446" s="246" t="s">
        <v>1395</v>
      </c>
      <c r="Z446" s="235" t="s">
        <v>290</v>
      </c>
      <c r="AA446" s="235" t="s">
        <v>566</v>
      </c>
      <c r="AB446" s="443" t="s">
        <v>2008</v>
      </c>
      <c r="AC446" s="238"/>
      <c r="AD446" s="292">
        <f>AD447</f>
        <v>7513.0999999999995</v>
      </c>
      <c r="AE446" s="476">
        <f>AE447</f>
        <v>3635.2</v>
      </c>
      <c r="AF446" s="476">
        <f>AF447</f>
        <v>3635.2</v>
      </c>
      <c r="AG446" s="554"/>
      <c r="AH446" s="554"/>
      <c r="AI446" s="456"/>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60" t="s">
        <v>2009</v>
      </c>
      <c r="Y447" s="246" t="s">
        <v>1395</v>
      </c>
      <c r="Z447" s="235" t="s">
        <v>290</v>
      </c>
      <c r="AA447" s="235" t="s">
        <v>566</v>
      </c>
      <c r="AB447" s="443" t="s">
        <v>2010</v>
      </c>
      <c r="AC447" s="238"/>
      <c r="AD447" s="292">
        <f>AD448+AD453</f>
        <v>7513.0999999999995</v>
      </c>
      <c r="AE447" s="476">
        <f>AE448+AE453</f>
        <v>3635.2</v>
      </c>
      <c r="AF447" s="476">
        <f>AF448+AF453</f>
        <v>3635.2</v>
      </c>
      <c r="AG447" s="554"/>
      <c r="AH447" s="554"/>
      <c r="AI447" s="456"/>
    </row>
    <row r="448" spans="1:35" s="370" customFormat="1" ht="31.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20" t="s">
        <v>2011</v>
      </c>
      <c r="Y448" s="246" t="s">
        <v>1395</v>
      </c>
      <c r="Z448" s="235" t="s">
        <v>290</v>
      </c>
      <c r="AA448" s="235" t="s">
        <v>566</v>
      </c>
      <c r="AB448" s="443" t="s">
        <v>2012</v>
      </c>
      <c r="AC448" s="238"/>
      <c r="AD448" s="292">
        <f>AD451+AD449</f>
        <v>6567.9</v>
      </c>
      <c r="AE448" s="476">
        <f>AE451+AE449</f>
        <v>3200</v>
      </c>
      <c r="AF448" s="476">
        <f>AF451+AF449</f>
        <v>3200</v>
      </c>
      <c r="AG448" s="554"/>
      <c r="AH448" s="554"/>
      <c r="AI448" s="456"/>
    </row>
    <row r="449" spans="1:35" s="370" customFormat="1"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24" t="s">
        <v>1782</v>
      </c>
      <c r="Y449" s="246" t="s">
        <v>1395</v>
      </c>
      <c r="Z449" s="235" t="s">
        <v>290</v>
      </c>
      <c r="AA449" s="235" t="s">
        <v>566</v>
      </c>
      <c r="AB449" s="443" t="s">
        <v>2012</v>
      </c>
      <c r="AC449" s="238">
        <v>200</v>
      </c>
      <c r="AD449" s="292">
        <f>AD450</f>
        <v>1090.9000000000001</v>
      </c>
      <c r="AE449" s="476">
        <f>AE450</f>
        <v>500</v>
      </c>
      <c r="AF449" s="476">
        <f>AF450</f>
        <v>500</v>
      </c>
      <c r="AG449" s="554"/>
      <c r="AH449" s="554"/>
      <c r="AI449" s="456"/>
    </row>
    <row r="450" spans="1:35" s="370" customFormat="1" ht="31.5"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24" t="s">
        <v>1274</v>
      </c>
      <c r="Y450" s="246" t="s">
        <v>1395</v>
      </c>
      <c r="Z450" s="235" t="s">
        <v>290</v>
      </c>
      <c r="AA450" s="235" t="s">
        <v>566</v>
      </c>
      <c r="AB450" s="443" t="s">
        <v>2012</v>
      </c>
      <c r="AC450" s="238">
        <v>240</v>
      </c>
      <c r="AD450" s="292">
        <f>500+250+300+1500-1500+40.9</f>
        <v>1090.9000000000001</v>
      </c>
      <c r="AE450" s="476">
        <v>500</v>
      </c>
      <c r="AF450" s="476">
        <v>500</v>
      </c>
      <c r="AG450" s="554"/>
      <c r="AH450" s="554"/>
      <c r="AI450" s="456"/>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0" t="s">
        <v>1343</v>
      </c>
      <c r="Y451" s="246" t="s">
        <v>1395</v>
      </c>
      <c r="Z451" s="235" t="s">
        <v>290</v>
      </c>
      <c r="AA451" s="235" t="s">
        <v>566</v>
      </c>
      <c r="AB451" s="443" t="s">
        <v>2012</v>
      </c>
      <c r="AC451" s="238">
        <v>600</v>
      </c>
      <c r="AD451" s="292">
        <f>AD452</f>
        <v>5477</v>
      </c>
      <c r="AE451" s="476">
        <f>AE452</f>
        <v>2700</v>
      </c>
      <c r="AF451" s="476">
        <f>AF452</f>
        <v>2700</v>
      </c>
      <c r="AG451" s="554"/>
      <c r="AH451" s="554"/>
      <c r="AI451" s="456"/>
    </row>
    <row r="452" spans="1:35" s="370" customFormat="1"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0" t="s">
        <v>1344</v>
      </c>
      <c r="Y452" s="246" t="s">
        <v>1395</v>
      </c>
      <c r="Z452" s="235" t="s">
        <v>290</v>
      </c>
      <c r="AA452" s="235" t="s">
        <v>566</v>
      </c>
      <c r="AB452" s="443" t="s">
        <v>2012</v>
      </c>
      <c r="AC452" s="238">
        <v>610</v>
      </c>
      <c r="AD452" s="292">
        <f>2700-250+327+1500+600+600</f>
        <v>5477</v>
      </c>
      <c r="AE452" s="476">
        <v>2700</v>
      </c>
      <c r="AF452" s="476">
        <v>2700</v>
      </c>
      <c r="AG452" s="554"/>
      <c r="AH452" s="554"/>
      <c r="AI452" s="456"/>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20" t="s">
        <v>2013</v>
      </c>
      <c r="Y453" s="246" t="s">
        <v>1395</v>
      </c>
      <c r="Z453" s="235" t="s">
        <v>290</v>
      </c>
      <c r="AA453" s="235" t="s">
        <v>566</v>
      </c>
      <c r="AB453" s="443" t="s">
        <v>2014</v>
      </c>
      <c r="AC453" s="238"/>
      <c r="AD453" s="292">
        <f t="shared" ref="AD453:AF454" si="102">AD454</f>
        <v>945.2</v>
      </c>
      <c r="AE453" s="476">
        <f t="shared" si="102"/>
        <v>435.2</v>
      </c>
      <c r="AF453" s="476">
        <f t="shared" si="102"/>
        <v>435.2</v>
      </c>
      <c r="AG453" s="554"/>
      <c r="AH453" s="554"/>
      <c r="AI453" s="456"/>
    </row>
    <row r="454" spans="1:35" s="370" customFormat="1" ht="31.5"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0" t="s">
        <v>1343</v>
      </c>
      <c r="Y454" s="246" t="s">
        <v>1395</v>
      </c>
      <c r="Z454" s="235" t="s">
        <v>290</v>
      </c>
      <c r="AA454" s="235" t="s">
        <v>566</v>
      </c>
      <c r="AB454" s="443" t="s">
        <v>2014</v>
      </c>
      <c r="AC454" s="238">
        <v>600</v>
      </c>
      <c r="AD454" s="292">
        <f t="shared" si="102"/>
        <v>945.2</v>
      </c>
      <c r="AE454" s="476">
        <f t="shared" si="102"/>
        <v>435.2</v>
      </c>
      <c r="AF454" s="476">
        <f t="shared" si="102"/>
        <v>435.2</v>
      </c>
      <c r="AG454" s="554"/>
      <c r="AH454" s="554"/>
      <c r="AI454" s="456"/>
    </row>
    <row r="455" spans="1:35" s="370" customFormat="1"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0" t="s">
        <v>1344</v>
      </c>
      <c r="Y455" s="246" t="s">
        <v>1395</v>
      </c>
      <c r="Z455" s="235" t="s">
        <v>290</v>
      </c>
      <c r="AA455" s="235" t="s">
        <v>566</v>
      </c>
      <c r="AB455" s="443" t="s">
        <v>2014</v>
      </c>
      <c r="AC455" s="238">
        <v>610</v>
      </c>
      <c r="AD455" s="292">
        <f>435.2+510</f>
        <v>945.2</v>
      </c>
      <c r="AE455" s="476">
        <v>435.2</v>
      </c>
      <c r="AF455" s="476">
        <v>435.2</v>
      </c>
      <c r="AG455" s="554"/>
      <c r="AH455" s="554"/>
      <c r="AI455" s="456"/>
    </row>
    <row r="456" spans="1:35" s="370" customFormat="1"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21" t="s">
        <v>2252</v>
      </c>
      <c r="Y456" s="246" t="s">
        <v>1395</v>
      </c>
      <c r="Z456" s="235" t="s">
        <v>290</v>
      </c>
      <c r="AA456" s="235" t="s">
        <v>566</v>
      </c>
      <c r="AB456" s="443" t="s">
        <v>2251</v>
      </c>
      <c r="AC456" s="238"/>
      <c r="AD456" s="292">
        <f>AD457</f>
        <v>46685.5</v>
      </c>
      <c r="AE456" s="476">
        <f>AE457</f>
        <v>46685.5</v>
      </c>
      <c r="AF456" s="476">
        <f>AF457</f>
        <v>46685.5</v>
      </c>
      <c r="AG456" s="554"/>
      <c r="AH456" s="554"/>
      <c r="AI456" s="456"/>
    </row>
    <row r="457" spans="1:35" s="370" customFormat="1" ht="31.5"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22" t="s">
        <v>2253</v>
      </c>
      <c r="Y457" s="246" t="s">
        <v>1395</v>
      </c>
      <c r="Z457" s="235" t="s">
        <v>290</v>
      </c>
      <c r="AA457" s="235" t="s">
        <v>566</v>
      </c>
      <c r="AB457" s="443" t="s">
        <v>2254</v>
      </c>
      <c r="AC457" s="238"/>
      <c r="AD457" s="292">
        <f>AD458+AD461</f>
        <v>46685.5</v>
      </c>
      <c r="AE457" s="476">
        <f>AE458+AE461</f>
        <v>46685.5</v>
      </c>
      <c r="AF457" s="476">
        <f>AF458+AF461</f>
        <v>46685.5</v>
      </c>
      <c r="AG457" s="554"/>
      <c r="AH457" s="554"/>
      <c r="AI457" s="456"/>
    </row>
    <row r="458" spans="1:35" s="370" customFormat="1" ht="47.25"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42" t="s">
        <v>2293</v>
      </c>
      <c r="Y458" s="246" t="s">
        <v>1395</v>
      </c>
      <c r="Z458" s="235" t="s">
        <v>290</v>
      </c>
      <c r="AA458" s="235" t="s">
        <v>566</v>
      </c>
      <c r="AB458" s="443" t="s">
        <v>2294</v>
      </c>
      <c r="AC458" s="238"/>
      <c r="AD458" s="292">
        <f t="shared" ref="AD458:AF459" si="103">AD459</f>
        <v>25630.3</v>
      </c>
      <c r="AE458" s="476">
        <f t="shared" si="103"/>
        <v>25630.3</v>
      </c>
      <c r="AF458" s="476">
        <f t="shared" si="103"/>
        <v>25630.3</v>
      </c>
      <c r="AG458" s="554"/>
      <c r="AH458" s="554"/>
      <c r="AI458" s="456"/>
    </row>
    <row r="459" spans="1:35" s="370" customFormat="1" ht="31.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20" t="s">
        <v>1343</v>
      </c>
      <c r="Y459" s="246" t="s">
        <v>1395</v>
      </c>
      <c r="Z459" s="235" t="s">
        <v>290</v>
      </c>
      <c r="AA459" s="235" t="s">
        <v>566</v>
      </c>
      <c r="AB459" s="443" t="s">
        <v>2294</v>
      </c>
      <c r="AC459" s="238">
        <v>600</v>
      </c>
      <c r="AD459" s="292">
        <f t="shared" si="103"/>
        <v>25630.3</v>
      </c>
      <c r="AE459" s="476">
        <f t="shared" si="103"/>
        <v>25630.3</v>
      </c>
      <c r="AF459" s="476">
        <f t="shared" si="103"/>
        <v>25630.3</v>
      </c>
      <c r="AG459" s="554"/>
      <c r="AH459" s="554"/>
      <c r="AI459" s="456"/>
    </row>
    <row r="460" spans="1:35" s="370" customFormat="1"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20" t="s">
        <v>1344</v>
      </c>
      <c r="Y460" s="246" t="s">
        <v>1395</v>
      </c>
      <c r="Z460" s="235" t="s">
        <v>290</v>
      </c>
      <c r="AA460" s="235" t="s">
        <v>566</v>
      </c>
      <c r="AB460" s="443" t="s">
        <v>2294</v>
      </c>
      <c r="AC460" s="238">
        <v>610</v>
      </c>
      <c r="AD460" s="292">
        <v>25630.3</v>
      </c>
      <c r="AE460" s="476">
        <v>25630.3</v>
      </c>
      <c r="AF460" s="476">
        <v>25630.3</v>
      </c>
      <c r="AG460" s="554"/>
      <c r="AH460" s="554"/>
      <c r="AI460" s="456"/>
    </row>
    <row r="461" spans="1:35" s="370" customFormat="1" ht="47.25"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42" t="s">
        <v>2295</v>
      </c>
      <c r="Y461" s="246" t="s">
        <v>1395</v>
      </c>
      <c r="Z461" s="235" t="s">
        <v>290</v>
      </c>
      <c r="AA461" s="235" t="s">
        <v>566</v>
      </c>
      <c r="AB461" s="443" t="s">
        <v>2296</v>
      </c>
      <c r="AC461" s="238"/>
      <c r="AD461" s="292">
        <f t="shared" ref="AD461:AF462" si="104">AD462</f>
        <v>21055.200000000001</v>
      </c>
      <c r="AE461" s="476">
        <f t="shared" si="104"/>
        <v>21055.200000000001</v>
      </c>
      <c r="AF461" s="476">
        <f t="shared" si="104"/>
        <v>21055.200000000001</v>
      </c>
      <c r="AG461" s="554"/>
      <c r="AH461" s="554"/>
      <c r="AI461" s="456"/>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0" t="s">
        <v>1343</v>
      </c>
      <c r="Y462" s="246" t="s">
        <v>1395</v>
      </c>
      <c r="Z462" s="235" t="s">
        <v>290</v>
      </c>
      <c r="AA462" s="235" t="s">
        <v>566</v>
      </c>
      <c r="AB462" s="443" t="s">
        <v>2296</v>
      </c>
      <c r="AC462" s="238">
        <v>600</v>
      </c>
      <c r="AD462" s="292">
        <f t="shared" si="104"/>
        <v>21055.200000000001</v>
      </c>
      <c r="AE462" s="476">
        <f t="shared" si="104"/>
        <v>21055.200000000001</v>
      </c>
      <c r="AF462" s="476">
        <f t="shared" si="104"/>
        <v>21055.200000000001</v>
      </c>
      <c r="AG462" s="554"/>
      <c r="AH462" s="554"/>
      <c r="AI462" s="456"/>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20" t="s">
        <v>1344</v>
      </c>
      <c r="Y463" s="246" t="s">
        <v>1395</v>
      </c>
      <c r="Z463" s="235" t="s">
        <v>290</v>
      </c>
      <c r="AA463" s="235" t="s">
        <v>566</v>
      </c>
      <c r="AB463" s="443" t="s">
        <v>2296</v>
      </c>
      <c r="AC463" s="238">
        <v>610</v>
      </c>
      <c r="AD463" s="292">
        <v>21055.200000000001</v>
      </c>
      <c r="AE463" s="476">
        <v>21055.200000000001</v>
      </c>
      <c r="AF463" s="476">
        <v>21055.200000000001</v>
      </c>
      <c r="AG463" s="554"/>
      <c r="AH463" s="554"/>
      <c r="AI463" s="456"/>
    </row>
    <row r="464" spans="1:35" s="370" customFormat="1"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49" t="s">
        <v>2075</v>
      </c>
      <c r="Y464" s="246" t="s">
        <v>1395</v>
      </c>
      <c r="Z464" s="235" t="s">
        <v>290</v>
      </c>
      <c r="AA464" s="235" t="s">
        <v>566</v>
      </c>
      <c r="AB464" s="443" t="s">
        <v>1769</v>
      </c>
      <c r="AC464" s="238"/>
      <c r="AD464" s="292">
        <f>AD465</f>
        <v>854</v>
      </c>
      <c r="AE464" s="476">
        <v>0</v>
      </c>
      <c r="AF464" s="476">
        <v>0</v>
      </c>
      <c r="AG464" s="554"/>
      <c r="AH464" s="554"/>
      <c r="AI464" s="456"/>
    </row>
    <row r="465" spans="1:35" s="370" customFormat="1"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20" t="s">
        <v>2222</v>
      </c>
      <c r="Y465" s="246" t="s">
        <v>1395</v>
      </c>
      <c r="Z465" s="235" t="s">
        <v>290</v>
      </c>
      <c r="AA465" s="235" t="s">
        <v>566</v>
      </c>
      <c r="AB465" s="443" t="s">
        <v>1770</v>
      </c>
      <c r="AC465" s="238"/>
      <c r="AD465" s="292">
        <f>AD466</f>
        <v>854</v>
      </c>
      <c r="AE465" s="476">
        <v>0</v>
      </c>
      <c r="AF465" s="476">
        <v>0</v>
      </c>
      <c r="AG465" s="554"/>
      <c r="AH465" s="554"/>
      <c r="AI465" s="456"/>
    </row>
    <row r="466" spans="1:35" s="370" customFormat="1" ht="31.5"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6" t="s">
        <v>2261</v>
      </c>
      <c r="Y466" s="246" t="s">
        <v>1395</v>
      </c>
      <c r="Z466" s="235" t="s">
        <v>290</v>
      </c>
      <c r="AA466" s="235" t="s">
        <v>566</v>
      </c>
      <c r="AB466" s="443" t="s">
        <v>2103</v>
      </c>
      <c r="AC466" s="238"/>
      <c r="AD466" s="292">
        <f>AD467</f>
        <v>854</v>
      </c>
      <c r="AE466" s="476">
        <v>0</v>
      </c>
      <c r="AF466" s="476">
        <v>0</v>
      </c>
      <c r="AG466" s="554"/>
      <c r="AH466" s="554"/>
      <c r="AI466" s="456"/>
    </row>
    <row r="467" spans="1:35" s="370" customFormat="1" ht="47.2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20" t="s">
        <v>2262</v>
      </c>
      <c r="Y467" s="246" t="s">
        <v>1395</v>
      </c>
      <c r="Z467" s="235" t="s">
        <v>290</v>
      </c>
      <c r="AA467" s="235" t="s">
        <v>566</v>
      </c>
      <c r="AB467" s="443" t="s">
        <v>2223</v>
      </c>
      <c r="AC467" s="238"/>
      <c r="AD467" s="292">
        <f>AD468</f>
        <v>854</v>
      </c>
      <c r="AE467" s="476">
        <v>0</v>
      </c>
      <c r="AF467" s="476">
        <v>0</v>
      </c>
      <c r="AG467" s="554"/>
      <c r="AH467" s="554"/>
      <c r="AI467" s="456"/>
    </row>
    <row r="468" spans="1:35" s="370" customFormat="1" ht="31.5"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20" t="s">
        <v>1343</v>
      </c>
      <c r="Y468" s="246" t="s">
        <v>1395</v>
      </c>
      <c r="Z468" s="235" t="s">
        <v>290</v>
      </c>
      <c r="AA468" s="235" t="s">
        <v>566</v>
      </c>
      <c r="AB468" s="443" t="s">
        <v>2223</v>
      </c>
      <c r="AC468" s="238">
        <v>600</v>
      </c>
      <c r="AD468" s="292">
        <f>AD469</f>
        <v>854</v>
      </c>
      <c r="AE468" s="476">
        <v>0</v>
      </c>
      <c r="AF468" s="476">
        <v>0</v>
      </c>
      <c r="AG468" s="554"/>
      <c r="AH468" s="554"/>
      <c r="AI468" s="456"/>
    </row>
    <row r="469" spans="1:35" s="370" customFormat="1"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20" t="s">
        <v>1344</v>
      </c>
      <c r="Y469" s="246" t="s">
        <v>1395</v>
      </c>
      <c r="Z469" s="235" t="s">
        <v>290</v>
      </c>
      <c r="AA469" s="235" t="s">
        <v>566</v>
      </c>
      <c r="AB469" s="443" t="s">
        <v>2223</v>
      </c>
      <c r="AC469" s="238">
        <v>610</v>
      </c>
      <c r="AD469" s="292">
        <f>597.8+256.2</f>
        <v>854</v>
      </c>
      <c r="AE469" s="476">
        <v>0</v>
      </c>
      <c r="AF469" s="476">
        <v>0</v>
      </c>
      <c r="AG469" s="554"/>
      <c r="AH469" s="554"/>
      <c r="AI469" s="456"/>
    </row>
    <row r="470" spans="1:35" s="370" customFormat="1" ht="31.5"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49" t="s">
        <v>1854</v>
      </c>
      <c r="Y470" s="246" t="s">
        <v>1395</v>
      </c>
      <c r="Z470" s="235" t="s">
        <v>290</v>
      </c>
      <c r="AA470" s="235" t="s">
        <v>566</v>
      </c>
      <c r="AB470" s="468" t="s">
        <v>1762</v>
      </c>
      <c r="AC470" s="238"/>
      <c r="AD470" s="292">
        <f>AD477+AD471</f>
        <v>1163.7</v>
      </c>
      <c r="AE470" s="292">
        <f t="shared" ref="AE470:AF470" si="105">AE477+AE471</f>
        <v>0</v>
      </c>
      <c r="AF470" s="292">
        <f t="shared" si="105"/>
        <v>0</v>
      </c>
      <c r="AG470" s="554"/>
      <c r="AH470" s="554"/>
      <c r="AI470" s="456"/>
    </row>
    <row r="471" spans="1:35" s="370" customFormat="1"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49" t="s">
        <v>1855</v>
      </c>
      <c r="Y471" s="246" t="s">
        <v>1395</v>
      </c>
      <c r="Z471" s="235" t="s">
        <v>290</v>
      </c>
      <c r="AA471" s="235" t="s">
        <v>566</v>
      </c>
      <c r="AB471" s="249" t="s">
        <v>1766</v>
      </c>
      <c r="AC471" s="580"/>
      <c r="AD471" s="292">
        <f>AD472</f>
        <v>129</v>
      </c>
      <c r="AE471" s="292">
        <f t="shared" ref="AE471:AF471" si="106">AE472</f>
        <v>0</v>
      </c>
      <c r="AF471" s="292">
        <f t="shared" si="106"/>
        <v>0</v>
      </c>
      <c r="AG471" s="554"/>
      <c r="AH471" s="554"/>
      <c r="AI471" s="456"/>
    </row>
    <row r="472" spans="1:35" s="370" customFormat="1" ht="47.25"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15" t="s">
        <v>2255</v>
      </c>
      <c r="Y472" s="246" t="s">
        <v>1395</v>
      </c>
      <c r="Z472" s="235" t="s">
        <v>290</v>
      </c>
      <c r="AA472" s="235" t="s">
        <v>566</v>
      </c>
      <c r="AB472" s="443" t="s">
        <v>1786</v>
      </c>
      <c r="AC472" s="580"/>
      <c r="AD472" s="292">
        <f>AD473</f>
        <v>129</v>
      </c>
      <c r="AE472" s="292">
        <f t="shared" ref="AE472:AF472" si="107">AE473</f>
        <v>0</v>
      </c>
      <c r="AF472" s="292">
        <f t="shared" si="107"/>
        <v>0</v>
      </c>
      <c r="AG472" s="554"/>
      <c r="AH472" s="554"/>
      <c r="AI472" s="456"/>
    </row>
    <row r="473" spans="1:35" s="370" customFormat="1" ht="47.25"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49" t="s">
        <v>1856</v>
      </c>
      <c r="Y473" s="246" t="s">
        <v>1395</v>
      </c>
      <c r="Z473" s="235" t="s">
        <v>290</v>
      </c>
      <c r="AA473" s="235" t="s">
        <v>566</v>
      </c>
      <c r="AB473" s="443" t="s">
        <v>1857</v>
      </c>
      <c r="AC473" s="580"/>
      <c r="AD473" s="292">
        <f>AD474</f>
        <v>129</v>
      </c>
      <c r="AE473" s="292">
        <f t="shared" ref="AE473:AF473" si="108">AE474</f>
        <v>0</v>
      </c>
      <c r="AF473" s="292">
        <f t="shared" si="108"/>
        <v>0</v>
      </c>
      <c r="AG473" s="554"/>
      <c r="AH473" s="554"/>
      <c r="AI473" s="456"/>
    </row>
    <row r="474" spans="1:35" s="370" customFormat="1" ht="63" x14ac:dyDescent="0.25">
      <c r="A474" s="311"/>
      <c r="B474" s="345"/>
      <c r="C474" s="346"/>
      <c r="D474" s="346"/>
      <c r="E474" s="347"/>
      <c r="F474" s="347"/>
      <c r="G474" s="348"/>
      <c r="H474" s="348"/>
      <c r="I474" s="348"/>
      <c r="J474" s="348"/>
      <c r="K474" s="348"/>
      <c r="L474" s="340"/>
      <c r="M474" s="348"/>
      <c r="N474" s="340"/>
      <c r="O474" s="359"/>
      <c r="P474" s="348"/>
      <c r="Q474" s="350"/>
      <c r="R474" s="354"/>
      <c r="S474" s="354"/>
      <c r="T474" s="354"/>
      <c r="U474" s="354"/>
      <c r="V474" s="354"/>
      <c r="W474" s="354"/>
      <c r="X474" s="525" t="s">
        <v>2250</v>
      </c>
      <c r="Y474" s="246" t="s">
        <v>1395</v>
      </c>
      <c r="Z474" s="235" t="s">
        <v>290</v>
      </c>
      <c r="AA474" s="235" t="s">
        <v>566</v>
      </c>
      <c r="AB474" s="443" t="s">
        <v>1858</v>
      </c>
      <c r="AC474" s="580"/>
      <c r="AD474" s="292">
        <f>AD475</f>
        <v>129</v>
      </c>
      <c r="AE474" s="292">
        <f t="shared" ref="AE474:AF474" si="109">AE475</f>
        <v>0</v>
      </c>
      <c r="AF474" s="292">
        <f t="shared" si="109"/>
        <v>0</v>
      </c>
      <c r="AG474" s="554"/>
      <c r="AH474" s="554"/>
      <c r="AI474" s="456"/>
    </row>
    <row r="475" spans="1:35" s="370" customFormat="1" ht="31.5" x14ac:dyDescent="0.25">
      <c r="A475" s="311"/>
      <c r="B475" s="345"/>
      <c r="C475" s="346"/>
      <c r="D475" s="346"/>
      <c r="E475" s="347"/>
      <c r="F475" s="347"/>
      <c r="G475" s="348"/>
      <c r="H475" s="348"/>
      <c r="I475" s="348"/>
      <c r="J475" s="348"/>
      <c r="K475" s="348"/>
      <c r="L475" s="340"/>
      <c r="M475" s="348"/>
      <c r="N475" s="340"/>
      <c r="O475" s="359"/>
      <c r="P475" s="348"/>
      <c r="Q475" s="350"/>
      <c r="R475" s="354"/>
      <c r="S475" s="354"/>
      <c r="T475" s="354"/>
      <c r="U475" s="354"/>
      <c r="V475" s="354"/>
      <c r="W475" s="354"/>
      <c r="X475" s="520" t="s">
        <v>1343</v>
      </c>
      <c r="Y475" s="246" t="s">
        <v>1395</v>
      </c>
      <c r="Z475" s="235" t="s">
        <v>290</v>
      </c>
      <c r="AA475" s="235" t="s">
        <v>566</v>
      </c>
      <c r="AB475" s="443" t="s">
        <v>1858</v>
      </c>
      <c r="AC475" s="238">
        <v>600</v>
      </c>
      <c r="AD475" s="292">
        <f>AD476</f>
        <v>129</v>
      </c>
      <c r="AE475" s="292">
        <f t="shared" ref="AE475:AF475" si="110">AE476</f>
        <v>0</v>
      </c>
      <c r="AF475" s="292">
        <f t="shared" si="110"/>
        <v>0</v>
      </c>
      <c r="AG475" s="554"/>
      <c r="AH475" s="554"/>
      <c r="AI475" s="456"/>
    </row>
    <row r="476" spans="1:35" s="370" customFormat="1" x14ac:dyDescent="0.25">
      <c r="A476" s="311"/>
      <c r="B476" s="345"/>
      <c r="C476" s="346"/>
      <c r="D476" s="346"/>
      <c r="E476" s="347"/>
      <c r="F476" s="347"/>
      <c r="G476" s="348"/>
      <c r="H476" s="348"/>
      <c r="I476" s="348"/>
      <c r="J476" s="348"/>
      <c r="K476" s="348"/>
      <c r="L476" s="340"/>
      <c r="M476" s="348"/>
      <c r="N476" s="340"/>
      <c r="O476" s="359"/>
      <c r="P476" s="348"/>
      <c r="Q476" s="350"/>
      <c r="R476" s="354"/>
      <c r="S476" s="354"/>
      <c r="T476" s="354"/>
      <c r="U476" s="354"/>
      <c r="V476" s="354"/>
      <c r="W476" s="354"/>
      <c r="X476" s="520" t="s">
        <v>1344</v>
      </c>
      <c r="Y476" s="246" t="s">
        <v>1395</v>
      </c>
      <c r="Z476" s="235" t="s">
        <v>290</v>
      </c>
      <c r="AA476" s="235" t="s">
        <v>566</v>
      </c>
      <c r="AB476" s="443" t="s">
        <v>1858</v>
      </c>
      <c r="AC476" s="238">
        <v>610</v>
      </c>
      <c r="AD476" s="292">
        <v>129</v>
      </c>
      <c r="AE476" s="476">
        <v>0</v>
      </c>
      <c r="AF476" s="476">
        <v>0</v>
      </c>
      <c r="AG476" s="554"/>
      <c r="AH476" s="554"/>
      <c r="AI476" s="456"/>
    </row>
    <row r="477" spans="1:35" s="370" customFormat="1" ht="31.5" x14ac:dyDescent="0.25">
      <c r="A477" s="311"/>
      <c r="B477" s="345"/>
      <c r="C477" s="346"/>
      <c r="D477" s="346"/>
      <c r="E477" s="347"/>
      <c r="F477" s="347"/>
      <c r="G477" s="348"/>
      <c r="H477" s="348"/>
      <c r="I477" s="348"/>
      <c r="J477" s="348"/>
      <c r="K477" s="348"/>
      <c r="L477" s="340"/>
      <c r="M477" s="348"/>
      <c r="N477" s="340"/>
      <c r="O477" s="359"/>
      <c r="P477" s="348"/>
      <c r="Q477" s="350"/>
      <c r="R477" s="354"/>
      <c r="S477" s="354"/>
      <c r="T477" s="354"/>
      <c r="U477" s="354"/>
      <c r="V477" s="354"/>
      <c r="W477" s="354"/>
      <c r="X477" s="549" t="s">
        <v>2277</v>
      </c>
      <c r="Y477" s="246" t="s">
        <v>1395</v>
      </c>
      <c r="Z477" s="235" t="s">
        <v>290</v>
      </c>
      <c r="AA477" s="235" t="s">
        <v>566</v>
      </c>
      <c r="AB477" s="468" t="s">
        <v>1764</v>
      </c>
      <c r="AC477" s="238"/>
      <c r="AD477" s="292">
        <f>AD478</f>
        <v>1034.7</v>
      </c>
      <c r="AE477" s="476">
        <f t="shared" ref="AE477:AF480" si="111">AE478</f>
        <v>0</v>
      </c>
      <c r="AF477" s="476">
        <f t="shared" si="111"/>
        <v>0</v>
      </c>
      <c r="AG477" s="554"/>
      <c r="AH477" s="554"/>
      <c r="AI477" s="456"/>
    </row>
    <row r="478" spans="1:35" s="370" customFormat="1" x14ac:dyDescent="0.25">
      <c r="A478" s="311"/>
      <c r="B478" s="345"/>
      <c r="C478" s="346"/>
      <c r="D478" s="346"/>
      <c r="E478" s="347"/>
      <c r="F478" s="347"/>
      <c r="G478" s="348"/>
      <c r="H478" s="348"/>
      <c r="I478" s="348"/>
      <c r="J478" s="348"/>
      <c r="K478" s="348"/>
      <c r="L478" s="340"/>
      <c r="M478" s="348"/>
      <c r="N478" s="340"/>
      <c r="O478" s="359"/>
      <c r="P478" s="348"/>
      <c r="Q478" s="350"/>
      <c r="R478" s="354"/>
      <c r="S478" s="354"/>
      <c r="T478" s="354"/>
      <c r="U478" s="354"/>
      <c r="V478" s="354"/>
      <c r="W478" s="354"/>
      <c r="X478" s="530" t="s">
        <v>1881</v>
      </c>
      <c r="Y478" s="246" t="s">
        <v>1395</v>
      </c>
      <c r="Z478" s="235" t="s">
        <v>290</v>
      </c>
      <c r="AA478" s="235" t="s">
        <v>566</v>
      </c>
      <c r="AB478" s="468" t="s">
        <v>1790</v>
      </c>
      <c r="AC478" s="238"/>
      <c r="AD478" s="292">
        <f>AD479</f>
        <v>1034.7</v>
      </c>
      <c r="AE478" s="476">
        <f t="shared" si="111"/>
        <v>0</v>
      </c>
      <c r="AF478" s="476">
        <f t="shared" si="111"/>
        <v>0</v>
      </c>
      <c r="AG478" s="554"/>
      <c r="AH478" s="554"/>
      <c r="AI478" s="456"/>
    </row>
    <row r="479" spans="1:35" s="370" customFormat="1" x14ac:dyDescent="0.25">
      <c r="A479" s="311"/>
      <c r="B479" s="345"/>
      <c r="C479" s="346"/>
      <c r="D479" s="346"/>
      <c r="E479" s="347"/>
      <c r="F479" s="347"/>
      <c r="G479" s="348"/>
      <c r="H479" s="348"/>
      <c r="I479" s="348"/>
      <c r="J479" s="348"/>
      <c r="K479" s="348"/>
      <c r="L479" s="340"/>
      <c r="M479" s="348"/>
      <c r="N479" s="340"/>
      <c r="O479" s="359"/>
      <c r="P479" s="348"/>
      <c r="Q479" s="350"/>
      <c r="R479" s="354"/>
      <c r="S479" s="354"/>
      <c r="T479" s="354"/>
      <c r="U479" s="354"/>
      <c r="V479" s="354"/>
      <c r="W479" s="354"/>
      <c r="X479" s="520" t="s">
        <v>1877</v>
      </c>
      <c r="Y479" s="246" t="s">
        <v>1395</v>
      </c>
      <c r="Z479" s="235" t="s">
        <v>290</v>
      </c>
      <c r="AA479" s="235" t="s">
        <v>566</v>
      </c>
      <c r="AB479" s="468" t="s">
        <v>1878</v>
      </c>
      <c r="AC479" s="238"/>
      <c r="AD479" s="292">
        <f>AD480</f>
        <v>1034.7</v>
      </c>
      <c r="AE479" s="476">
        <f t="shared" si="111"/>
        <v>0</v>
      </c>
      <c r="AF479" s="476">
        <f t="shared" si="111"/>
        <v>0</v>
      </c>
      <c r="AG479" s="554"/>
      <c r="AH479" s="554"/>
      <c r="AI479" s="456"/>
    </row>
    <row r="480" spans="1:35" s="370" customFormat="1" ht="31.5" x14ac:dyDescent="0.25">
      <c r="A480" s="311"/>
      <c r="B480" s="345"/>
      <c r="C480" s="346"/>
      <c r="D480" s="346"/>
      <c r="E480" s="347"/>
      <c r="F480" s="347"/>
      <c r="G480" s="348"/>
      <c r="H480" s="348"/>
      <c r="I480" s="348"/>
      <c r="J480" s="348"/>
      <c r="K480" s="348"/>
      <c r="L480" s="340"/>
      <c r="M480" s="348"/>
      <c r="N480" s="340"/>
      <c r="O480" s="359"/>
      <c r="P480" s="348"/>
      <c r="Q480" s="350"/>
      <c r="R480" s="354"/>
      <c r="S480" s="354"/>
      <c r="T480" s="354"/>
      <c r="U480" s="354"/>
      <c r="V480" s="354"/>
      <c r="W480" s="354"/>
      <c r="X480" s="520" t="s">
        <v>1343</v>
      </c>
      <c r="Y480" s="246" t="s">
        <v>1395</v>
      </c>
      <c r="Z480" s="235" t="s">
        <v>290</v>
      </c>
      <c r="AA480" s="235" t="s">
        <v>566</v>
      </c>
      <c r="AB480" s="468" t="s">
        <v>1878</v>
      </c>
      <c r="AC480" s="238">
        <v>600</v>
      </c>
      <c r="AD480" s="292">
        <f>AD481</f>
        <v>1034.7</v>
      </c>
      <c r="AE480" s="476">
        <f t="shared" si="111"/>
        <v>0</v>
      </c>
      <c r="AF480" s="476">
        <f t="shared" si="111"/>
        <v>0</v>
      </c>
      <c r="AG480" s="554"/>
      <c r="AH480" s="554"/>
      <c r="AI480" s="456"/>
    </row>
    <row r="481" spans="1:35" s="370" customFormat="1" x14ac:dyDescent="0.25">
      <c r="A481" s="311"/>
      <c r="B481" s="345"/>
      <c r="C481" s="346"/>
      <c r="D481" s="346"/>
      <c r="E481" s="347"/>
      <c r="F481" s="347"/>
      <c r="G481" s="348"/>
      <c r="H481" s="348"/>
      <c r="I481" s="348"/>
      <c r="J481" s="348"/>
      <c r="K481" s="348"/>
      <c r="L481" s="340"/>
      <c r="M481" s="348"/>
      <c r="N481" s="340"/>
      <c r="O481" s="359"/>
      <c r="P481" s="348"/>
      <c r="Q481" s="350"/>
      <c r="R481" s="354"/>
      <c r="S481" s="354"/>
      <c r="T481" s="354"/>
      <c r="U481" s="354"/>
      <c r="V481" s="354"/>
      <c r="W481" s="354"/>
      <c r="X481" s="520" t="s">
        <v>1344</v>
      </c>
      <c r="Y481" s="246" t="s">
        <v>1395</v>
      </c>
      <c r="Z481" s="235" t="s">
        <v>290</v>
      </c>
      <c r="AA481" s="235" t="s">
        <v>566</v>
      </c>
      <c r="AB481" s="468" t="s">
        <v>1878</v>
      </c>
      <c r="AC481" s="238">
        <v>610</v>
      </c>
      <c r="AD481" s="292">
        <f>654.7+30+175+175</f>
        <v>1034.7</v>
      </c>
      <c r="AE481" s="476">
        <v>0</v>
      </c>
      <c r="AF481" s="476">
        <v>0</v>
      </c>
      <c r="AG481" s="554"/>
      <c r="AH481" s="554"/>
      <c r="AI481" s="456"/>
    </row>
    <row r="482" spans="1:35" s="370" customFormat="1" x14ac:dyDescent="0.25">
      <c r="A482" s="357"/>
      <c r="B482" s="312"/>
      <c r="C482" s="346"/>
      <c r="D482" s="346"/>
      <c r="E482" s="347"/>
      <c r="F482" s="346"/>
      <c r="G482" s="348"/>
      <c r="H482" s="372"/>
      <c r="I482" s="313"/>
      <c r="J482" s="313"/>
      <c r="K482" s="313"/>
      <c r="L482" s="340"/>
      <c r="M482" s="313"/>
      <c r="N482" s="340"/>
      <c r="O482" s="349"/>
      <c r="P482" s="348"/>
      <c r="Q482" s="350"/>
      <c r="R482" s="354"/>
      <c r="S482" s="354"/>
      <c r="T482" s="354"/>
      <c r="U482" s="354"/>
      <c r="V482" s="354"/>
      <c r="W482" s="372"/>
      <c r="X482" s="559" t="s">
        <v>759</v>
      </c>
      <c r="Y482" s="593" t="s">
        <v>1395</v>
      </c>
      <c r="Z482" s="263" t="s">
        <v>406</v>
      </c>
      <c r="AA482" s="235"/>
      <c r="AB482" s="249"/>
      <c r="AC482" s="238"/>
      <c r="AD482" s="745">
        <f t="shared" ref="AD482:AF483" si="112">AD483</f>
        <v>4880</v>
      </c>
      <c r="AE482" s="479">
        <f t="shared" si="112"/>
        <v>3780</v>
      </c>
      <c r="AF482" s="479">
        <f t="shared" si="112"/>
        <v>3780</v>
      </c>
      <c r="AG482" s="647"/>
      <c r="AH482" s="647"/>
      <c r="AI482" s="456"/>
    </row>
    <row r="483" spans="1:35" s="370" customFormat="1" x14ac:dyDescent="0.25">
      <c r="A483" s="357"/>
      <c r="B483" s="312"/>
      <c r="C483" s="346"/>
      <c r="D483" s="346"/>
      <c r="E483" s="347"/>
      <c r="F483" s="346"/>
      <c r="G483" s="348"/>
      <c r="H483" s="372"/>
      <c r="I483" s="313"/>
      <c r="J483" s="313"/>
      <c r="K483" s="313"/>
      <c r="L483" s="340"/>
      <c r="M483" s="313"/>
      <c r="N483" s="340"/>
      <c r="O483" s="349"/>
      <c r="P483" s="348"/>
      <c r="Q483" s="350"/>
      <c r="R483" s="354"/>
      <c r="S483" s="354"/>
      <c r="T483" s="354"/>
      <c r="U483" s="354"/>
      <c r="V483" s="354"/>
      <c r="W483" s="372"/>
      <c r="X483" s="520" t="s">
        <v>1804</v>
      </c>
      <c r="Y483" s="592" t="s">
        <v>1395</v>
      </c>
      <c r="Z483" s="255" t="s">
        <v>406</v>
      </c>
      <c r="AA483" s="235" t="s">
        <v>406</v>
      </c>
      <c r="AB483" s="249"/>
      <c r="AC483" s="238"/>
      <c r="AD483" s="292">
        <f t="shared" si="112"/>
        <v>4880</v>
      </c>
      <c r="AE483" s="476">
        <f t="shared" si="112"/>
        <v>3780</v>
      </c>
      <c r="AF483" s="476">
        <f t="shared" si="112"/>
        <v>3780</v>
      </c>
      <c r="AG483" s="554"/>
      <c r="AH483" s="554"/>
      <c r="AI483" s="456"/>
    </row>
    <row r="484" spans="1:35" s="370" customFormat="1" x14ac:dyDescent="0.25">
      <c r="A484" s="357"/>
      <c r="B484" s="312"/>
      <c r="C484" s="346"/>
      <c r="D484" s="346"/>
      <c r="E484" s="347"/>
      <c r="F484" s="346"/>
      <c r="G484" s="348"/>
      <c r="H484" s="372"/>
      <c r="I484" s="313"/>
      <c r="J484" s="313"/>
      <c r="K484" s="313"/>
      <c r="L484" s="340"/>
      <c r="M484" s="313"/>
      <c r="N484" s="340"/>
      <c r="O484" s="349"/>
      <c r="P484" s="348"/>
      <c r="Q484" s="350"/>
      <c r="R484" s="354"/>
      <c r="S484" s="354"/>
      <c r="T484" s="354"/>
      <c r="U484" s="354"/>
      <c r="V484" s="354"/>
      <c r="W484" s="372"/>
      <c r="X484" s="521" t="s">
        <v>1841</v>
      </c>
      <c r="Y484" s="246" t="s">
        <v>1395</v>
      </c>
      <c r="Z484" s="235" t="s">
        <v>406</v>
      </c>
      <c r="AA484" s="235" t="s">
        <v>406</v>
      </c>
      <c r="AB484" s="249" t="s">
        <v>1758</v>
      </c>
      <c r="AC484" s="238"/>
      <c r="AD484" s="292">
        <f t="shared" ref="AD484:AF486" si="113">AD485</f>
        <v>4880</v>
      </c>
      <c r="AE484" s="476">
        <f t="shared" si="113"/>
        <v>3780</v>
      </c>
      <c r="AF484" s="476">
        <f t="shared" si="113"/>
        <v>3780</v>
      </c>
      <c r="AG484" s="554"/>
      <c r="AH484" s="554"/>
      <c r="AI484" s="456"/>
    </row>
    <row r="485" spans="1:35" s="370" customFormat="1" x14ac:dyDescent="0.25">
      <c r="A485" s="357"/>
      <c r="B485" s="312"/>
      <c r="C485" s="346"/>
      <c r="D485" s="346"/>
      <c r="E485" s="347"/>
      <c r="F485" s="346"/>
      <c r="G485" s="348"/>
      <c r="H485" s="372"/>
      <c r="I485" s="313"/>
      <c r="J485" s="313"/>
      <c r="K485" s="313"/>
      <c r="L485" s="340"/>
      <c r="M485" s="313"/>
      <c r="N485" s="340"/>
      <c r="O485" s="349"/>
      <c r="P485" s="348"/>
      <c r="Q485" s="350"/>
      <c r="R485" s="354"/>
      <c r="S485" s="354"/>
      <c r="T485" s="354"/>
      <c r="U485" s="354"/>
      <c r="V485" s="354"/>
      <c r="W485" s="372"/>
      <c r="X485" s="521" t="s">
        <v>1842</v>
      </c>
      <c r="Y485" s="592" t="s">
        <v>1395</v>
      </c>
      <c r="Z485" s="235" t="s">
        <v>406</v>
      </c>
      <c r="AA485" s="235" t="s">
        <v>406</v>
      </c>
      <c r="AB485" s="443" t="s">
        <v>1759</v>
      </c>
      <c r="AC485" s="238"/>
      <c r="AD485" s="292">
        <f t="shared" si="113"/>
        <v>4880</v>
      </c>
      <c r="AE485" s="476">
        <f t="shared" si="113"/>
        <v>3780</v>
      </c>
      <c r="AF485" s="476">
        <f t="shared" si="113"/>
        <v>3780</v>
      </c>
      <c r="AG485" s="554"/>
      <c r="AH485" s="554"/>
      <c r="AI485" s="456"/>
    </row>
    <row r="486" spans="1:35" s="370" customFormat="1" x14ac:dyDescent="0.25">
      <c r="A486" s="357"/>
      <c r="B486" s="312"/>
      <c r="C486" s="346"/>
      <c r="D486" s="346"/>
      <c r="E486" s="347"/>
      <c r="F486" s="346"/>
      <c r="G486" s="348"/>
      <c r="H486" s="372"/>
      <c r="I486" s="313"/>
      <c r="J486" s="313"/>
      <c r="K486" s="313"/>
      <c r="L486" s="340"/>
      <c r="M486" s="313"/>
      <c r="N486" s="340"/>
      <c r="O486" s="349"/>
      <c r="P486" s="348"/>
      <c r="Q486" s="350"/>
      <c r="R486" s="354"/>
      <c r="S486" s="354"/>
      <c r="T486" s="354"/>
      <c r="U486" s="354"/>
      <c r="V486" s="354"/>
      <c r="W486" s="372"/>
      <c r="X486" s="521" t="s">
        <v>1843</v>
      </c>
      <c r="Y486" s="592" t="s">
        <v>1395</v>
      </c>
      <c r="Z486" s="235" t="s">
        <v>406</v>
      </c>
      <c r="AA486" s="235" t="s">
        <v>406</v>
      </c>
      <c r="AB486" s="443" t="s">
        <v>1844</v>
      </c>
      <c r="AC486" s="238"/>
      <c r="AD486" s="292">
        <f t="shared" si="113"/>
        <v>4880</v>
      </c>
      <c r="AE486" s="476">
        <f t="shared" si="113"/>
        <v>3780</v>
      </c>
      <c r="AF486" s="476">
        <f t="shared" si="113"/>
        <v>3780</v>
      </c>
      <c r="AG486" s="554"/>
      <c r="AH486" s="554"/>
      <c r="AI486" s="456"/>
    </row>
    <row r="487" spans="1:35" s="370" customFormat="1" ht="47.25" x14ac:dyDescent="0.25">
      <c r="A487" s="357"/>
      <c r="B487" s="312"/>
      <c r="C487" s="346"/>
      <c r="D487" s="346"/>
      <c r="E487" s="347"/>
      <c r="F487" s="346"/>
      <c r="G487" s="348"/>
      <c r="H487" s="372"/>
      <c r="I487" s="313"/>
      <c r="J487" s="313"/>
      <c r="K487" s="313"/>
      <c r="L487" s="340"/>
      <c r="M487" s="313"/>
      <c r="N487" s="340"/>
      <c r="O487" s="349"/>
      <c r="P487" s="348"/>
      <c r="Q487" s="350"/>
      <c r="R487" s="354"/>
      <c r="S487" s="354"/>
      <c r="T487" s="354"/>
      <c r="U487" s="354"/>
      <c r="V487" s="354"/>
      <c r="W487" s="372"/>
      <c r="X487" s="529" t="s">
        <v>1845</v>
      </c>
      <c r="Y487" s="246" t="s">
        <v>1395</v>
      </c>
      <c r="Z487" s="235" t="s">
        <v>406</v>
      </c>
      <c r="AA487" s="235" t="s">
        <v>406</v>
      </c>
      <c r="AB487" s="443" t="s">
        <v>1846</v>
      </c>
      <c r="AC487" s="238"/>
      <c r="AD487" s="292">
        <f t="shared" ref="AD487:AF488" si="114">AD488</f>
        <v>4880</v>
      </c>
      <c r="AE487" s="476">
        <f t="shared" si="114"/>
        <v>3780</v>
      </c>
      <c r="AF487" s="476">
        <f t="shared" si="114"/>
        <v>3780</v>
      </c>
      <c r="AG487" s="554"/>
      <c r="AH487" s="554"/>
      <c r="AI487" s="456"/>
    </row>
    <row r="488" spans="1:35" s="370" customFormat="1" x14ac:dyDescent="0.25">
      <c r="A488" s="357"/>
      <c r="B488" s="312"/>
      <c r="C488" s="346"/>
      <c r="D488" s="346"/>
      <c r="E488" s="347"/>
      <c r="F488" s="346"/>
      <c r="G488" s="348"/>
      <c r="H488" s="372"/>
      <c r="I488" s="313"/>
      <c r="J488" s="313"/>
      <c r="K488" s="313"/>
      <c r="L488" s="340"/>
      <c r="M488" s="313"/>
      <c r="N488" s="340"/>
      <c r="O488" s="349"/>
      <c r="P488" s="348"/>
      <c r="Q488" s="350"/>
      <c r="R488" s="354"/>
      <c r="S488" s="354"/>
      <c r="T488" s="354"/>
      <c r="U488" s="354"/>
      <c r="V488" s="354"/>
      <c r="W488" s="372"/>
      <c r="X488" s="520" t="s">
        <v>1755</v>
      </c>
      <c r="Y488" s="246" t="s">
        <v>1395</v>
      </c>
      <c r="Z488" s="235" t="s">
        <v>406</v>
      </c>
      <c r="AA488" s="235" t="s">
        <v>406</v>
      </c>
      <c r="AB488" s="443" t="s">
        <v>1846</v>
      </c>
      <c r="AC488" s="238">
        <v>300</v>
      </c>
      <c r="AD488" s="292">
        <f t="shared" si="114"/>
        <v>4880</v>
      </c>
      <c r="AE488" s="476">
        <f t="shared" si="114"/>
        <v>3780</v>
      </c>
      <c r="AF488" s="476">
        <f t="shared" si="114"/>
        <v>3780</v>
      </c>
      <c r="AG488" s="554"/>
      <c r="AH488" s="554"/>
      <c r="AI488" s="456"/>
    </row>
    <row r="489" spans="1:35" s="370" customFormat="1" x14ac:dyDescent="0.25">
      <c r="A489" s="357"/>
      <c r="B489" s="312"/>
      <c r="C489" s="346"/>
      <c r="D489" s="346"/>
      <c r="E489" s="347"/>
      <c r="F489" s="346"/>
      <c r="G489" s="348"/>
      <c r="H489" s="372"/>
      <c r="I489" s="313"/>
      <c r="J489" s="313"/>
      <c r="K489" s="313"/>
      <c r="L489" s="340"/>
      <c r="M489" s="313"/>
      <c r="N489" s="340"/>
      <c r="O489" s="349"/>
      <c r="P489" s="348"/>
      <c r="Q489" s="350"/>
      <c r="R489" s="354"/>
      <c r="S489" s="354"/>
      <c r="T489" s="354"/>
      <c r="U489" s="354"/>
      <c r="V489" s="354"/>
      <c r="W489" s="372"/>
      <c r="X489" s="520" t="s">
        <v>868</v>
      </c>
      <c r="Y489" s="246" t="s">
        <v>1395</v>
      </c>
      <c r="Z489" s="235" t="s">
        <v>406</v>
      </c>
      <c r="AA489" s="235" t="s">
        <v>406</v>
      </c>
      <c r="AB489" s="443" t="s">
        <v>1846</v>
      </c>
      <c r="AC489" s="238">
        <v>320</v>
      </c>
      <c r="AD489" s="292">
        <f>3780+1100</f>
        <v>4880</v>
      </c>
      <c r="AE489" s="476">
        <v>3780</v>
      </c>
      <c r="AF489" s="476">
        <v>3780</v>
      </c>
      <c r="AG489" s="554"/>
      <c r="AH489" s="554"/>
      <c r="AI489" s="456"/>
    </row>
    <row r="490" spans="1:35" s="344" customFormat="1" x14ac:dyDescent="0.25">
      <c r="A490" s="335"/>
      <c r="B490" s="336"/>
      <c r="C490" s="338"/>
      <c r="D490" s="339"/>
      <c r="E490" s="339"/>
      <c r="F490" s="339"/>
      <c r="G490" s="340"/>
      <c r="H490" s="340"/>
      <c r="I490" s="340"/>
      <c r="J490" s="340"/>
      <c r="K490" s="340"/>
      <c r="L490" s="340"/>
      <c r="M490" s="340"/>
      <c r="N490" s="340"/>
      <c r="O490" s="341"/>
      <c r="P490" s="340"/>
      <c r="Q490" s="342"/>
      <c r="R490" s="362"/>
      <c r="S490" s="362"/>
      <c r="T490" s="362"/>
      <c r="U490" s="362"/>
      <c r="V490" s="362"/>
      <c r="W490" s="362"/>
      <c r="X490" s="559" t="s">
        <v>1746</v>
      </c>
      <c r="Y490" s="575" t="s">
        <v>1395</v>
      </c>
      <c r="Z490" s="247" t="s">
        <v>768</v>
      </c>
      <c r="AA490" s="248"/>
      <c r="AB490" s="271"/>
      <c r="AC490" s="576"/>
      <c r="AD490" s="745">
        <f>AD491+AD498</f>
        <v>3160.4</v>
      </c>
      <c r="AE490" s="479">
        <f>AE491+AE498</f>
        <v>3160.4</v>
      </c>
      <c r="AF490" s="479">
        <f>AF491+AF498</f>
        <v>3160.4</v>
      </c>
      <c r="AG490" s="647"/>
      <c r="AH490" s="647"/>
      <c r="AI490" s="456"/>
    </row>
    <row r="491" spans="1:35" s="370" customFormat="1" x14ac:dyDescent="0.25">
      <c r="A491" s="311"/>
      <c r="B491" s="345"/>
      <c r="C491" s="346"/>
      <c r="D491" s="346"/>
      <c r="E491" s="347"/>
      <c r="F491" s="346"/>
      <c r="G491" s="348"/>
      <c r="H491" s="348"/>
      <c r="I491" s="348"/>
      <c r="J491" s="348"/>
      <c r="K491" s="348"/>
      <c r="L491" s="340"/>
      <c r="M491" s="348"/>
      <c r="N491" s="340"/>
      <c r="O491" s="349"/>
      <c r="P491" s="348"/>
      <c r="Q491" s="350"/>
      <c r="R491" s="354"/>
      <c r="S491" s="354"/>
      <c r="T491" s="354"/>
      <c r="U491" s="354"/>
      <c r="V491" s="354"/>
      <c r="W491" s="354"/>
      <c r="X491" s="520" t="s">
        <v>1313</v>
      </c>
      <c r="Y491" s="246" t="s">
        <v>1395</v>
      </c>
      <c r="Z491" s="235">
        <v>10</v>
      </c>
      <c r="AA491" s="235" t="s">
        <v>566</v>
      </c>
      <c r="AB491" s="249"/>
      <c r="AC491" s="589"/>
      <c r="AD491" s="292">
        <f>AD492</f>
        <v>3020.4</v>
      </c>
      <c r="AE491" s="476">
        <f>AE492</f>
        <v>3020.4</v>
      </c>
      <c r="AF491" s="476">
        <f>AF492</f>
        <v>3020.4</v>
      </c>
      <c r="AG491" s="554"/>
      <c r="AH491" s="554"/>
      <c r="AI491" s="456"/>
    </row>
    <row r="492" spans="1:35" s="370" customFormat="1" x14ac:dyDescent="0.25">
      <c r="A492" s="356"/>
      <c r="B492" s="345"/>
      <c r="C492" s="346"/>
      <c r="D492" s="346"/>
      <c r="E492" s="347"/>
      <c r="F492" s="346"/>
      <c r="G492" s="348"/>
      <c r="H492" s="348"/>
      <c r="I492" s="348"/>
      <c r="J492" s="348"/>
      <c r="K492" s="348"/>
      <c r="L492" s="340"/>
      <c r="M492" s="348"/>
      <c r="N492" s="340"/>
      <c r="O492" s="349"/>
      <c r="P492" s="348"/>
      <c r="Q492" s="350"/>
      <c r="R492" s="354"/>
      <c r="S492" s="354"/>
      <c r="T492" s="354"/>
      <c r="U492" s="354"/>
      <c r="V492" s="354"/>
      <c r="W492" s="354"/>
      <c r="X492" s="549" t="s">
        <v>2075</v>
      </c>
      <c r="Y492" s="246" t="s">
        <v>1395</v>
      </c>
      <c r="Z492" s="235">
        <v>10</v>
      </c>
      <c r="AA492" s="235" t="s">
        <v>566</v>
      </c>
      <c r="AB492" s="443" t="s">
        <v>1769</v>
      </c>
      <c r="AC492" s="589"/>
      <c r="AD492" s="292">
        <f>AD494</f>
        <v>3020.4</v>
      </c>
      <c r="AE492" s="476">
        <f>AE494</f>
        <v>3020.4</v>
      </c>
      <c r="AF492" s="476">
        <f>AF494</f>
        <v>3020.4</v>
      </c>
      <c r="AG492" s="554"/>
      <c r="AH492" s="554"/>
      <c r="AI492" s="456"/>
    </row>
    <row r="493" spans="1:35" s="370" customFormat="1" x14ac:dyDescent="0.25">
      <c r="A493" s="356"/>
      <c r="B493" s="345"/>
      <c r="C493" s="346"/>
      <c r="D493" s="346"/>
      <c r="E493" s="347"/>
      <c r="F493" s="346"/>
      <c r="G493" s="348"/>
      <c r="H493" s="348"/>
      <c r="I493" s="348"/>
      <c r="J493" s="348"/>
      <c r="K493" s="348"/>
      <c r="L493" s="340"/>
      <c r="M493" s="348"/>
      <c r="N493" s="340"/>
      <c r="O493" s="349"/>
      <c r="P493" s="348"/>
      <c r="Q493" s="350"/>
      <c r="R493" s="354"/>
      <c r="S493" s="354"/>
      <c r="T493" s="354"/>
      <c r="U493" s="354"/>
      <c r="V493" s="354"/>
      <c r="W493" s="354"/>
      <c r="X493" s="625" t="s">
        <v>2076</v>
      </c>
      <c r="Y493" s="246" t="s">
        <v>1395</v>
      </c>
      <c r="Z493" s="235">
        <v>10</v>
      </c>
      <c r="AA493" s="235" t="s">
        <v>566</v>
      </c>
      <c r="AB493" s="443" t="s">
        <v>1780</v>
      </c>
      <c r="AC493" s="589"/>
      <c r="AD493" s="292">
        <f>AD494</f>
        <v>3020.4</v>
      </c>
      <c r="AE493" s="476">
        <f>AE494</f>
        <v>3020.4</v>
      </c>
      <c r="AF493" s="476">
        <f>AF494</f>
        <v>3020.4</v>
      </c>
      <c r="AG493" s="554"/>
      <c r="AH493" s="554"/>
      <c r="AI493" s="456"/>
    </row>
    <row r="494" spans="1:35" s="370" customFormat="1" ht="31.5" x14ac:dyDescent="0.25">
      <c r="A494" s="356"/>
      <c r="B494" s="345"/>
      <c r="C494" s="346"/>
      <c r="D494" s="346"/>
      <c r="E494" s="347"/>
      <c r="F494" s="346"/>
      <c r="G494" s="348"/>
      <c r="H494" s="348"/>
      <c r="I494" s="348"/>
      <c r="J494" s="348"/>
      <c r="K494" s="348"/>
      <c r="L494" s="340"/>
      <c r="M494" s="348"/>
      <c r="N494" s="340"/>
      <c r="O494" s="349"/>
      <c r="P494" s="348"/>
      <c r="Q494" s="350"/>
      <c r="R494" s="354"/>
      <c r="S494" s="354"/>
      <c r="T494" s="354"/>
      <c r="U494" s="354"/>
      <c r="V494" s="354"/>
      <c r="W494" s="354"/>
      <c r="X494" s="549" t="s">
        <v>2082</v>
      </c>
      <c r="Y494" s="246" t="s">
        <v>1395</v>
      </c>
      <c r="Z494" s="235">
        <v>10</v>
      </c>
      <c r="AA494" s="235" t="s">
        <v>566</v>
      </c>
      <c r="AB494" s="443" t="s">
        <v>2083</v>
      </c>
      <c r="AC494" s="589"/>
      <c r="AD494" s="292">
        <f t="shared" ref="AD494:AF496" si="115">AD495</f>
        <v>3020.4</v>
      </c>
      <c r="AE494" s="476">
        <f t="shared" si="115"/>
        <v>3020.4</v>
      </c>
      <c r="AF494" s="476">
        <f t="shared" si="115"/>
        <v>3020.4</v>
      </c>
      <c r="AG494" s="554"/>
      <c r="AH494" s="554"/>
      <c r="AI494" s="456"/>
    </row>
    <row r="495" spans="1:35" s="370" customFormat="1" ht="31.5" x14ac:dyDescent="0.25">
      <c r="A495" s="356"/>
      <c r="B495" s="345"/>
      <c r="C495" s="346"/>
      <c r="D495" s="346"/>
      <c r="E495" s="347"/>
      <c r="F495" s="346"/>
      <c r="G495" s="348"/>
      <c r="H495" s="348"/>
      <c r="I495" s="348"/>
      <c r="J495" s="348"/>
      <c r="K495" s="348"/>
      <c r="L495" s="340"/>
      <c r="M495" s="348"/>
      <c r="N495" s="340"/>
      <c r="O495" s="349"/>
      <c r="P495" s="348"/>
      <c r="Q495" s="350"/>
      <c r="R495" s="354"/>
      <c r="S495" s="354"/>
      <c r="T495" s="354"/>
      <c r="U495" s="354"/>
      <c r="V495" s="354"/>
      <c r="W495" s="354"/>
      <c r="X495" s="530" t="s">
        <v>2084</v>
      </c>
      <c r="Y495" s="246" t="s">
        <v>1395</v>
      </c>
      <c r="Z495" s="235">
        <v>10</v>
      </c>
      <c r="AA495" s="235" t="s">
        <v>566</v>
      </c>
      <c r="AB495" s="443" t="s">
        <v>2085</v>
      </c>
      <c r="AC495" s="589"/>
      <c r="AD495" s="292">
        <f t="shared" si="115"/>
        <v>3020.4</v>
      </c>
      <c r="AE495" s="476">
        <f t="shared" si="115"/>
        <v>3020.4</v>
      </c>
      <c r="AF495" s="476">
        <f t="shared" si="115"/>
        <v>3020.4</v>
      </c>
      <c r="AG495" s="554"/>
      <c r="AH495" s="554"/>
      <c r="AI495" s="456"/>
    </row>
    <row r="496" spans="1:35" s="370" customFormat="1" x14ac:dyDescent="0.25">
      <c r="A496" s="357"/>
      <c r="B496" s="345"/>
      <c r="C496" s="346"/>
      <c r="D496" s="346"/>
      <c r="E496" s="347"/>
      <c r="F496" s="346"/>
      <c r="G496" s="348"/>
      <c r="H496" s="372"/>
      <c r="I496" s="313"/>
      <c r="J496" s="313"/>
      <c r="K496" s="313"/>
      <c r="L496" s="340"/>
      <c r="M496" s="313"/>
      <c r="N496" s="340"/>
      <c r="O496" s="349"/>
      <c r="P496" s="348"/>
      <c r="Q496" s="350"/>
      <c r="R496" s="354"/>
      <c r="S496" s="354"/>
      <c r="T496" s="354"/>
      <c r="U496" s="354"/>
      <c r="V496" s="354"/>
      <c r="W496" s="372"/>
      <c r="X496" s="520" t="s">
        <v>1755</v>
      </c>
      <c r="Y496" s="246" t="s">
        <v>1395</v>
      </c>
      <c r="Z496" s="235">
        <v>10</v>
      </c>
      <c r="AA496" s="235" t="s">
        <v>566</v>
      </c>
      <c r="AB496" s="443" t="s">
        <v>2085</v>
      </c>
      <c r="AC496" s="238">
        <v>300</v>
      </c>
      <c r="AD496" s="292">
        <f t="shared" si="115"/>
        <v>3020.4</v>
      </c>
      <c r="AE496" s="476">
        <f t="shared" si="115"/>
        <v>3020.4</v>
      </c>
      <c r="AF496" s="476">
        <f t="shared" si="115"/>
        <v>3020.4</v>
      </c>
      <c r="AG496" s="554"/>
      <c r="AH496" s="554"/>
      <c r="AI496" s="456"/>
    </row>
    <row r="497" spans="1:35" x14ac:dyDescent="0.25">
      <c r="A497" s="311"/>
      <c r="B497" s="345"/>
      <c r="C497" s="346"/>
      <c r="D497" s="346"/>
      <c r="E497" s="347"/>
      <c r="F497" s="347"/>
      <c r="G497" s="348"/>
      <c r="H497" s="348"/>
      <c r="I497" s="348"/>
      <c r="J497" s="348"/>
      <c r="K497" s="348"/>
      <c r="L497" s="340"/>
      <c r="M497" s="348"/>
      <c r="N497" s="340"/>
      <c r="O497" s="348"/>
      <c r="P497" s="348"/>
      <c r="Q497" s="350"/>
      <c r="R497" s="354"/>
      <c r="S497" s="354"/>
      <c r="T497" s="354"/>
      <c r="U497" s="354"/>
      <c r="V497" s="354"/>
      <c r="W497" s="354"/>
      <c r="X497" s="520" t="s">
        <v>868</v>
      </c>
      <c r="Y497" s="246" t="s">
        <v>1395</v>
      </c>
      <c r="Z497" s="235">
        <v>10</v>
      </c>
      <c r="AA497" s="235" t="s">
        <v>566</v>
      </c>
      <c r="AB497" s="443" t="s">
        <v>2085</v>
      </c>
      <c r="AC497" s="238">
        <v>320</v>
      </c>
      <c r="AD497" s="292">
        <f>2975.4+45</f>
        <v>3020.4</v>
      </c>
      <c r="AE497" s="476">
        <f>2975.4+45</f>
        <v>3020.4</v>
      </c>
      <c r="AF497" s="476">
        <f>2975.4+45</f>
        <v>3020.4</v>
      </c>
      <c r="AG497" s="554"/>
      <c r="AH497" s="554"/>
      <c r="AI497" s="456"/>
    </row>
    <row r="498" spans="1:35" x14ac:dyDescent="0.25">
      <c r="A498" s="355"/>
      <c r="B498" s="345"/>
      <c r="C498" s="346"/>
      <c r="D498" s="346"/>
      <c r="E498" s="347"/>
      <c r="F498" s="347"/>
      <c r="G498" s="348"/>
      <c r="H498" s="348"/>
      <c r="I498" s="348"/>
      <c r="J498" s="348"/>
      <c r="K498" s="348"/>
      <c r="L498" s="340"/>
      <c r="M498" s="348"/>
      <c r="N498" s="340"/>
      <c r="O498" s="359"/>
      <c r="P498" s="348"/>
      <c r="Q498" s="350"/>
      <c r="R498" s="401"/>
      <c r="S498" s="350"/>
      <c r="T498" s="350"/>
      <c r="U498" s="350"/>
      <c r="V498" s="350"/>
      <c r="W498" s="350"/>
      <c r="X498" s="520" t="s">
        <v>729</v>
      </c>
      <c r="Y498" s="246" t="s">
        <v>1395</v>
      </c>
      <c r="Z498" s="235">
        <v>10</v>
      </c>
      <c r="AA498" s="235" t="s">
        <v>1747</v>
      </c>
      <c r="AB498" s="249"/>
      <c r="AC498" s="577"/>
      <c r="AD498" s="292">
        <f t="shared" ref="AD498:AF499" si="116">AD499</f>
        <v>140</v>
      </c>
      <c r="AE498" s="476">
        <f t="shared" si="116"/>
        <v>140</v>
      </c>
      <c r="AF498" s="476">
        <f t="shared" si="116"/>
        <v>140</v>
      </c>
      <c r="AG498" s="554"/>
      <c r="AH498" s="554"/>
      <c r="AI498" s="456"/>
    </row>
    <row r="499" spans="1:35" x14ac:dyDescent="0.25">
      <c r="A499" s="311"/>
      <c r="B499" s="345"/>
      <c r="C499" s="346"/>
      <c r="D499" s="346"/>
      <c r="E499" s="347"/>
      <c r="F499" s="347"/>
      <c r="G499" s="348"/>
      <c r="H499" s="348"/>
      <c r="I499" s="348"/>
      <c r="J499" s="348"/>
      <c r="K499" s="348"/>
      <c r="L499" s="348"/>
      <c r="M499" s="348"/>
      <c r="N499" s="348"/>
      <c r="O499" s="359"/>
      <c r="P499" s="348"/>
      <c r="Q499" s="350"/>
      <c r="R499" s="401"/>
      <c r="S499" s="350"/>
      <c r="T499" s="350"/>
      <c r="U499" s="350"/>
      <c r="V499" s="350"/>
      <c r="W499" s="350"/>
      <c r="X499" s="549" t="s">
        <v>2075</v>
      </c>
      <c r="Y499" s="246" t="s">
        <v>1395</v>
      </c>
      <c r="Z499" s="235">
        <v>10</v>
      </c>
      <c r="AA499" s="235" t="s">
        <v>1747</v>
      </c>
      <c r="AB499" s="443" t="s">
        <v>1769</v>
      </c>
      <c r="AC499" s="577"/>
      <c r="AD499" s="292">
        <f>AD500</f>
        <v>140</v>
      </c>
      <c r="AE499" s="476">
        <f t="shared" si="116"/>
        <v>140</v>
      </c>
      <c r="AF499" s="476">
        <f t="shared" si="116"/>
        <v>140</v>
      </c>
      <c r="AG499" s="554"/>
      <c r="AH499" s="554"/>
      <c r="AI499" s="456"/>
    </row>
    <row r="500" spans="1:35" ht="31.5" x14ac:dyDescent="0.25">
      <c r="A500" s="311"/>
      <c r="B500" s="345"/>
      <c r="C500" s="346"/>
      <c r="D500" s="346"/>
      <c r="E500" s="347"/>
      <c r="F500" s="347"/>
      <c r="G500" s="348"/>
      <c r="H500" s="348"/>
      <c r="I500" s="348"/>
      <c r="J500" s="348"/>
      <c r="K500" s="348"/>
      <c r="L500" s="348"/>
      <c r="M500" s="348"/>
      <c r="N500" s="348"/>
      <c r="O500" s="359"/>
      <c r="P500" s="348"/>
      <c r="Q500" s="350"/>
      <c r="R500" s="401"/>
      <c r="S500" s="350"/>
      <c r="T500" s="350"/>
      <c r="U500" s="350"/>
      <c r="V500" s="350"/>
      <c r="W500" s="350"/>
      <c r="X500" s="549" t="s">
        <v>2232</v>
      </c>
      <c r="Y500" s="246" t="s">
        <v>1395</v>
      </c>
      <c r="Z500" s="235">
        <v>10</v>
      </c>
      <c r="AA500" s="235" t="s">
        <v>1747</v>
      </c>
      <c r="AB500" s="443" t="s">
        <v>2096</v>
      </c>
      <c r="AC500" s="577"/>
      <c r="AD500" s="292">
        <f>AD501</f>
        <v>140</v>
      </c>
      <c r="AE500" s="476">
        <f>AE501</f>
        <v>140</v>
      </c>
      <c r="AF500" s="476">
        <f>AF501</f>
        <v>140</v>
      </c>
      <c r="AG500" s="554"/>
      <c r="AH500" s="554"/>
      <c r="AI500" s="456"/>
    </row>
    <row r="501" spans="1:35" x14ac:dyDescent="0.25">
      <c r="A501" s="311"/>
      <c r="B501" s="345"/>
      <c r="C501" s="346"/>
      <c r="D501" s="346"/>
      <c r="E501" s="347"/>
      <c r="F501" s="347"/>
      <c r="G501" s="348"/>
      <c r="H501" s="348"/>
      <c r="I501" s="348"/>
      <c r="J501" s="348"/>
      <c r="K501" s="348"/>
      <c r="L501" s="348"/>
      <c r="M501" s="348"/>
      <c r="N501" s="348"/>
      <c r="O501" s="359"/>
      <c r="P501" s="348"/>
      <c r="Q501" s="350"/>
      <c r="R501" s="401"/>
      <c r="S501" s="350"/>
      <c r="T501" s="350"/>
      <c r="U501" s="350"/>
      <c r="V501" s="350"/>
      <c r="W501" s="350"/>
      <c r="X501" s="532" t="s">
        <v>2097</v>
      </c>
      <c r="Y501" s="246" t="s">
        <v>1395</v>
      </c>
      <c r="Z501" s="235">
        <v>10</v>
      </c>
      <c r="AA501" s="235" t="s">
        <v>1747</v>
      </c>
      <c r="AB501" s="443" t="s">
        <v>2098</v>
      </c>
      <c r="AC501" s="577"/>
      <c r="AD501" s="292">
        <f>AD502+AD505</f>
        <v>140</v>
      </c>
      <c r="AE501" s="476">
        <f>AE502+AE505</f>
        <v>140</v>
      </c>
      <c r="AF501" s="476">
        <f>AF502+AF505</f>
        <v>140</v>
      </c>
      <c r="AG501" s="554"/>
      <c r="AH501" s="554"/>
      <c r="AI501" s="456"/>
    </row>
    <row r="502" spans="1:35" x14ac:dyDescent="0.25">
      <c r="A502" s="311"/>
      <c r="B502" s="345"/>
      <c r="C502" s="346"/>
      <c r="D502" s="346"/>
      <c r="E502" s="347"/>
      <c r="F502" s="347"/>
      <c r="G502" s="348"/>
      <c r="H502" s="348"/>
      <c r="I502" s="348"/>
      <c r="J502" s="348"/>
      <c r="K502" s="348"/>
      <c r="L502" s="348"/>
      <c r="M502" s="348"/>
      <c r="N502" s="348"/>
      <c r="O502" s="359"/>
      <c r="P502" s="348"/>
      <c r="Q502" s="350"/>
      <c r="R502" s="401"/>
      <c r="S502" s="350"/>
      <c r="T502" s="350"/>
      <c r="U502" s="350"/>
      <c r="V502" s="350"/>
      <c r="W502" s="350"/>
      <c r="X502" s="523" t="s">
        <v>2241</v>
      </c>
      <c r="Y502" s="246" t="s">
        <v>1395</v>
      </c>
      <c r="Z502" s="235">
        <v>10</v>
      </c>
      <c r="AA502" s="235" t="s">
        <v>1747</v>
      </c>
      <c r="AB502" s="443" t="s">
        <v>2101</v>
      </c>
      <c r="AC502" s="594"/>
      <c r="AD502" s="748">
        <f t="shared" ref="AD502:AF503" si="117">AD503</f>
        <v>70</v>
      </c>
      <c r="AE502" s="490">
        <f t="shared" si="117"/>
        <v>70</v>
      </c>
      <c r="AF502" s="490">
        <f t="shared" si="117"/>
        <v>70</v>
      </c>
      <c r="AG502" s="351"/>
      <c r="AH502" s="351"/>
      <c r="AI502" s="456"/>
    </row>
    <row r="503" spans="1:35" ht="31.5" x14ac:dyDescent="0.25">
      <c r="A503" s="311"/>
      <c r="B503" s="345"/>
      <c r="C503" s="346"/>
      <c r="D503" s="346"/>
      <c r="E503" s="347"/>
      <c r="F503" s="347"/>
      <c r="G503" s="348"/>
      <c r="H503" s="348"/>
      <c r="I503" s="348"/>
      <c r="J503" s="348"/>
      <c r="K503" s="348"/>
      <c r="L503" s="348"/>
      <c r="M503" s="348"/>
      <c r="N503" s="348"/>
      <c r="O503" s="359"/>
      <c r="P503" s="348"/>
      <c r="Q503" s="350"/>
      <c r="R503" s="401"/>
      <c r="S503" s="350"/>
      <c r="T503" s="350"/>
      <c r="U503" s="350"/>
      <c r="V503" s="350"/>
      <c r="W503" s="350"/>
      <c r="X503" s="524" t="s">
        <v>1343</v>
      </c>
      <c r="Y503" s="246" t="s">
        <v>1395</v>
      </c>
      <c r="Z503" s="235">
        <v>10</v>
      </c>
      <c r="AA503" s="235" t="s">
        <v>1747</v>
      </c>
      <c r="AB503" s="443" t="s">
        <v>2101</v>
      </c>
      <c r="AC503" s="594">
        <v>600</v>
      </c>
      <c r="AD503" s="748">
        <f t="shared" si="117"/>
        <v>70</v>
      </c>
      <c r="AE503" s="490">
        <f t="shared" si="117"/>
        <v>70</v>
      </c>
      <c r="AF503" s="490">
        <f t="shared" si="117"/>
        <v>70</v>
      </c>
      <c r="AG503" s="351"/>
      <c r="AH503" s="351"/>
      <c r="AI503" s="456"/>
    </row>
    <row r="504" spans="1:35" ht="31.5" x14ac:dyDescent="0.25">
      <c r="A504" s="311"/>
      <c r="B504" s="345"/>
      <c r="C504" s="346"/>
      <c r="D504" s="346"/>
      <c r="E504" s="347"/>
      <c r="F504" s="347"/>
      <c r="G504" s="348"/>
      <c r="H504" s="348"/>
      <c r="I504" s="348"/>
      <c r="J504" s="348"/>
      <c r="K504" s="348"/>
      <c r="L504" s="348"/>
      <c r="M504" s="348"/>
      <c r="N504" s="348"/>
      <c r="O504" s="359"/>
      <c r="P504" s="348"/>
      <c r="Q504" s="350"/>
      <c r="R504" s="401"/>
      <c r="S504" s="350"/>
      <c r="T504" s="350"/>
      <c r="U504" s="350"/>
      <c r="V504" s="350"/>
      <c r="W504" s="350"/>
      <c r="X504" s="524" t="s">
        <v>869</v>
      </c>
      <c r="Y504" s="246" t="s">
        <v>1395</v>
      </c>
      <c r="Z504" s="235">
        <v>10</v>
      </c>
      <c r="AA504" s="235" t="s">
        <v>1747</v>
      </c>
      <c r="AB504" s="443" t="s">
        <v>2101</v>
      </c>
      <c r="AC504" s="594">
        <v>630</v>
      </c>
      <c r="AD504" s="748">
        <v>70</v>
      </c>
      <c r="AE504" s="490">
        <v>70</v>
      </c>
      <c r="AF504" s="490">
        <v>70</v>
      </c>
      <c r="AG504" s="351"/>
      <c r="AH504" s="351"/>
      <c r="AI504" s="456"/>
    </row>
    <row r="505" spans="1:35" ht="47.25" x14ac:dyDescent="0.25">
      <c r="A505" s="311"/>
      <c r="B505" s="345"/>
      <c r="C505" s="346"/>
      <c r="D505" s="346"/>
      <c r="E505" s="347"/>
      <c r="F505" s="347"/>
      <c r="G505" s="348"/>
      <c r="H505" s="348"/>
      <c r="I505" s="348"/>
      <c r="J505" s="348"/>
      <c r="K505" s="348"/>
      <c r="L505" s="348"/>
      <c r="M505" s="348"/>
      <c r="N505" s="348"/>
      <c r="O505" s="359"/>
      <c r="P505" s="348"/>
      <c r="Q505" s="350"/>
      <c r="R505" s="401"/>
      <c r="S505" s="350"/>
      <c r="T505" s="350"/>
      <c r="U505" s="350"/>
      <c r="V505" s="350"/>
      <c r="W505" s="350"/>
      <c r="X505" s="523" t="s">
        <v>2338</v>
      </c>
      <c r="Y505" s="246" t="s">
        <v>1395</v>
      </c>
      <c r="Z505" s="235">
        <v>10</v>
      </c>
      <c r="AA505" s="235" t="s">
        <v>1747</v>
      </c>
      <c r="AB505" s="443" t="s">
        <v>2099</v>
      </c>
      <c r="AC505" s="577"/>
      <c r="AD505" s="292">
        <f t="shared" ref="AD505:AF506" si="118">AD506</f>
        <v>70</v>
      </c>
      <c r="AE505" s="476">
        <f t="shared" si="118"/>
        <v>70</v>
      </c>
      <c r="AF505" s="476">
        <f t="shared" si="118"/>
        <v>70</v>
      </c>
      <c r="AG505" s="554"/>
      <c r="AH505" s="554"/>
      <c r="AI505" s="456"/>
    </row>
    <row r="506" spans="1:35" ht="31.5" x14ac:dyDescent="0.25">
      <c r="A506" s="400"/>
      <c r="B506" s="345"/>
      <c r="C506" s="346"/>
      <c r="D506" s="346"/>
      <c r="E506" s="347"/>
      <c r="F506" s="347"/>
      <c r="G506" s="348"/>
      <c r="H506" s="348"/>
      <c r="I506" s="348"/>
      <c r="J506" s="348"/>
      <c r="K506" s="348"/>
      <c r="L506" s="340"/>
      <c r="M506" s="348"/>
      <c r="N506" s="340"/>
      <c r="O506" s="359"/>
      <c r="P506" s="348"/>
      <c r="Q506" s="350"/>
      <c r="R506" s="401"/>
      <c r="S506" s="350"/>
      <c r="T506" s="350"/>
      <c r="U506" s="350"/>
      <c r="V506" s="350"/>
      <c r="W506" s="350"/>
      <c r="X506" s="524" t="s">
        <v>1343</v>
      </c>
      <c r="Y506" s="246" t="s">
        <v>1395</v>
      </c>
      <c r="Z506" s="235">
        <v>10</v>
      </c>
      <c r="AA506" s="235" t="s">
        <v>1747</v>
      </c>
      <c r="AB506" s="443" t="s">
        <v>2099</v>
      </c>
      <c r="AC506" s="595">
        <v>600</v>
      </c>
      <c r="AD506" s="292">
        <f t="shared" si="118"/>
        <v>70</v>
      </c>
      <c r="AE506" s="476">
        <f t="shared" si="118"/>
        <v>70</v>
      </c>
      <c r="AF506" s="476">
        <f t="shared" si="118"/>
        <v>70</v>
      </c>
      <c r="AG506" s="554"/>
      <c r="AH506" s="554"/>
      <c r="AI506" s="456"/>
    </row>
    <row r="507" spans="1:35" ht="31.5" x14ac:dyDescent="0.25">
      <c r="A507" s="400"/>
      <c r="B507" s="345"/>
      <c r="C507" s="346"/>
      <c r="D507" s="346"/>
      <c r="E507" s="347"/>
      <c r="F507" s="347"/>
      <c r="G507" s="348"/>
      <c r="H507" s="348"/>
      <c r="I507" s="348"/>
      <c r="J507" s="348"/>
      <c r="K507" s="348"/>
      <c r="L507" s="340"/>
      <c r="M507" s="348"/>
      <c r="N507" s="340"/>
      <c r="O507" s="359"/>
      <c r="P507" s="348"/>
      <c r="Q507" s="350"/>
      <c r="R507" s="401"/>
      <c r="S507" s="350"/>
      <c r="T507" s="350"/>
      <c r="U507" s="350"/>
      <c r="V507" s="350"/>
      <c r="W507" s="350"/>
      <c r="X507" s="524" t="s">
        <v>869</v>
      </c>
      <c r="Y507" s="246" t="s">
        <v>1395</v>
      </c>
      <c r="Z507" s="235">
        <v>10</v>
      </c>
      <c r="AA507" s="235" t="s">
        <v>1747</v>
      </c>
      <c r="AB507" s="443" t="s">
        <v>2099</v>
      </c>
      <c r="AC507" s="582">
        <v>630</v>
      </c>
      <c r="AD507" s="292">
        <v>70</v>
      </c>
      <c r="AE507" s="476">
        <v>70</v>
      </c>
      <c r="AF507" s="476">
        <v>70</v>
      </c>
      <c r="AG507" s="554"/>
      <c r="AH507" s="554"/>
      <c r="AI507" s="456"/>
    </row>
    <row r="508" spans="1:35" s="363" customFormat="1"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559" t="s">
        <v>282</v>
      </c>
      <c r="Y508" s="575" t="s">
        <v>1395</v>
      </c>
      <c r="Z508" s="263">
        <v>11</v>
      </c>
      <c r="AA508" s="247"/>
      <c r="AB508" s="271"/>
      <c r="AC508" s="576"/>
      <c r="AD508" s="745">
        <f>AD509+AD516</f>
        <v>86781.8</v>
      </c>
      <c r="AE508" s="479">
        <f>AE509+AE516</f>
        <v>83781.8</v>
      </c>
      <c r="AF508" s="479">
        <f>AF509+AF516</f>
        <v>83781.8</v>
      </c>
      <c r="AG508" s="647"/>
      <c r="AH508" s="647"/>
      <c r="AI508" s="456"/>
    </row>
    <row r="509" spans="1:35" s="363" customFormat="1"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520" t="s">
        <v>283</v>
      </c>
      <c r="Y509" s="246" t="s">
        <v>1395</v>
      </c>
      <c r="Z509" s="235">
        <v>11</v>
      </c>
      <c r="AA509" s="235" t="s">
        <v>566</v>
      </c>
      <c r="AB509" s="271"/>
      <c r="AC509" s="576"/>
      <c r="AD509" s="292">
        <f t="shared" ref="AD509:AF510" si="119">AD510</f>
        <v>32271.200000000001</v>
      </c>
      <c r="AE509" s="476">
        <f t="shared" si="119"/>
        <v>29271.200000000001</v>
      </c>
      <c r="AF509" s="476">
        <f t="shared" si="119"/>
        <v>29271.200000000001</v>
      </c>
      <c r="AG509" s="554"/>
      <c r="AH509" s="554"/>
      <c r="AI509" s="456"/>
    </row>
    <row r="510" spans="1:35" s="363" customFormat="1"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521" t="s">
        <v>1847</v>
      </c>
      <c r="Y510" s="579" t="s">
        <v>1395</v>
      </c>
      <c r="Z510" s="235">
        <v>11</v>
      </c>
      <c r="AA510" s="235" t="s">
        <v>566</v>
      </c>
      <c r="AB510" s="443" t="s">
        <v>1776</v>
      </c>
      <c r="AC510" s="576"/>
      <c r="AD510" s="292">
        <f t="shared" si="119"/>
        <v>32271.200000000001</v>
      </c>
      <c r="AE510" s="476">
        <f t="shared" si="119"/>
        <v>29271.200000000001</v>
      </c>
      <c r="AF510" s="476">
        <f t="shared" si="119"/>
        <v>29271.200000000001</v>
      </c>
      <c r="AG510" s="554"/>
      <c r="AH510" s="554"/>
      <c r="AI510" s="456"/>
    </row>
    <row r="511" spans="1:35" s="363" customFormat="1"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521" t="s">
        <v>1848</v>
      </c>
      <c r="Y511" s="579" t="s">
        <v>1395</v>
      </c>
      <c r="Z511" s="235">
        <v>11</v>
      </c>
      <c r="AA511" s="235" t="s">
        <v>566</v>
      </c>
      <c r="AB511" s="443" t="s">
        <v>1781</v>
      </c>
      <c r="AC511" s="576"/>
      <c r="AD511" s="292">
        <f t="shared" ref="AD511:AF513" si="120">AD512</f>
        <v>32271.200000000001</v>
      </c>
      <c r="AE511" s="476">
        <f t="shared" si="120"/>
        <v>29271.200000000001</v>
      </c>
      <c r="AF511" s="476">
        <f t="shared" si="120"/>
        <v>29271.200000000001</v>
      </c>
      <c r="AG511" s="554"/>
      <c r="AH511" s="554"/>
      <c r="AI511" s="456"/>
    </row>
    <row r="512" spans="1:35" s="363" customFormat="1" ht="31.5"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21" t="s">
        <v>1849</v>
      </c>
      <c r="Y512" s="579" t="s">
        <v>1395</v>
      </c>
      <c r="Z512" s="235">
        <v>11</v>
      </c>
      <c r="AA512" s="235" t="s">
        <v>566</v>
      </c>
      <c r="AB512" s="443" t="s">
        <v>1800</v>
      </c>
      <c r="AC512" s="576"/>
      <c r="AD512" s="292">
        <f t="shared" si="120"/>
        <v>32271.200000000001</v>
      </c>
      <c r="AE512" s="476">
        <f t="shared" si="120"/>
        <v>29271.200000000001</v>
      </c>
      <c r="AF512" s="476">
        <f t="shared" si="120"/>
        <v>29271.200000000001</v>
      </c>
      <c r="AG512" s="554"/>
      <c r="AH512" s="554"/>
      <c r="AI512" s="456"/>
    </row>
    <row r="513" spans="1:35" s="363" customFormat="1" ht="31.5"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32" t="s">
        <v>1850</v>
      </c>
      <c r="Y513" s="579" t="s">
        <v>1395</v>
      </c>
      <c r="Z513" s="235">
        <v>11</v>
      </c>
      <c r="AA513" s="235" t="s">
        <v>566</v>
      </c>
      <c r="AB513" s="443" t="s">
        <v>1851</v>
      </c>
      <c r="AC513" s="576"/>
      <c r="AD513" s="292">
        <f t="shared" si="120"/>
        <v>32271.200000000001</v>
      </c>
      <c r="AE513" s="476">
        <f t="shared" si="120"/>
        <v>29271.200000000001</v>
      </c>
      <c r="AF513" s="476">
        <f t="shared" si="120"/>
        <v>29271.200000000001</v>
      </c>
      <c r="AG513" s="554"/>
      <c r="AH513" s="554"/>
      <c r="AI513" s="456"/>
    </row>
    <row r="514" spans="1:35" s="363" customFormat="1" ht="31.5"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0" t="s">
        <v>1343</v>
      </c>
      <c r="Y514" s="579" t="s">
        <v>1395</v>
      </c>
      <c r="Z514" s="235">
        <v>11</v>
      </c>
      <c r="AA514" s="235" t="s">
        <v>566</v>
      </c>
      <c r="AB514" s="443" t="s">
        <v>1851</v>
      </c>
      <c r="AC514" s="584">
        <v>600</v>
      </c>
      <c r="AD514" s="292">
        <f>AD515</f>
        <v>32271.200000000001</v>
      </c>
      <c r="AE514" s="476">
        <f>AE515</f>
        <v>29271.200000000001</v>
      </c>
      <c r="AF514" s="476">
        <f>AF515</f>
        <v>29271.200000000001</v>
      </c>
      <c r="AG514" s="554"/>
      <c r="AH514" s="554"/>
      <c r="AI514" s="456"/>
    </row>
    <row r="515" spans="1:35" s="363" customFormat="1"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520" t="s">
        <v>1801</v>
      </c>
      <c r="Y515" s="579" t="s">
        <v>1395</v>
      </c>
      <c r="Z515" s="235">
        <v>11</v>
      </c>
      <c r="AA515" s="235" t="s">
        <v>566</v>
      </c>
      <c r="AB515" s="443" t="s">
        <v>1851</v>
      </c>
      <c r="AC515" s="584">
        <v>620</v>
      </c>
      <c r="AD515" s="292">
        <f>29271.2+3000</f>
        <v>32271.200000000001</v>
      </c>
      <c r="AE515" s="476">
        <v>29271.200000000001</v>
      </c>
      <c r="AF515" s="476">
        <v>29271.200000000001</v>
      </c>
      <c r="AG515" s="554"/>
      <c r="AH515" s="554"/>
      <c r="AI515" s="456"/>
    </row>
    <row r="516" spans="1:35" s="363" customFormat="1"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520" t="s">
        <v>758</v>
      </c>
      <c r="Y516" s="579" t="s">
        <v>1395</v>
      </c>
      <c r="Z516" s="235">
        <v>11</v>
      </c>
      <c r="AA516" s="235" t="s">
        <v>567</v>
      </c>
      <c r="AB516" s="443"/>
      <c r="AC516" s="584"/>
      <c r="AD516" s="292">
        <f>AD518+AD526</f>
        <v>54510.600000000006</v>
      </c>
      <c r="AE516" s="476">
        <f>AE518+AE526</f>
        <v>54510.600000000006</v>
      </c>
      <c r="AF516" s="476">
        <f>AF518+AF526</f>
        <v>54510.600000000006</v>
      </c>
      <c r="AG516" s="554"/>
      <c r="AH516" s="554"/>
      <c r="AI516" s="456"/>
    </row>
    <row r="517" spans="1:35" s="363" customFormat="1"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521" t="s">
        <v>1847</v>
      </c>
      <c r="Y517" s="579" t="s">
        <v>1395</v>
      </c>
      <c r="Z517" s="235">
        <v>11</v>
      </c>
      <c r="AA517" s="235" t="s">
        <v>567</v>
      </c>
      <c r="AB517" s="443" t="s">
        <v>1776</v>
      </c>
      <c r="AC517" s="584"/>
      <c r="AD517" s="292">
        <f>AD518+AD526</f>
        <v>54510.600000000006</v>
      </c>
      <c r="AE517" s="476">
        <f>AE518+AE526</f>
        <v>54510.600000000006</v>
      </c>
      <c r="AF517" s="476">
        <f>AF518+AF526</f>
        <v>54510.600000000006</v>
      </c>
      <c r="AG517" s="554"/>
      <c r="AH517" s="554"/>
      <c r="AI517" s="456"/>
    </row>
    <row r="518" spans="1:35" s="363" customFormat="1"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521" t="s">
        <v>1848</v>
      </c>
      <c r="Y518" s="579" t="s">
        <v>1395</v>
      </c>
      <c r="Z518" s="235">
        <v>11</v>
      </c>
      <c r="AA518" s="235" t="s">
        <v>567</v>
      </c>
      <c r="AB518" s="443" t="s">
        <v>1781</v>
      </c>
      <c r="AC518" s="584"/>
      <c r="AD518" s="292">
        <f t="shared" ref="AD518:AF519" si="121">AD519</f>
        <v>3300</v>
      </c>
      <c r="AE518" s="476">
        <f t="shared" si="121"/>
        <v>3300</v>
      </c>
      <c r="AF518" s="476">
        <f t="shared" si="121"/>
        <v>3300</v>
      </c>
      <c r="AG518" s="554"/>
      <c r="AH518" s="554"/>
      <c r="AI518" s="456"/>
    </row>
    <row r="519" spans="1:35" s="363" customFormat="1" ht="31.5"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521" t="s">
        <v>1849</v>
      </c>
      <c r="Y519" s="579" t="s">
        <v>1395</v>
      </c>
      <c r="Z519" s="235">
        <v>11</v>
      </c>
      <c r="AA519" s="235" t="s">
        <v>567</v>
      </c>
      <c r="AB519" s="443" t="s">
        <v>1800</v>
      </c>
      <c r="AC519" s="584"/>
      <c r="AD519" s="292">
        <f t="shared" si="121"/>
        <v>3300</v>
      </c>
      <c r="AE519" s="476">
        <f t="shared" si="121"/>
        <v>3300</v>
      </c>
      <c r="AF519" s="476">
        <f t="shared" si="121"/>
        <v>3300</v>
      </c>
      <c r="AG519" s="554"/>
      <c r="AH519" s="554"/>
      <c r="AI519" s="456"/>
    </row>
    <row r="520" spans="1:35" s="363" customFormat="1" ht="31.5"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529" t="s">
        <v>1852</v>
      </c>
      <c r="Y520" s="246" t="s">
        <v>1395</v>
      </c>
      <c r="Z520" s="235">
        <v>11</v>
      </c>
      <c r="AA520" s="235" t="s">
        <v>567</v>
      </c>
      <c r="AB520" s="443" t="s">
        <v>1853</v>
      </c>
      <c r="AC520" s="576"/>
      <c r="AD520" s="292">
        <f>AD521+AD523</f>
        <v>3300</v>
      </c>
      <c r="AE520" s="476">
        <f>AE521+AE523</f>
        <v>3300</v>
      </c>
      <c r="AF520" s="476">
        <f>AF521+AF523</f>
        <v>3300</v>
      </c>
      <c r="AG520" s="554"/>
      <c r="AH520" s="554"/>
      <c r="AI520" s="456"/>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520" t="s">
        <v>1782</v>
      </c>
      <c r="Y521" s="246" t="s">
        <v>1395</v>
      </c>
      <c r="Z521" s="235">
        <v>11</v>
      </c>
      <c r="AA521" s="235" t="s">
        <v>567</v>
      </c>
      <c r="AB521" s="443" t="s">
        <v>1853</v>
      </c>
      <c r="AC521" s="238">
        <v>200</v>
      </c>
      <c r="AD521" s="292">
        <f>AD522</f>
        <v>2544.9</v>
      </c>
      <c r="AE521" s="476">
        <f>AE522</f>
        <v>3300</v>
      </c>
      <c r="AF521" s="476">
        <f>AF522</f>
        <v>3300</v>
      </c>
      <c r="AG521" s="554"/>
      <c r="AH521" s="554"/>
      <c r="AI521" s="456"/>
    </row>
    <row r="522" spans="1:35" s="363" customFormat="1" ht="31.5"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20" t="s">
        <v>1274</v>
      </c>
      <c r="Y522" s="246" t="s">
        <v>1395</v>
      </c>
      <c r="Z522" s="235">
        <v>11</v>
      </c>
      <c r="AA522" s="235" t="s">
        <v>567</v>
      </c>
      <c r="AB522" s="443" t="s">
        <v>1853</v>
      </c>
      <c r="AC522" s="238">
        <v>240</v>
      </c>
      <c r="AD522" s="292">
        <f>3300-100-50-260-300-45.1</f>
        <v>2544.9</v>
      </c>
      <c r="AE522" s="476">
        <v>3300</v>
      </c>
      <c r="AF522" s="476">
        <v>3300</v>
      </c>
      <c r="AG522" s="554"/>
      <c r="AH522" s="554"/>
      <c r="AI522" s="456"/>
    </row>
    <row r="523" spans="1:35" s="363" customFormat="1" ht="31.5"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634" t="s">
        <v>1343</v>
      </c>
      <c r="Y523" s="246" t="s">
        <v>1395</v>
      </c>
      <c r="Z523" s="235">
        <v>11</v>
      </c>
      <c r="AA523" s="235" t="s">
        <v>567</v>
      </c>
      <c r="AB523" s="443" t="s">
        <v>1853</v>
      </c>
      <c r="AC523" s="633">
        <v>600</v>
      </c>
      <c r="AD523" s="292">
        <f>AD524+AD525</f>
        <v>755.1</v>
      </c>
      <c r="AE523" s="476">
        <f>AE524</f>
        <v>0</v>
      </c>
      <c r="AF523" s="476">
        <f>AF524</f>
        <v>0</v>
      </c>
      <c r="AG523" s="554"/>
      <c r="AH523" s="554"/>
      <c r="AI523" s="456"/>
    </row>
    <row r="524" spans="1:35" s="363" customFormat="1"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629" t="s">
        <v>1344</v>
      </c>
      <c r="Y524" s="246" t="s">
        <v>1395</v>
      </c>
      <c r="Z524" s="235">
        <v>11</v>
      </c>
      <c r="AA524" s="235" t="s">
        <v>567</v>
      </c>
      <c r="AB524" s="443" t="s">
        <v>1853</v>
      </c>
      <c r="AC524" s="633">
        <v>610</v>
      </c>
      <c r="AD524" s="292">
        <f>100+260+300+45.1</f>
        <v>705.1</v>
      </c>
      <c r="AE524" s="476">
        <v>0</v>
      </c>
      <c r="AF524" s="476">
        <v>0</v>
      </c>
      <c r="AG524" s="554"/>
      <c r="AH524" s="554"/>
      <c r="AI524" s="456"/>
    </row>
    <row r="525" spans="1:35" s="363" customFormat="1"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520" t="s">
        <v>1801</v>
      </c>
      <c r="Y525" s="246" t="s">
        <v>1395</v>
      </c>
      <c r="Z525" s="235">
        <v>11</v>
      </c>
      <c r="AA525" s="235" t="s">
        <v>567</v>
      </c>
      <c r="AB525" s="443" t="s">
        <v>1853</v>
      </c>
      <c r="AC525" s="633">
        <v>620</v>
      </c>
      <c r="AD525" s="292">
        <v>50</v>
      </c>
      <c r="AE525" s="476">
        <v>0</v>
      </c>
      <c r="AF525" s="476">
        <v>0</v>
      </c>
      <c r="AG525" s="554"/>
      <c r="AH525" s="554"/>
      <c r="AI525" s="456"/>
    </row>
    <row r="526" spans="1:35" s="363" customFormat="1"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562" t="s">
        <v>2264</v>
      </c>
      <c r="Y526" s="246" t="s">
        <v>1395</v>
      </c>
      <c r="Z526" s="235">
        <v>11</v>
      </c>
      <c r="AA526" s="235" t="s">
        <v>567</v>
      </c>
      <c r="AB526" s="443" t="s">
        <v>2267</v>
      </c>
      <c r="AC526" s="238"/>
      <c r="AD526" s="292">
        <f t="shared" ref="AD526:AF527" si="122">AD527</f>
        <v>51210.600000000006</v>
      </c>
      <c r="AE526" s="476">
        <f t="shared" si="122"/>
        <v>51210.600000000006</v>
      </c>
      <c r="AF526" s="476">
        <f t="shared" si="122"/>
        <v>51210.600000000006</v>
      </c>
      <c r="AG526" s="554"/>
      <c r="AH526" s="554"/>
      <c r="AI526" s="456"/>
    </row>
    <row r="527" spans="1:35" s="363" customFormat="1"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520" t="s">
        <v>2336</v>
      </c>
      <c r="Y527" s="246" t="s">
        <v>1395</v>
      </c>
      <c r="Z527" s="235">
        <v>11</v>
      </c>
      <c r="AA527" s="235" t="s">
        <v>567</v>
      </c>
      <c r="AB527" s="443" t="s">
        <v>2268</v>
      </c>
      <c r="AC527" s="238"/>
      <c r="AD527" s="292">
        <f t="shared" si="122"/>
        <v>51210.600000000006</v>
      </c>
      <c r="AE527" s="476">
        <f t="shared" si="122"/>
        <v>51210.600000000006</v>
      </c>
      <c r="AF527" s="476">
        <f t="shared" si="122"/>
        <v>51210.600000000006</v>
      </c>
      <c r="AG527" s="554"/>
      <c r="AH527" s="554"/>
      <c r="AI527" s="456"/>
    </row>
    <row r="528" spans="1:35" s="363" customFormat="1" ht="31.5" x14ac:dyDescent="0.25">
      <c r="A528" s="335"/>
      <c r="B528" s="336"/>
      <c r="C528" s="336"/>
      <c r="D528" s="338"/>
      <c r="E528" s="339"/>
      <c r="F528" s="339"/>
      <c r="G528" s="340"/>
      <c r="H528" s="340"/>
      <c r="I528" s="340"/>
      <c r="J528" s="340"/>
      <c r="K528" s="340"/>
      <c r="L528" s="340"/>
      <c r="M528" s="340"/>
      <c r="N528" s="340"/>
      <c r="O528" s="341"/>
      <c r="P528" s="340"/>
      <c r="Q528" s="342"/>
      <c r="R528" s="362"/>
      <c r="S528" s="362"/>
      <c r="T528" s="362"/>
      <c r="U528" s="362"/>
      <c r="V528" s="362"/>
      <c r="W528" s="362"/>
      <c r="X528" s="520" t="s">
        <v>2265</v>
      </c>
      <c r="Y528" s="579" t="s">
        <v>1395</v>
      </c>
      <c r="Z528" s="235">
        <v>11</v>
      </c>
      <c r="AA528" s="235" t="s">
        <v>567</v>
      </c>
      <c r="AB528" s="443" t="s">
        <v>2266</v>
      </c>
      <c r="AC528" s="238"/>
      <c r="AD528" s="292">
        <f>AD529+AD532</f>
        <v>51210.600000000006</v>
      </c>
      <c r="AE528" s="292">
        <f t="shared" ref="AE528:AF528" si="123">AE529+AE532</f>
        <v>51210.600000000006</v>
      </c>
      <c r="AF528" s="292">
        <f t="shared" si="123"/>
        <v>51210.600000000006</v>
      </c>
      <c r="AG528" s="554"/>
      <c r="AH528" s="554"/>
      <c r="AI528" s="456"/>
    </row>
    <row r="529" spans="1:35" s="363" customFormat="1" ht="47.25" x14ac:dyDescent="0.25">
      <c r="A529" s="335"/>
      <c r="B529" s="336"/>
      <c r="C529" s="336"/>
      <c r="D529" s="338"/>
      <c r="E529" s="339"/>
      <c r="F529" s="339"/>
      <c r="G529" s="340"/>
      <c r="H529" s="340"/>
      <c r="I529" s="340"/>
      <c r="J529" s="340"/>
      <c r="K529" s="340"/>
      <c r="L529" s="340"/>
      <c r="M529" s="340"/>
      <c r="N529" s="340"/>
      <c r="O529" s="341"/>
      <c r="P529" s="340"/>
      <c r="Q529" s="342"/>
      <c r="R529" s="362"/>
      <c r="S529" s="362"/>
      <c r="T529" s="362"/>
      <c r="U529" s="362"/>
      <c r="V529" s="362"/>
      <c r="W529" s="362"/>
      <c r="X529" s="629" t="s">
        <v>2297</v>
      </c>
      <c r="Y529" s="630" t="s">
        <v>1395</v>
      </c>
      <c r="Z529" s="631">
        <v>11</v>
      </c>
      <c r="AA529" s="631" t="s">
        <v>567</v>
      </c>
      <c r="AB529" s="632" t="s">
        <v>2298</v>
      </c>
      <c r="AC529" s="633"/>
      <c r="AD529" s="749">
        <f t="shared" ref="AD529:AF530" si="124">AD530</f>
        <v>32762.400000000001</v>
      </c>
      <c r="AE529" s="627">
        <f t="shared" si="124"/>
        <v>32762.400000000001</v>
      </c>
      <c r="AF529" s="627">
        <f t="shared" si="124"/>
        <v>32762.400000000001</v>
      </c>
      <c r="AG529" s="650"/>
      <c r="AH529" s="650"/>
      <c r="AI529" s="456"/>
    </row>
    <row r="530" spans="1:35" s="363" customFormat="1" ht="31.5" x14ac:dyDescent="0.25">
      <c r="A530" s="335"/>
      <c r="B530" s="336"/>
      <c r="C530" s="336"/>
      <c r="D530" s="338"/>
      <c r="E530" s="339"/>
      <c r="F530" s="339"/>
      <c r="G530" s="340"/>
      <c r="H530" s="340"/>
      <c r="I530" s="340"/>
      <c r="J530" s="340"/>
      <c r="K530" s="340"/>
      <c r="L530" s="340"/>
      <c r="M530" s="340"/>
      <c r="N530" s="340"/>
      <c r="O530" s="341"/>
      <c r="P530" s="340"/>
      <c r="Q530" s="342"/>
      <c r="R530" s="362"/>
      <c r="S530" s="362"/>
      <c r="T530" s="362"/>
      <c r="U530" s="362"/>
      <c r="V530" s="362"/>
      <c r="W530" s="362"/>
      <c r="X530" s="634" t="s">
        <v>1343</v>
      </c>
      <c r="Y530" s="630" t="s">
        <v>1395</v>
      </c>
      <c r="Z530" s="631">
        <v>11</v>
      </c>
      <c r="AA530" s="631" t="s">
        <v>567</v>
      </c>
      <c r="AB530" s="632" t="s">
        <v>2298</v>
      </c>
      <c r="AC530" s="633">
        <v>600</v>
      </c>
      <c r="AD530" s="749">
        <f t="shared" si="124"/>
        <v>32762.400000000001</v>
      </c>
      <c r="AE530" s="627">
        <f t="shared" si="124"/>
        <v>32762.400000000001</v>
      </c>
      <c r="AF530" s="627">
        <f t="shared" si="124"/>
        <v>32762.400000000001</v>
      </c>
      <c r="AG530" s="650"/>
      <c r="AH530" s="650"/>
      <c r="AI530" s="456"/>
    </row>
    <row r="531" spans="1:35" s="363" customFormat="1" x14ac:dyDescent="0.25">
      <c r="A531" s="335"/>
      <c r="B531" s="336"/>
      <c r="C531" s="336"/>
      <c r="D531" s="338"/>
      <c r="E531" s="339"/>
      <c r="F531" s="339"/>
      <c r="G531" s="340"/>
      <c r="H531" s="340"/>
      <c r="I531" s="340"/>
      <c r="J531" s="340"/>
      <c r="K531" s="340"/>
      <c r="L531" s="340"/>
      <c r="M531" s="340"/>
      <c r="N531" s="340"/>
      <c r="O531" s="341"/>
      <c r="P531" s="340"/>
      <c r="Q531" s="342"/>
      <c r="R531" s="362"/>
      <c r="S531" s="362"/>
      <c r="T531" s="362"/>
      <c r="U531" s="362"/>
      <c r="V531" s="362"/>
      <c r="W531" s="362"/>
      <c r="X531" s="629" t="s">
        <v>1344</v>
      </c>
      <c r="Y531" s="630" t="s">
        <v>1395</v>
      </c>
      <c r="Z531" s="631">
        <v>11</v>
      </c>
      <c r="AA531" s="631" t="s">
        <v>567</v>
      </c>
      <c r="AB531" s="632" t="s">
        <v>2298</v>
      </c>
      <c r="AC531" s="633">
        <v>610</v>
      </c>
      <c r="AD531" s="749">
        <v>32762.400000000001</v>
      </c>
      <c r="AE531" s="627">
        <v>32762.400000000001</v>
      </c>
      <c r="AF531" s="627">
        <v>32762.400000000001</v>
      </c>
      <c r="AG531" s="650"/>
      <c r="AH531" s="650"/>
      <c r="AI531" s="456"/>
    </row>
    <row r="532" spans="1:35" s="363" customFormat="1" ht="63" x14ac:dyDescent="0.25">
      <c r="A532" s="335"/>
      <c r="B532" s="336"/>
      <c r="C532" s="336"/>
      <c r="D532" s="338"/>
      <c r="E532" s="339"/>
      <c r="F532" s="339"/>
      <c r="G532" s="340"/>
      <c r="H532" s="340"/>
      <c r="I532" s="340"/>
      <c r="J532" s="340"/>
      <c r="K532" s="340"/>
      <c r="L532" s="340"/>
      <c r="M532" s="340"/>
      <c r="N532" s="340"/>
      <c r="O532" s="341"/>
      <c r="P532" s="340"/>
      <c r="Q532" s="342"/>
      <c r="R532" s="362"/>
      <c r="S532" s="362"/>
      <c r="T532" s="362"/>
      <c r="U532" s="362"/>
      <c r="V532" s="362"/>
      <c r="W532" s="362"/>
      <c r="X532" s="844" t="s">
        <v>2417</v>
      </c>
      <c r="Y532" s="630" t="s">
        <v>1395</v>
      </c>
      <c r="Z532" s="631">
        <v>11</v>
      </c>
      <c r="AA532" s="631" t="s">
        <v>567</v>
      </c>
      <c r="AB532" s="632" t="s">
        <v>2299</v>
      </c>
      <c r="AC532" s="633"/>
      <c r="AD532" s="749">
        <f t="shared" ref="AD532:AF533" si="125">AD533</f>
        <v>18448.2</v>
      </c>
      <c r="AE532" s="627">
        <f t="shared" si="125"/>
        <v>18448.2</v>
      </c>
      <c r="AF532" s="627">
        <f t="shared" si="125"/>
        <v>18448.2</v>
      </c>
      <c r="AG532" s="650"/>
      <c r="AH532" s="650"/>
      <c r="AI532" s="456"/>
    </row>
    <row r="533" spans="1:35" s="363" customFormat="1" ht="31.5" x14ac:dyDescent="0.25">
      <c r="A533" s="335"/>
      <c r="B533" s="336"/>
      <c r="C533" s="336"/>
      <c r="D533" s="338"/>
      <c r="E533" s="339"/>
      <c r="F533" s="339"/>
      <c r="G533" s="340"/>
      <c r="H533" s="340"/>
      <c r="I533" s="340"/>
      <c r="J533" s="340"/>
      <c r="K533" s="340"/>
      <c r="L533" s="340"/>
      <c r="M533" s="340"/>
      <c r="N533" s="340"/>
      <c r="O533" s="341"/>
      <c r="P533" s="340"/>
      <c r="Q533" s="342"/>
      <c r="R533" s="362"/>
      <c r="S533" s="362"/>
      <c r="T533" s="362"/>
      <c r="U533" s="362"/>
      <c r="V533" s="362"/>
      <c r="W533" s="362"/>
      <c r="X533" s="634" t="s">
        <v>1343</v>
      </c>
      <c r="Y533" s="630" t="s">
        <v>1395</v>
      </c>
      <c r="Z533" s="631">
        <v>11</v>
      </c>
      <c r="AA533" s="631" t="s">
        <v>567</v>
      </c>
      <c r="AB533" s="632" t="s">
        <v>2299</v>
      </c>
      <c r="AC533" s="633">
        <v>600</v>
      </c>
      <c r="AD533" s="749">
        <f t="shared" si="125"/>
        <v>18448.2</v>
      </c>
      <c r="AE533" s="627">
        <f t="shared" si="125"/>
        <v>18448.2</v>
      </c>
      <c r="AF533" s="627">
        <f t="shared" si="125"/>
        <v>18448.2</v>
      </c>
      <c r="AG533" s="650"/>
      <c r="AH533" s="650"/>
      <c r="AI533" s="456"/>
    </row>
    <row r="534" spans="1:35" s="363" customFormat="1" x14ac:dyDescent="0.25">
      <c r="A534" s="335"/>
      <c r="B534" s="336"/>
      <c r="C534" s="336"/>
      <c r="D534" s="338"/>
      <c r="E534" s="339"/>
      <c r="F534" s="339"/>
      <c r="G534" s="340"/>
      <c r="H534" s="340"/>
      <c r="I534" s="340"/>
      <c r="J534" s="340"/>
      <c r="K534" s="340"/>
      <c r="L534" s="340"/>
      <c r="M534" s="340"/>
      <c r="N534" s="340"/>
      <c r="O534" s="341"/>
      <c r="P534" s="340"/>
      <c r="Q534" s="342"/>
      <c r="R534" s="362"/>
      <c r="S534" s="362"/>
      <c r="T534" s="362"/>
      <c r="U534" s="362"/>
      <c r="V534" s="362"/>
      <c r="W534" s="362"/>
      <c r="X534" s="629" t="s">
        <v>1344</v>
      </c>
      <c r="Y534" s="630" t="s">
        <v>1395</v>
      </c>
      <c r="Z534" s="631">
        <v>11</v>
      </c>
      <c r="AA534" s="631" t="s">
        <v>567</v>
      </c>
      <c r="AB534" s="632" t="s">
        <v>2299</v>
      </c>
      <c r="AC534" s="633">
        <v>610</v>
      </c>
      <c r="AD534" s="749">
        <v>18448.2</v>
      </c>
      <c r="AE534" s="627">
        <v>18448.2</v>
      </c>
      <c r="AF534" s="627">
        <v>18448.2</v>
      </c>
      <c r="AG534" s="650"/>
      <c r="AH534" s="650"/>
      <c r="AI534" s="456"/>
    </row>
    <row r="535" spans="1:35" s="363" customFormat="1" x14ac:dyDescent="0.25">
      <c r="A535" s="335"/>
      <c r="B535" s="336"/>
      <c r="C535" s="336"/>
      <c r="D535" s="338"/>
      <c r="E535" s="339"/>
      <c r="F535" s="339"/>
      <c r="G535" s="340"/>
      <c r="H535" s="340"/>
      <c r="I535" s="340"/>
      <c r="J535" s="340"/>
      <c r="K535" s="340"/>
      <c r="L535" s="340"/>
      <c r="M535" s="340"/>
      <c r="N535" s="340"/>
      <c r="O535" s="341"/>
      <c r="P535" s="340"/>
      <c r="Q535" s="342"/>
      <c r="R535" s="362"/>
      <c r="S535" s="362"/>
      <c r="T535" s="362"/>
      <c r="U535" s="362"/>
      <c r="V535" s="362"/>
      <c r="W535" s="362"/>
      <c r="X535" s="559" t="s">
        <v>1641</v>
      </c>
      <c r="Y535" s="575" t="s">
        <v>1395</v>
      </c>
      <c r="Z535" s="263">
        <v>13</v>
      </c>
      <c r="AA535" s="247"/>
      <c r="AB535" s="271"/>
      <c r="AC535" s="576"/>
      <c r="AD535" s="745">
        <f>AD536</f>
        <v>15332.500000000002</v>
      </c>
      <c r="AE535" s="479">
        <f>AE536</f>
        <v>25000</v>
      </c>
      <c r="AF535" s="479">
        <f>AF536</f>
        <v>25000</v>
      </c>
      <c r="AG535" s="650"/>
      <c r="AH535" s="650"/>
      <c r="AI535" s="456"/>
    </row>
    <row r="536" spans="1:35" s="363" customFormat="1" x14ac:dyDescent="0.25">
      <c r="A536" s="335"/>
      <c r="B536" s="336"/>
      <c r="C536" s="336"/>
      <c r="D536" s="338"/>
      <c r="E536" s="339"/>
      <c r="F536" s="339"/>
      <c r="G536" s="340"/>
      <c r="H536" s="340"/>
      <c r="I536" s="340"/>
      <c r="J536" s="340"/>
      <c r="K536" s="340"/>
      <c r="L536" s="340"/>
      <c r="M536" s="340"/>
      <c r="N536" s="340"/>
      <c r="O536" s="341"/>
      <c r="P536" s="340"/>
      <c r="Q536" s="342"/>
      <c r="R536" s="362"/>
      <c r="S536" s="362"/>
      <c r="T536" s="362"/>
      <c r="U536" s="362"/>
      <c r="V536" s="362"/>
      <c r="W536" s="362"/>
      <c r="X536" s="520" t="s">
        <v>2302</v>
      </c>
      <c r="Y536" s="246" t="s">
        <v>1395</v>
      </c>
      <c r="Z536" s="255">
        <v>13</v>
      </c>
      <c r="AA536" s="235" t="s">
        <v>566</v>
      </c>
      <c r="AB536" s="270"/>
      <c r="AC536" s="238"/>
      <c r="AD536" s="292">
        <f>AD541</f>
        <v>15332.500000000002</v>
      </c>
      <c r="AE536" s="476">
        <f>AE541</f>
        <v>25000</v>
      </c>
      <c r="AF536" s="476">
        <f>AF541</f>
        <v>25000</v>
      </c>
      <c r="AG536" s="650"/>
      <c r="AH536" s="650"/>
      <c r="AI536" s="456"/>
    </row>
    <row r="537" spans="1:35" s="363" customFormat="1" x14ac:dyDescent="0.25">
      <c r="A537" s="335"/>
      <c r="B537" s="336"/>
      <c r="C537" s="336"/>
      <c r="D537" s="338"/>
      <c r="E537" s="339"/>
      <c r="F537" s="339"/>
      <c r="G537" s="340"/>
      <c r="H537" s="340"/>
      <c r="I537" s="340"/>
      <c r="J537" s="340"/>
      <c r="K537" s="340"/>
      <c r="L537" s="340"/>
      <c r="M537" s="340"/>
      <c r="N537" s="340"/>
      <c r="O537" s="341"/>
      <c r="P537" s="340"/>
      <c r="Q537" s="342"/>
      <c r="R537" s="362"/>
      <c r="S537" s="362"/>
      <c r="T537" s="362"/>
      <c r="U537" s="362"/>
      <c r="V537" s="362"/>
      <c r="W537" s="362"/>
      <c r="X537" s="549" t="s">
        <v>1899</v>
      </c>
      <c r="Y537" s="246" t="s">
        <v>1395</v>
      </c>
      <c r="Z537" s="255">
        <v>13</v>
      </c>
      <c r="AA537" s="235" t="s">
        <v>566</v>
      </c>
      <c r="AB537" s="443" t="s">
        <v>1772</v>
      </c>
      <c r="AC537" s="238"/>
      <c r="AD537" s="292">
        <f>AD541</f>
        <v>15332.500000000002</v>
      </c>
      <c r="AE537" s="476">
        <f>AE541</f>
        <v>25000</v>
      </c>
      <c r="AF537" s="476">
        <f>AF541</f>
        <v>25000</v>
      </c>
      <c r="AG537" s="650"/>
      <c r="AH537" s="650"/>
      <c r="AI537" s="456"/>
    </row>
    <row r="538" spans="1:35" s="363" customFormat="1" x14ac:dyDescent="0.25">
      <c r="A538" s="335"/>
      <c r="B538" s="336"/>
      <c r="C538" s="336"/>
      <c r="D538" s="338"/>
      <c r="E538" s="339"/>
      <c r="F538" s="339"/>
      <c r="G538" s="340"/>
      <c r="H538" s="340"/>
      <c r="I538" s="340"/>
      <c r="J538" s="340"/>
      <c r="K538" s="340"/>
      <c r="L538" s="340"/>
      <c r="M538" s="340"/>
      <c r="N538" s="340"/>
      <c r="O538" s="341"/>
      <c r="P538" s="340"/>
      <c r="Q538" s="342"/>
      <c r="R538" s="362"/>
      <c r="S538" s="362"/>
      <c r="T538" s="362"/>
      <c r="U538" s="362"/>
      <c r="V538" s="362"/>
      <c r="W538" s="362"/>
      <c r="X538" s="549" t="s">
        <v>1903</v>
      </c>
      <c r="Y538" s="246" t="s">
        <v>1395</v>
      </c>
      <c r="Z538" s="255">
        <v>13</v>
      </c>
      <c r="AA538" s="235" t="s">
        <v>566</v>
      </c>
      <c r="AB538" s="443" t="s">
        <v>1808</v>
      </c>
      <c r="AC538" s="238"/>
      <c r="AD538" s="292">
        <f t="shared" ref="AD538:AF538" si="126">AD540</f>
        <v>15332.500000000002</v>
      </c>
      <c r="AE538" s="476">
        <f t="shared" si="126"/>
        <v>25000</v>
      </c>
      <c r="AF538" s="476">
        <f t="shared" si="126"/>
        <v>25000</v>
      </c>
      <c r="AG538" s="650"/>
      <c r="AH538" s="650"/>
      <c r="AI538" s="456"/>
    </row>
    <row r="539" spans="1:35" s="363" customFormat="1" x14ac:dyDescent="0.25">
      <c r="A539" s="335"/>
      <c r="B539" s="336"/>
      <c r="C539" s="336"/>
      <c r="D539" s="338"/>
      <c r="E539" s="339"/>
      <c r="F539" s="339"/>
      <c r="G539" s="340"/>
      <c r="H539" s="340"/>
      <c r="I539" s="340"/>
      <c r="J539" s="340"/>
      <c r="K539" s="340"/>
      <c r="L539" s="340"/>
      <c r="M539" s="340"/>
      <c r="N539" s="340"/>
      <c r="O539" s="341"/>
      <c r="P539" s="340"/>
      <c r="Q539" s="342"/>
      <c r="R539" s="362"/>
      <c r="S539" s="362"/>
      <c r="T539" s="362"/>
      <c r="U539" s="362"/>
      <c r="V539" s="362"/>
      <c r="W539" s="362"/>
      <c r="X539" s="530" t="s">
        <v>1904</v>
      </c>
      <c r="Y539" s="246" t="s">
        <v>1395</v>
      </c>
      <c r="Z539" s="255">
        <v>13</v>
      </c>
      <c r="AA539" s="235" t="s">
        <v>566</v>
      </c>
      <c r="AB539" s="443" t="s">
        <v>1905</v>
      </c>
      <c r="AC539" s="238"/>
      <c r="AD539" s="292">
        <f t="shared" ref="AD539:AF539" si="127">AD540</f>
        <v>15332.500000000002</v>
      </c>
      <c r="AE539" s="476">
        <f t="shared" si="127"/>
        <v>25000</v>
      </c>
      <c r="AF539" s="476">
        <f t="shared" si="127"/>
        <v>25000</v>
      </c>
      <c r="AG539" s="650"/>
      <c r="AH539" s="650"/>
      <c r="AI539" s="456"/>
    </row>
    <row r="540" spans="1:35" x14ac:dyDescent="0.25">
      <c r="A540" s="356"/>
      <c r="B540" s="345"/>
      <c r="C540" s="345"/>
      <c r="D540" s="346"/>
      <c r="E540" s="346"/>
      <c r="F540" s="346"/>
      <c r="G540" s="402"/>
      <c r="H540" s="402"/>
      <c r="I540" s="402"/>
      <c r="J540" s="402"/>
      <c r="K540" s="402"/>
      <c r="L540" s="340"/>
      <c r="M540" s="402"/>
      <c r="N540" s="340"/>
      <c r="O540" s="349"/>
      <c r="P540" s="402"/>
      <c r="Q540" s="350"/>
      <c r="R540" s="403"/>
      <c r="S540" s="403"/>
      <c r="T540" s="403"/>
      <c r="U540" s="403"/>
      <c r="V540" s="403"/>
      <c r="W540" s="403"/>
      <c r="X540" s="520" t="s">
        <v>1568</v>
      </c>
      <c r="Y540" s="246" t="s">
        <v>1395</v>
      </c>
      <c r="Z540" s="255">
        <v>13</v>
      </c>
      <c r="AA540" s="235" t="s">
        <v>566</v>
      </c>
      <c r="AB540" s="443" t="s">
        <v>1907</v>
      </c>
      <c r="AC540" s="238">
        <v>700</v>
      </c>
      <c r="AD540" s="292">
        <f t="shared" ref="AD540:AF540" si="128">AD541</f>
        <v>15332.500000000002</v>
      </c>
      <c r="AE540" s="476">
        <f t="shared" si="128"/>
        <v>25000</v>
      </c>
      <c r="AF540" s="476">
        <f t="shared" si="128"/>
        <v>25000</v>
      </c>
      <c r="AG540" s="554"/>
      <c r="AH540" s="554"/>
      <c r="AI540" s="456"/>
    </row>
    <row r="541" spans="1:35" s="370" customFormat="1" x14ac:dyDescent="0.25">
      <c r="A541" s="357"/>
      <c r="B541" s="345"/>
      <c r="C541" s="345"/>
      <c r="D541" s="346"/>
      <c r="E541" s="346"/>
      <c r="F541" s="346"/>
      <c r="G541" s="402"/>
      <c r="H541" s="372"/>
      <c r="I541" s="313"/>
      <c r="J541" s="313"/>
      <c r="K541" s="313"/>
      <c r="L541" s="340"/>
      <c r="M541" s="313"/>
      <c r="N541" s="340"/>
      <c r="O541" s="349"/>
      <c r="P541" s="402"/>
      <c r="Q541" s="350"/>
      <c r="R541" s="351"/>
      <c r="S541" s="354"/>
      <c r="T541" s="354"/>
      <c r="U541" s="354"/>
      <c r="V541" s="354"/>
      <c r="W541" s="372"/>
      <c r="X541" s="520" t="s">
        <v>2257</v>
      </c>
      <c r="Y541" s="246" t="s">
        <v>1395</v>
      </c>
      <c r="Z541" s="255">
        <v>13</v>
      </c>
      <c r="AA541" s="235" t="s">
        <v>566</v>
      </c>
      <c r="AB541" s="443" t="s">
        <v>1907</v>
      </c>
      <c r="AC541" s="238">
        <v>730</v>
      </c>
      <c r="AD541" s="292">
        <f>25000-4699.1-4968.4</f>
        <v>15332.500000000002</v>
      </c>
      <c r="AE541" s="476">
        <v>25000</v>
      </c>
      <c r="AF541" s="476">
        <v>25000</v>
      </c>
      <c r="AG541" s="554"/>
      <c r="AH541" s="554"/>
      <c r="AI541" s="456"/>
    </row>
    <row r="542" spans="1:35" ht="18.75" x14ac:dyDescent="0.3">
      <c r="A542" s="335"/>
      <c r="B542" s="345"/>
      <c r="C542" s="313"/>
      <c r="D542" s="313"/>
      <c r="E542" s="313"/>
      <c r="F542" s="313"/>
      <c r="G542" s="313"/>
      <c r="H542" s="361"/>
      <c r="I542" s="358"/>
      <c r="J542" s="358"/>
      <c r="K542" s="358"/>
      <c r="L542" s="358"/>
      <c r="M542" s="358"/>
      <c r="N542" s="358"/>
      <c r="O542" s="349"/>
      <c r="P542" s="303"/>
      <c r="Q542" s="300"/>
      <c r="R542" s="404"/>
      <c r="S542" s="305"/>
      <c r="T542" s="300"/>
      <c r="U542" s="300"/>
      <c r="X542" s="559" t="s">
        <v>1820</v>
      </c>
      <c r="Y542" s="575" t="s">
        <v>192</v>
      </c>
      <c r="Z542" s="264"/>
      <c r="AA542" s="236"/>
      <c r="AB542" s="249"/>
      <c r="AC542" s="577"/>
      <c r="AD542" s="745">
        <f>AD543+AD585+AD576</f>
        <v>12695.4</v>
      </c>
      <c r="AE542" s="745">
        <f t="shared" ref="AE542:AF542" si="129">AE543+AE585+AE576</f>
        <v>11096.4</v>
      </c>
      <c r="AF542" s="745">
        <f t="shared" si="129"/>
        <v>11096.4</v>
      </c>
      <c r="AG542" s="647"/>
      <c r="AH542" s="647"/>
      <c r="AI542" s="456"/>
    </row>
    <row r="543" spans="1:35" s="363" customFormat="1" ht="18.75" x14ac:dyDescent="0.3">
      <c r="A543" s="335"/>
      <c r="B543" s="336"/>
      <c r="C543" s="383"/>
      <c r="D543" s="383"/>
      <c r="E543" s="383"/>
      <c r="F543" s="383"/>
      <c r="G543" s="383"/>
      <c r="H543" s="367"/>
      <c r="I543" s="405"/>
      <c r="J543" s="405"/>
      <c r="K543" s="405"/>
      <c r="L543" s="405"/>
      <c r="M543" s="405"/>
      <c r="N543" s="405"/>
      <c r="O543" s="384"/>
      <c r="P543" s="406"/>
      <c r="Q543" s="367"/>
      <c r="R543" s="404"/>
      <c r="S543" s="407"/>
      <c r="T543" s="367"/>
      <c r="U543" s="367"/>
      <c r="W543" s="367"/>
      <c r="X543" s="559" t="s">
        <v>482</v>
      </c>
      <c r="Y543" s="575" t="s">
        <v>192</v>
      </c>
      <c r="Z543" s="262" t="s">
        <v>566</v>
      </c>
      <c r="AA543" s="248"/>
      <c r="AB543" s="249"/>
      <c r="AC543" s="576"/>
      <c r="AD543" s="745">
        <f>AD544</f>
        <v>12037.1</v>
      </c>
      <c r="AE543" s="479">
        <f>AE544</f>
        <v>10588.1</v>
      </c>
      <c r="AF543" s="479">
        <f>AF544</f>
        <v>10588.1</v>
      </c>
      <c r="AG543" s="647"/>
      <c r="AH543" s="647"/>
      <c r="AI543" s="456"/>
    </row>
    <row r="544" spans="1:35" ht="31.5" x14ac:dyDescent="0.25">
      <c r="A544" s="257" t="s">
        <v>1612</v>
      </c>
      <c r="X544" s="520" t="s">
        <v>560</v>
      </c>
      <c r="Y544" s="246" t="s">
        <v>192</v>
      </c>
      <c r="Z544" s="235" t="s">
        <v>566</v>
      </c>
      <c r="AA544" s="235" t="s">
        <v>193</v>
      </c>
      <c r="AB544" s="271"/>
      <c r="AC544" s="577"/>
      <c r="AD544" s="292">
        <f>AD551+AD557+AD545</f>
        <v>12037.1</v>
      </c>
      <c r="AE544" s="292">
        <f>AE551+AE557+AE545</f>
        <v>10588.1</v>
      </c>
      <c r="AF544" s="292">
        <f>AF551+AF557+AF545</f>
        <v>10588.1</v>
      </c>
      <c r="AG544" s="554"/>
      <c r="AH544" s="554"/>
      <c r="AI544" s="456"/>
    </row>
    <row r="545" spans="1:35" x14ac:dyDescent="0.25">
      <c r="X545" s="521" t="s">
        <v>1999</v>
      </c>
      <c r="Y545" s="246" t="s">
        <v>192</v>
      </c>
      <c r="Z545" s="235" t="s">
        <v>566</v>
      </c>
      <c r="AA545" s="235" t="s">
        <v>193</v>
      </c>
      <c r="AB545" s="443" t="s">
        <v>1775</v>
      </c>
      <c r="AC545" s="577"/>
      <c r="AD545" s="292">
        <f>AD546</f>
        <v>249</v>
      </c>
      <c r="AE545" s="292">
        <f>AE546</f>
        <v>0</v>
      </c>
      <c r="AF545" s="292">
        <f>AF546</f>
        <v>0</v>
      </c>
      <c r="AG545" s="554"/>
      <c r="AH545" s="554"/>
      <c r="AI545" s="456"/>
    </row>
    <row r="546" spans="1:35" x14ac:dyDescent="0.25">
      <c r="X546" s="518" t="s">
        <v>2340</v>
      </c>
      <c r="Y546" s="246" t="s">
        <v>192</v>
      </c>
      <c r="Z546" s="235" t="s">
        <v>566</v>
      </c>
      <c r="AA546" s="235" t="s">
        <v>193</v>
      </c>
      <c r="AB546" s="443" t="s">
        <v>1802</v>
      </c>
      <c r="AC546" s="577"/>
      <c r="AD546" s="292">
        <f t="shared" ref="AD546:AF548" si="130">AD547</f>
        <v>249</v>
      </c>
      <c r="AE546" s="292">
        <f t="shared" si="130"/>
        <v>0</v>
      </c>
      <c r="AF546" s="292">
        <f t="shared" si="130"/>
        <v>0</v>
      </c>
      <c r="AG546" s="554"/>
      <c r="AH546" s="554"/>
      <c r="AI546" s="456"/>
    </row>
    <row r="547" spans="1:35" ht="31.5" x14ac:dyDescent="0.25">
      <c r="X547" s="522" t="s">
        <v>2015</v>
      </c>
      <c r="Y547" s="246" t="s">
        <v>192</v>
      </c>
      <c r="Z547" s="235" t="s">
        <v>566</v>
      </c>
      <c r="AA547" s="235" t="s">
        <v>193</v>
      </c>
      <c r="AB547" s="443" t="s">
        <v>1803</v>
      </c>
      <c r="AC547" s="577"/>
      <c r="AD547" s="292">
        <f t="shared" si="130"/>
        <v>249</v>
      </c>
      <c r="AE547" s="292">
        <f t="shared" si="130"/>
        <v>0</v>
      </c>
      <c r="AF547" s="292">
        <f t="shared" si="130"/>
        <v>0</v>
      </c>
      <c r="AG547" s="554"/>
      <c r="AH547" s="554"/>
      <c r="AI547" s="456"/>
    </row>
    <row r="548" spans="1:35" x14ac:dyDescent="0.25">
      <c r="X548" s="522" t="s">
        <v>2016</v>
      </c>
      <c r="Y548" s="246" t="s">
        <v>192</v>
      </c>
      <c r="Z548" s="235" t="s">
        <v>566</v>
      </c>
      <c r="AA548" s="235" t="s">
        <v>193</v>
      </c>
      <c r="AB548" s="443" t="s">
        <v>2017</v>
      </c>
      <c r="AC548" s="577"/>
      <c r="AD548" s="292">
        <f t="shared" si="130"/>
        <v>249</v>
      </c>
      <c r="AE548" s="292">
        <f t="shared" si="130"/>
        <v>0</v>
      </c>
      <c r="AF548" s="292">
        <f t="shared" si="130"/>
        <v>0</v>
      </c>
      <c r="AG548" s="554"/>
      <c r="AH548" s="554"/>
      <c r="AI548" s="456"/>
    </row>
    <row r="549" spans="1:35" x14ac:dyDescent="0.25">
      <c r="X549" s="520" t="s">
        <v>1782</v>
      </c>
      <c r="Y549" s="246" t="s">
        <v>192</v>
      </c>
      <c r="Z549" s="235" t="s">
        <v>566</v>
      </c>
      <c r="AA549" s="235" t="s">
        <v>193</v>
      </c>
      <c r="AB549" s="443" t="s">
        <v>2017</v>
      </c>
      <c r="AC549" s="238">
        <v>200</v>
      </c>
      <c r="AD549" s="292">
        <f>AD550</f>
        <v>249</v>
      </c>
      <c r="AE549" s="292">
        <f>AE550</f>
        <v>0</v>
      </c>
      <c r="AF549" s="292">
        <f>AF550</f>
        <v>0</v>
      </c>
      <c r="AG549" s="554"/>
      <c r="AH549" s="554"/>
      <c r="AI549" s="456"/>
    </row>
    <row r="550" spans="1:35" ht="31.5" x14ac:dyDescent="0.25">
      <c r="X550" s="520" t="s">
        <v>1274</v>
      </c>
      <c r="Y550" s="246" t="s">
        <v>192</v>
      </c>
      <c r="Z550" s="235" t="s">
        <v>566</v>
      </c>
      <c r="AA550" s="235" t="s">
        <v>193</v>
      </c>
      <c r="AB550" s="443" t="s">
        <v>2017</v>
      </c>
      <c r="AC550" s="577">
        <v>240</v>
      </c>
      <c r="AD550" s="292">
        <v>249</v>
      </c>
      <c r="AE550" s="476">
        <v>0</v>
      </c>
      <c r="AF550" s="476">
        <v>0</v>
      </c>
      <c r="AG550" s="554"/>
      <c r="AH550" s="554"/>
      <c r="AI550" s="456"/>
    </row>
    <row r="551" spans="1:35" ht="31.5" x14ac:dyDescent="0.25">
      <c r="X551" s="521" t="s">
        <v>2104</v>
      </c>
      <c r="Y551" s="246" t="s">
        <v>192</v>
      </c>
      <c r="Z551" s="235" t="s">
        <v>566</v>
      </c>
      <c r="AA551" s="235" t="s">
        <v>193</v>
      </c>
      <c r="AB551" s="443" t="s">
        <v>1806</v>
      </c>
      <c r="AC551" s="238"/>
      <c r="AD551" s="292">
        <f>AD552</f>
        <v>10</v>
      </c>
      <c r="AE551" s="476">
        <f>AE552</f>
        <v>10</v>
      </c>
      <c r="AF551" s="476">
        <f>AF552</f>
        <v>10</v>
      </c>
      <c r="AG551" s="554"/>
      <c r="AH551" s="554"/>
      <c r="AI551" s="456"/>
    </row>
    <row r="552" spans="1:35" ht="47.25" x14ac:dyDescent="0.25">
      <c r="X552" s="521" t="s">
        <v>2105</v>
      </c>
      <c r="Y552" s="246" t="s">
        <v>192</v>
      </c>
      <c r="Z552" s="235" t="s">
        <v>566</v>
      </c>
      <c r="AA552" s="235" t="s">
        <v>193</v>
      </c>
      <c r="AB552" s="443" t="s">
        <v>2106</v>
      </c>
      <c r="AC552" s="238"/>
      <c r="AD552" s="292">
        <f t="shared" ref="AD552:AF555" si="131">AD553</f>
        <v>10</v>
      </c>
      <c r="AE552" s="476">
        <f t="shared" si="131"/>
        <v>10</v>
      </c>
      <c r="AF552" s="476">
        <f t="shared" si="131"/>
        <v>10</v>
      </c>
      <c r="AG552" s="554"/>
      <c r="AH552" s="554"/>
      <c r="AI552" s="456"/>
    </row>
    <row r="553" spans="1:35" ht="31.5" x14ac:dyDescent="0.25">
      <c r="X553" s="529" t="s">
        <v>2107</v>
      </c>
      <c r="Y553" s="246" t="s">
        <v>192</v>
      </c>
      <c r="Z553" s="235" t="s">
        <v>566</v>
      </c>
      <c r="AA553" s="235" t="s">
        <v>193</v>
      </c>
      <c r="AB553" s="443" t="s">
        <v>2108</v>
      </c>
      <c r="AC553" s="238"/>
      <c r="AD553" s="292">
        <f t="shared" si="131"/>
        <v>10</v>
      </c>
      <c r="AE553" s="476">
        <f t="shared" si="131"/>
        <v>10</v>
      </c>
      <c r="AF553" s="476">
        <f t="shared" si="131"/>
        <v>10</v>
      </c>
      <c r="AG553" s="554"/>
      <c r="AH553" s="554"/>
      <c r="AI553" s="456"/>
    </row>
    <row r="554" spans="1:35" ht="94.5" x14ac:dyDescent="0.25">
      <c r="X554" s="529" t="s">
        <v>2244</v>
      </c>
      <c r="Y554" s="246" t="s">
        <v>192</v>
      </c>
      <c r="Z554" s="235" t="s">
        <v>566</v>
      </c>
      <c r="AA554" s="235" t="s">
        <v>193</v>
      </c>
      <c r="AB554" s="472" t="s">
        <v>2109</v>
      </c>
      <c r="AC554" s="238"/>
      <c r="AD554" s="292">
        <f t="shared" si="131"/>
        <v>10</v>
      </c>
      <c r="AE554" s="476">
        <f t="shared" si="131"/>
        <v>10</v>
      </c>
      <c r="AF554" s="476">
        <f t="shared" si="131"/>
        <v>10</v>
      </c>
      <c r="AG554" s="554"/>
      <c r="AH554" s="554"/>
      <c r="AI554" s="456"/>
    </row>
    <row r="555" spans="1:35" x14ac:dyDescent="0.25">
      <c r="A555" s="237"/>
      <c r="B555" s="237"/>
      <c r="C555" s="237"/>
      <c r="D555" s="237"/>
      <c r="E555" s="237"/>
      <c r="F555" s="237"/>
      <c r="G555" s="237"/>
      <c r="H555" s="237"/>
      <c r="I555" s="237"/>
      <c r="J555" s="237"/>
      <c r="K555" s="237"/>
      <c r="L555" s="237"/>
      <c r="M555" s="237"/>
      <c r="N555" s="237"/>
      <c r="O555" s="237"/>
      <c r="P555" s="237"/>
      <c r="R555" s="237"/>
      <c r="S555" s="237"/>
      <c r="W555" s="237"/>
      <c r="X555" s="520" t="s">
        <v>1782</v>
      </c>
      <c r="Y555" s="246" t="s">
        <v>192</v>
      </c>
      <c r="Z555" s="235" t="s">
        <v>566</v>
      </c>
      <c r="AA555" s="235" t="s">
        <v>193</v>
      </c>
      <c r="AB555" s="472" t="s">
        <v>2109</v>
      </c>
      <c r="AC555" s="238">
        <v>200</v>
      </c>
      <c r="AD555" s="292">
        <f t="shared" si="131"/>
        <v>10</v>
      </c>
      <c r="AE555" s="476">
        <f t="shared" si="131"/>
        <v>10</v>
      </c>
      <c r="AF555" s="476">
        <f t="shared" si="131"/>
        <v>10</v>
      </c>
      <c r="AG555" s="554"/>
      <c r="AH555" s="554"/>
      <c r="AI555" s="456"/>
    </row>
    <row r="556" spans="1:35" ht="31.5" x14ac:dyDescent="0.25">
      <c r="A556" s="237"/>
      <c r="B556" s="237"/>
      <c r="C556" s="237"/>
      <c r="D556" s="237"/>
      <c r="E556" s="237"/>
      <c r="F556" s="237"/>
      <c r="G556" s="237"/>
      <c r="H556" s="237"/>
      <c r="I556" s="237"/>
      <c r="J556" s="237"/>
      <c r="K556" s="237"/>
      <c r="L556" s="237"/>
      <c r="M556" s="237"/>
      <c r="N556" s="237"/>
      <c r="O556" s="237"/>
      <c r="P556" s="237"/>
      <c r="R556" s="237"/>
      <c r="S556" s="237"/>
      <c r="W556" s="237"/>
      <c r="X556" s="520" t="s">
        <v>1274</v>
      </c>
      <c r="Y556" s="246" t="s">
        <v>192</v>
      </c>
      <c r="Z556" s="235" t="s">
        <v>566</v>
      </c>
      <c r="AA556" s="235" t="s">
        <v>193</v>
      </c>
      <c r="AB556" s="472" t="s">
        <v>2109</v>
      </c>
      <c r="AC556" s="238">
        <v>240</v>
      </c>
      <c r="AD556" s="292">
        <v>10</v>
      </c>
      <c r="AE556" s="476">
        <v>10</v>
      </c>
      <c r="AF556" s="476">
        <v>10</v>
      </c>
      <c r="AG556" s="554"/>
      <c r="AH556" s="554"/>
      <c r="AI556" s="456"/>
    </row>
    <row r="557" spans="1:35" ht="31.5" x14ac:dyDescent="0.25">
      <c r="A557" s="237"/>
      <c r="B557" s="237"/>
      <c r="C557" s="237"/>
      <c r="D557" s="237"/>
      <c r="E557" s="237"/>
      <c r="F557" s="237"/>
      <c r="G557" s="237"/>
      <c r="H557" s="237"/>
      <c r="I557" s="237"/>
      <c r="J557" s="237"/>
      <c r="K557" s="237"/>
      <c r="L557" s="237"/>
      <c r="M557" s="237"/>
      <c r="N557" s="237"/>
      <c r="O557" s="237"/>
      <c r="P557" s="237"/>
      <c r="R557" s="237"/>
      <c r="S557" s="237"/>
      <c r="W557" s="237"/>
      <c r="X557" s="549" t="s">
        <v>2049</v>
      </c>
      <c r="Y557" s="246" t="s">
        <v>192</v>
      </c>
      <c r="Z557" s="235" t="s">
        <v>566</v>
      </c>
      <c r="AA557" s="235" t="s">
        <v>193</v>
      </c>
      <c r="AB557" s="443" t="s">
        <v>1757</v>
      </c>
      <c r="AC557" s="577"/>
      <c r="AD557" s="292">
        <f>AD558+AD562+AD564</f>
        <v>11778.1</v>
      </c>
      <c r="AE557" s="476">
        <f>AE558+AE562+AE564</f>
        <v>10578.1</v>
      </c>
      <c r="AF557" s="476">
        <f>AF558+AF562+AF564</f>
        <v>10578.1</v>
      </c>
      <c r="AG557" s="554"/>
      <c r="AH557" s="554"/>
      <c r="AI557" s="456"/>
    </row>
    <row r="558" spans="1:35" x14ac:dyDescent="0.25">
      <c r="A558" s="237"/>
      <c r="B558" s="237"/>
      <c r="C558" s="237"/>
      <c r="D558" s="237"/>
      <c r="E558" s="237"/>
      <c r="F558" s="237"/>
      <c r="G558" s="237"/>
      <c r="H558" s="237"/>
      <c r="I558" s="237"/>
      <c r="J558" s="237"/>
      <c r="K558" s="237"/>
      <c r="L558" s="237"/>
      <c r="M558" s="237"/>
      <c r="N558" s="237"/>
      <c r="O558" s="237"/>
      <c r="P558" s="237"/>
      <c r="R558" s="237"/>
      <c r="S558" s="237"/>
      <c r="W558" s="237"/>
      <c r="X558" s="563" t="s">
        <v>2064</v>
      </c>
      <c r="Y558" s="246" t="s">
        <v>192</v>
      </c>
      <c r="Z558" s="235" t="s">
        <v>566</v>
      </c>
      <c r="AA558" s="235" t="s">
        <v>193</v>
      </c>
      <c r="AB558" s="443" t="s">
        <v>2067</v>
      </c>
      <c r="AC558" s="238"/>
      <c r="AD558" s="292">
        <f t="shared" ref="AD558:AF559" si="132">AD559</f>
        <v>2178.4</v>
      </c>
      <c r="AE558" s="476">
        <f t="shared" si="132"/>
        <v>2178.4</v>
      </c>
      <c r="AF558" s="476">
        <f t="shared" si="132"/>
        <v>2178.4</v>
      </c>
      <c r="AG558" s="554"/>
      <c r="AH558" s="554"/>
      <c r="AI558" s="456"/>
    </row>
    <row r="559" spans="1:35" ht="47.25" x14ac:dyDescent="0.25">
      <c r="X559" s="520" t="s">
        <v>922</v>
      </c>
      <c r="Y559" s="246" t="s">
        <v>192</v>
      </c>
      <c r="Z559" s="235" t="s">
        <v>566</v>
      </c>
      <c r="AA559" s="235" t="s">
        <v>193</v>
      </c>
      <c r="AB559" s="443" t="s">
        <v>2067</v>
      </c>
      <c r="AC559" s="577">
        <v>100</v>
      </c>
      <c r="AD559" s="292">
        <f t="shared" si="132"/>
        <v>2178.4</v>
      </c>
      <c r="AE559" s="476">
        <f t="shared" si="132"/>
        <v>2178.4</v>
      </c>
      <c r="AF559" s="476">
        <f t="shared" si="132"/>
        <v>2178.4</v>
      </c>
      <c r="AG559" s="554"/>
      <c r="AH559" s="554"/>
      <c r="AI559" s="456"/>
    </row>
    <row r="560" spans="1:35" x14ac:dyDescent="0.25">
      <c r="X560" s="520" t="s">
        <v>1748</v>
      </c>
      <c r="Y560" s="246" t="s">
        <v>192</v>
      </c>
      <c r="Z560" s="235" t="s">
        <v>566</v>
      </c>
      <c r="AA560" s="235" t="s">
        <v>193</v>
      </c>
      <c r="AB560" s="443" t="s">
        <v>2067</v>
      </c>
      <c r="AC560" s="238">
        <v>120</v>
      </c>
      <c r="AD560" s="292">
        <v>2178.4</v>
      </c>
      <c r="AE560" s="476">
        <v>2178.4</v>
      </c>
      <c r="AF560" s="476">
        <v>2178.4</v>
      </c>
      <c r="AG560" s="554"/>
      <c r="AH560" s="554"/>
      <c r="AI560" s="456"/>
    </row>
    <row r="561" spans="24:35" x14ac:dyDescent="0.25">
      <c r="X561" s="520" t="s">
        <v>2178</v>
      </c>
      <c r="Y561" s="246" t="s">
        <v>192</v>
      </c>
      <c r="Z561" s="235" t="s">
        <v>566</v>
      </c>
      <c r="AA561" s="235" t="s">
        <v>193</v>
      </c>
      <c r="AB561" s="443" t="s">
        <v>2068</v>
      </c>
      <c r="AC561" s="238"/>
      <c r="AD561" s="292">
        <f>AD563</f>
        <v>1765.1</v>
      </c>
      <c r="AE561" s="476">
        <f>AE563</f>
        <v>1765.1</v>
      </c>
      <c r="AF561" s="476">
        <f>AF563</f>
        <v>1765.1</v>
      </c>
      <c r="AG561" s="554"/>
      <c r="AH561" s="554"/>
      <c r="AI561" s="456"/>
    </row>
    <row r="562" spans="24:35" ht="47.25" x14ac:dyDescent="0.25">
      <c r="X562" s="520" t="s">
        <v>922</v>
      </c>
      <c r="Y562" s="246" t="s">
        <v>192</v>
      </c>
      <c r="Z562" s="235" t="s">
        <v>566</v>
      </c>
      <c r="AA562" s="235" t="s">
        <v>193</v>
      </c>
      <c r="AB562" s="443" t="s">
        <v>2068</v>
      </c>
      <c r="AC562" s="577">
        <v>100</v>
      </c>
      <c r="AD562" s="292">
        <f>AD563</f>
        <v>1765.1</v>
      </c>
      <c r="AE562" s="476">
        <f>AE563</f>
        <v>1765.1</v>
      </c>
      <c r="AF562" s="476">
        <f>AF563</f>
        <v>1765.1</v>
      </c>
      <c r="AG562" s="554"/>
      <c r="AH562" s="554"/>
      <c r="AI562" s="456"/>
    </row>
    <row r="563" spans="24:35" x14ac:dyDescent="0.25">
      <c r="X563" s="520" t="s">
        <v>1748</v>
      </c>
      <c r="Y563" s="246" t="s">
        <v>192</v>
      </c>
      <c r="Z563" s="235" t="s">
        <v>566</v>
      </c>
      <c r="AA563" s="235" t="s">
        <v>193</v>
      </c>
      <c r="AB563" s="443" t="s">
        <v>2068</v>
      </c>
      <c r="AC563" s="238">
        <v>120</v>
      </c>
      <c r="AD563" s="292">
        <v>1765.1</v>
      </c>
      <c r="AE563" s="476">
        <v>1765.1</v>
      </c>
      <c r="AF563" s="476">
        <v>1765.1</v>
      </c>
      <c r="AG563" s="554"/>
      <c r="AH563" s="554"/>
      <c r="AI563" s="456"/>
    </row>
    <row r="564" spans="24:35" x14ac:dyDescent="0.25">
      <c r="X564" s="532" t="s">
        <v>2065</v>
      </c>
      <c r="Y564" s="246" t="s">
        <v>192</v>
      </c>
      <c r="Z564" s="235" t="s">
        <v>566</v>
      </c>
      <c r="AA564" s="235" t="s">
        <v>193</v>
      </c>
      <c r="AB564" s="443" t="s">
        <v>2066</v>
      </c>
      <c r="AC564" s="238"/>
      <c r="AD564" s="292">
        <f>AD565+AD570+AD573</f>
        <v>7834.6</v>
      </c>
      <c r="AE564" s="476">
        <f>AE565+AE570+AE573</f>
        <v>6634.6</v>
      </c>
      <c r="AF564" s="476">
        <f>AF565+AF570+AF573</f>
        <v>6634.6</v>
      </c>
      <c r="AG564" s="554"/>
      <c r="AH564" s="554"/>
      <c r="AI564" s="456"/>
    </row>
    <row r="565" spans="24:35" ht="31.5" x14ac:dyDescent="0.25">
      <c r="X565" s="520" t="s">
        <v>2069</v>
      </c>
      <c r="Y565" s="246" t="s">
        <v>192</v>
      </c>
      <c r="Z565" s="235" t="s">
        <v>566</v>
      </c>
      <c r="AA565" s="235" t="s">
        <v>193</v>
      </c>
      <c r="AB565" s="443" t="s">
        <v>2070</v>
      </c>
      <c r="AC565" s="238"/>
      <c r="AD565" s="292">
        <f>AD566+AD568</f>
        <v>1518.1</v>
      </c>
      <c r="AE565" s="292">
        <f>AE566+AE568</f>
        <v>1518.1</v>
      </c>
      <c r="AF565" s="292">
        <f>AF566+AF568</f>
        <v>1518.1</v>
      </c>
      <c r="AG565" s="554"/>
      <c r="AH565" s="554"/>
      <c r="AI565" s="456"/>
    </row>
    <row r="566" spans="24:35" x14ac:dyDescent="0.25">
      <c r="X566" s="520" t="s">
        <v>1782</v>
      </c>
      <c r="Y566" s="246" t="s">
        <v>192</v>
      </c>
      <c r="Z566" s="235" t="s">
        <v>566</v>
      </c>
      <c r="AA566" s="235" t="s">
        <v>193</v>
      </c>
      <c r="AB566" s="443" t="s">
        <v>2070</v>
      </c>
      <c r="AC566" s="238">
        <v>200</v>
      </c>
      <c r="AD566" s="292">
        <f>AD567</f>
        <v>1518</v>
      </c>
      <c r="AE566" s="476">
        <f>AE567</f>
        <v>1518.1</v>
      </c>
      <c r="AF566" s="476">
        <f>AF567</f>
        <v>1518.1</v>
      </c>
      <c r="AG566" s="554"/>
      <c r="AH566" s="554"/>
      <c r="AI566" s="456"/>
    </row>
    <row r="567" spans="24:35" ht="31.5" x14ac:dyDescent="0.25">
      <c r="X567" s="520" t="s">
        <v>1274</v>
      </c>
      <c r="Y567" s="246" t="s">
        <v>192</v>
      </c>
      <c r="Z567" s="235" t="s">
        <v>566</v>
      </c>
      <c r="AA567" s="235" t="s">
        <v>193</v>
      </c>
      <c r="AB567" s="443" t="s">
        <v>2070</v>
      </c>
      <c r="AC567" s="238">
        <v>240</v>
      </c>
      <c r="AD567" s="292">
        <f>1518.1-0.1</f>
        <v>1518</v>
      </c>
      <c r="AE567" s="476">
        <v>1518.1</v>
      </c>
      <c r="AF567" s="476">
        <v>1518.1</v>
      </c>
      <c r="AG567" s="554"/>
      <c r="AH567" s="554"/>
      <c r="AI567" s="456"/>
    </row>
    <row r="568" spans="24:35" x14ac:dyDescent="0.25">
      <c r="X568" s="520" t="s">
        <v>924</v>
      </c>
      <c r="Y568" s="246" t="s">
        <v>192</v>
      </c>
      <c r="Z568" s="235" t="s">
        <v>566</v>
      </c>
      <c r="AA568" s="235" t="s">
        <v>193</v>
      </c>
      <c r="AB568" s="443" t="s">
        <v>2070</v>
      </c>
      <c r="AC568" s="238">
        <v>800</v>
      </c>
      <c r="AD568" s="292">
        <f>AD569</f>
        <v>0.1</v>
      </c>
      <c r="AE568" s="292">
        <f>AE569</f>
        <v>0</v>
      </c>
      <c r="AF568" s="292">
        <f>AF569</f>
        <v>0</v>
      </c>
      <c r="AG568" s="554"/>
      <c r="AH568" s="554"/>
      <c r="AI568" s="456"/>
    </row>
    <row r="569" spans="24:35" x14ac:dyDescent="0.25">
      <c r="X569" s="520" t="s">
        <v>1320</v>
      </c>
      <c r="Y569" s="246" t="s">
        <v>192</v>
      </c>
      <c r="Z569" s="235" t="s">
        <v>566</v>
      </c>
      <c r="AA569" s="235" t="s">
        <v>193</v>
      </c>
      <c r="AB569" s="443" t="s">
        <v>2070</v>
      </c>
      <c r="AC569" s="238">
        <v>850</v>
      </c>
      <c r="AD569" s="292">
        <v>0.1</v>
      </c>
      <c r="AE569" s="476">
        <v>0</v>
      </c>
      <c r="AF569" s="476">
        <v>0</v>
      </c>
      <c r="AG569" s="554"/>
      <c r="AH569" s="554"/>
      <c r="AI569" s="456"/>
    </row>
    <row r="570" spans="24:35" ht="47.25" x14ac:dyDescent="0.25">
      <c r="X570" s="520" t="s">
        <v>2073</v>
      </c>
      <c r="Y570" s="246" t="s">
        <v>192</v>
      </c>
      <c r="Z570" s="235" t="s">
        <v>566</v>
      </c>
      <c r="AA570" s="235" t="s">
        <v>193</v>
      </c>
      <c r="AB570" s="443" t="s">
        <v>2071</v>
      </c>
      <c r="AC570" s="238"/>
      <c r="AD570" s="292">
        <f t="shared" ref="AD570:AF571" si="133">AD571</f>
        <v>2961</v>
      </c>
      <c r="AE570" s="476">
        <f t="shared" si="133"/>
        <v>2961</v>
      </c>
      <c r="AF570" s="476">
        <f t="shared" si="133"/>
        <v>2961</v>
      </c>
      <c r="AG570" s="554"/>
      <c r="AH570" s="554"/>
      <c r="AI570" s="456"/>
    </row>
    <row r="571" spans="24:35" ht="47.25" x14ac:dyDescent="0.25">
      <c r="X571" s="520" t="s">
        <v>922</v>
      </c>
      <c r="Y571" s="246" t="s">
        <v>192</v>
      </c>
      <c r="Z571" s="235" t="s">
        <v>566</v>
      </c>
      <c r="AA571" s="235" t="s">
        <v>193</v>
      </c>
      <c r="AB571" s="443" t="s">
        <v>2071</v>
      </c>
      <c r="AC571" s="577">
        <v>100</v>
      </c>
      <c r="AD571" s="292">
        <f t="shared" si="133"/>
        <v>2961</v>
      </c>
      <c r="AE571" s="476">
        <f t="shared" si="133"/>
        <v>2961</v>
      </c>
      <c r="AF571" s="476">
        <f t="shared" si="133"/>
        <v>2961</v>
      </c>
      <c r="AG571" s="554"/>
      <c r="AH571" s="554"/>
      <c r="AI571" s="456"/>
    </row>
    <row r="572" spans="24:35" x14ac:dyDescent="0.25">
      <c r="X572" s="520" t="s">
        <v>1748</v>
      </c>
      <c r="Y572" s="246" t="s">
        <v>192</v>
      </c>
      <c r="Z572" s="235" t="s">
        <v>566</v>
      </c>
      <c r="AA572" s="235" t="s">
        <v>193</v>
      </c>
      <c r="AB572" s="443" t="s">
        <v>2071</v>
      </c>
      <c r="AC572" s="238">
        <v>120</v>
      </c>
      <c r="AD572" s="292">
        <v>2961</v>
      </c>
      <c r="AE572" s="476">
        <v>2961</v>
      </c>
      <c r="AF572" s="476">
        <v>2961</v>
      </c>
      <c r="AG572" s="554"/>
      <c r="AH572" s="554"/>
      <c r="AI572" s="456"/>
    </row>
    <row r="573" spans="24:35" ht="31.5" x14ac:dyDescent="0.25">
      <c r="X573" s="520" t="s">
        <v>2074</v>
      </c>
      <c r="Y573" s="246" t="s">
        <v>192</v>
      </c>
      <c r="Z573" s="235" t="s">
        <v>566</v>
      </c>
      <c r="AA573" s="235" t="s">
        <v>193</v>
      </c>
      <c r="AB573" s="443" t="s">
        <v>2072</v>
      </c>
      <c r="AC573" s="238"/>
      <c r="AD573" s="292">
        <f t="shared" ref="AD573:AF574" si="134">AD574</f>
        <v>3355.5</v>
      </c>
      <c r="AE573" s="476">
        <f t="shared" si="134"/>
        <v>2155.5</v>
      </c>
      <c r="AF573" s="476">
        <f t="shared" si="134"/>
        <v>2155.5</v>
      </c>
      <c r="AG573" s="554"/>
      <c r="AH573" s="554"/>
      <c r="AI573" s="456"/>
    </row>
    <row r="574" spans="24:35" ht="47.25" x14ac:dyDescent="0.25">
      <c r="X574" s="520" t="s">
        <v>922</v>
      </c>
      <c r="Y574" s="246" t="s">
        <v>192</v>
      </c>
      <c r="Z574" s="235" t="s">
        <v>566</v>
      </c>
      <c r="AA574" s="235" t="s">
        <v>193</v>
      </c>
      <c r="AB574" s="443" t="s">
        <v>2072</v>
      </c>
      <c r="AC574" s="577">
        <v>100</v>
      </c>
      <c r="AD574" s="292">
        <f t="shared" si="134"/>
        <v>3355.5</v>
      </c>
      <c r="AE574" s="476">
        <f t="shared" si="134"/>
        <v>2155.5</v>
      </c>
      <c r="AF574" s="476">
        <f t="shared" si="134"/>
        <v>2155.5</v>
      </c>
      <c r="AG574" s="554"/>
      <c r="AH574" s="554"/>
      <c r="AI574" s="456"/>
    </row>
    <row r="575" spans="24:35" x14ac:dyDescent="0.25">
      <c r="X575" s="520" t="s">
        <v>1748</v>
      </c>
      <c r="Y575" s="246" t="s">
        <v>192</v>
      </c>
      <c r="Z575" s="235" t="s">
        <v>566</v>
      </c>
      <c r="AA575" s="235" t="s">
        <v>193</v>
      </c>
      <c r="AB575" s="443" t="s">
        <v>2072</v>
      </c>
      <c r="AC575" s="238">
        <v>120</v>
      </c>
      <c r="AD575" s="292">
        <f>2155.5+1200</f>
        <v>3355.5</v>
      </c>
      <c r="AE575" s="476">
        <v>2155.5</v>
      </c>
      <c r="AF575" s="476">
        <v>2155.5</v>
      </c>
      <c r="AG575" s="554"/>
      <c r="AH575" s="554"/>
      <c r="AI575" s="456"/>
    </row>
    <row r="576" spans="24:35" x14ac:dyDescent="0.25">
      <c r="X576" s="559" t="s">
        <v>403</v>
      </c>
      <c r="Y576" s="575" t="s">
        <v>192</v>
      </c>
      <c r="Z576" s="247" t="s">
        <v>290</v>
      </c>
      <c r="AA576" s="248"/>
      <c r="AB576" s="271"/>
      <c r="AC576" s="576"/>
      <c r="AD576" s="292">
        <f t="shared" ref="AD576:AD583" si="135">AD577</f>
        <v>150</v>
      </c>
      <c r="AE576" s="292">
        <f t="shared" ref="AE576:AF576" si="136">AE577</f>
        <v>0</v>
      </c>
      <c r="AF576" s="292">
        <f t="shared" si="136"/>
        <v>0</v>
      </c>
      <c r="AG576" s="554"/>
      <c r="AH576" s="554"/>
      <c r="AI576" s="456"/>
    </row>
    <row r="577" spans="24:35" x14ac:dyDescent="0.25">
      <c r="X577" s="520" t="s">
        <v>1403</v>
      </c>
      <c r="Y577" s="246" t="s">
        <v>192</v>
      </c>
      <c r="Z577" s="235" t="s">
        <v>290</v>
      </c>
      <c r="AA577" s="235" t="s">
        <v>566</v>
      </c>
      <c r="AB577" s="249"/>
      <c r="AC577" s="577"/>
      <c r="AD577" s="292">
        <f t="shared" si="135"/>
        <v>150</v>
      </c>
      <c r="AE577" s="292">
        <f t="shared" ref="AE577:AF577" si="137">AE578</f>
        <v>0</v>
      </c>
      <c r="AF577" s="292">
        <f t="shared" si="137"/>
        <v>0</v>
      </c>
      <c r="AG577" s="554"/>
      <c r="AH577" s="554"/>
      <c r="AI577" s="456"/>
    </row>
    <row r="578" spans="24:35" x14ac:dyDescent="0.25">
      <c r="X578" s="521" t="s">
        <v>1999</v>
      </c>
      <c r="Y578" s="246" t="s">
        <v>192</v>
      </c>
      <c r="Z578" s="235" t="s">
        <v>290</v>
      </c>
      <c r="AA578" s="235" t="s">
        <v>566</v>
      </c>
      <c r="AB578" s="443" t="s">
        <v>1775</v>
      </c>
      <c r="AC578" s="577"/>
      <c r="AD578" s="292">
        <f t="shared" si="135"/>
        <v>150</v>
      </c>
      <c r="AE578" s="292">
        <f t="shared" ref="AE578:AF578" si="138">AE579</f>
        <v>0</v>
      </c>
      <c r="AF578" s="292">
        <f t="shared" si="138"/>
        <v>0</v>
      </c>
      <c r="AG578" s="554"/>
      <c r="AH578" s="554"/>
      <c r="AI578" s="456"/>
    </row>
    <row r="579" spans="24:35" ht="31.5" x14ac:dyDescent="0.25">
      <c r="X579" s="521" t="s">
        <v>2341</v>
      </c>
      <c r="Y579" s="246" t="s">
        <v>192</v>
      </c>
      <c r="Z579" s="235" t="s">
        <v>290</v>
      </c>
      <c r="AA579" s="235" t="s">
        <v>566</v>
      </c>
      <c r="AB579" s="443" t="s">
        <v>2007</v>
      </c>
      <c r="AC579" s="238"/>
      <c r="AD579" s="292">
        <f t="shared" si="135"/>
        <v>150</v>
      </c>
      <c r="AE579" s="292">
        <f t="shared" ref="AE579:AF579" si="139">AE580</f>
        <v>0</v>
      </c>
      <c r="AF579" s="292">
        <f t="shared" si="139"/>
        <v>0</v>
      </c>
      <c r="AG579" s="554"/>
      <c r="AH579" s="554"/>
      <c r="AI579" s="456"/>
    </row>
    <row r="580" spans="24:35" ht="31.5" x14ac:dyDescent="0.25">
      <c r="X580" s="521" t="s">
        <v>2342</v>
      </c>
      <c r="Y580" s="246" t="s">
        <v>192</v>
      </c>
      <c r="Z580" s="235" t="s">
        <v>290</v>
      </c>
      <c r="AA580" s="235" t="s">
        <v>566</v>
      </c>
      <c r="AB580" s="443" t="s">
        <v>2008</v>
      </c>
      <c r="AC580" s="238"/>
      <c r="AD580" s="292">
        <f t="shared" si="135"/>
        <v>150</v>
      </c>
      <c r="AE580" s="292">
        <f t="shared" ref="AE580:AF580" si="140">AE581</f>
        <v>0</v>
      </c>
      <c r="AF580" s="292">
        <f t="shared" si="140"/>
        <v>0</v>
      </c>
      <c r="AG580" s="554"/>
      <c r="AH580" s="554"/>
      <c r="AI580" s="456"/>
    </row>
    <row r="581" spans="24:35" x14ac:dyDescent="0.25">
      <c r="X581" s="560" t="s">
        <v>2009</v>
      </c>
      <c r="Y581" s="246" t="s">
        <v>192</v>
      </c>
      <c r="Z581" s="235" t="s">
        <v>290</v>
      </c>
      <c r="AA581" s="235" t="s">
        <v>566</v>
      </c>
      <c r="AB581" s="443" t="s">
        <v>2010</v>
      </c>
      <c r="AC581" s="238"/>
      <c r="AD581" s="292">
        <f t="shared" si="135"/>
        <v>150</v>
      </c>
      <c r="AE581" s="292">
        <f t="shared" ref="AE581:AF581" si="141">AE582</f>
        <v>0</v>
      </c>
      <c r="AF581" s="292">
        <f t="shared" si="141"/>
        <v>0</v>
      </c>
      <c r="AG581" s="554"/>
      <c r="AH581" s="554"/>
      <c r="AI581" s="456"/>
    </row>
    <row r="582" spans="24:35" ht="31.5" x14ac:dyDescent="0.25">
      <c r="X582" s="520" t="s">
        <v>2011</v>
      </c>
      <c r="Y582" s="246" t="s">
        <v>192</v>
      </c>
      <c r="Z582" s="235" t="s">
        <v>290</v>
      </c>
      <c r="AA582" s="235" t="s">
        <v>566</v>
      </c>
      <c r="AB582" s="443" t="s">
        <v>2012</v>
      </c>
      <c r="AC582" s="238"/>
      <c r="AD582" s="292">
        <f t="shared" si="135"/>
        <v>150</v>
      </c>
      <c r="AE582" s="292">
        <f t="shared" ref="AE582:AF582" si="142">AE583</f>
        <v>0</v>
      </c>
      <c r="AF582" s="292">
        <f t="shared" si="142"/>
        <v>0</v>
      </c>
      <c r="AG582" s="554"/>
      <c r="AH582" s="554"/>
      <c r="AI582" s="456"/>
    </row>
    <row r="583" spans="24:35" x14ac:dyDescent="0.25">
      <c r="X583" s="524" t="s">
        <v>1782</v>
      </c>
      <c r="Y583" s="246" t="s">
        <v>192</v>
      </c>
      <c r="Z583" s="235" t="s">
        <v>290</v>
      </c>
      <c r="AA583" s="235" t="s">
        <v>566</v>
      </c>
      <c r="AB583" s="443" t="s">
        <v>2012</v>
      </c>
      <c r="AC583" s="238">
        <v>200</v>
      </c>
      <c r="AD583" s="292">
        <f t="shared" si="135"/>
        <v>150</v>
      </c>
      <c r="AE583" s="292">
        <f t="shared" ref="AE583:AF583" si="143">AE584</f>
        <v>0</v>
      </c>
      <c r="AF583" s="292">
        <f t="shared" si="143"/>
        <v>0</v>
      </c>
      <c r="AG583" s="554"/>
      <c r="AH583" s="554"/>
      <c r="AI583" s="456"/>
    </row>
    <row r="584" spans="24:35" ht="31.5" x14ac:dyDescent="0.25">
      <c r="X584" s="524" t="s">
        <v>1274</v>
      </c>
      <c r="Y584" s="246" t="s">
        <v>192</v>
      </c>
      <c r="Z584" s="235" t="s">
        <v>290</v>
      </c>
      <c r="AA584" s="235" t="s">
        <v>566</v>
      </c>
      <c r="AB584" s="443" t="s">
        <v>2012</v>
      </c>
      <c r="AC584" s="238">
        <v>240</v>
      </c>
      <c r="AD584" s="292">
        <v>150</v>
      </c>
      <c r="AE584" s="476">
        <v>0</v>
      </c>
      <c r="AF584" s="476">
        <v>0</v>
      </c>
      <c r="AG584" s="554"/>
      <c r="AH584" s="554"/>
      <c r="AI584" s="456"/>
    </row>
    <row r="585" spans="24:35" x14ac:dyDescent="0.25">
      <c r="X585" s="559" t="s">
        <v>1746</v>
      </c>
      <c r="Y585" s="575" t="s">
        <v>192</v>
      </c>
      <c r="Z585" s="247" t="s">
        <v>768</v>
      </c>
      <c r="AA585" s="248"/>
      <c r="AB585" s="271"/>
      <c r="AC585" s="576"/>
      <c r="AD585" s="745">
        <f t="shared" ref="AD585:AF591" si="144">AD586</f>
        <v>508.3</v>
      </c>
      <c r="AE585" s="479">
        <f t="shared" si="144"/>
        <v>508.3</v>
      </c>
      <c r="AF585" s="479">
        <f t="shared" si="144"/>
        <v>508.3</v>
      </c>
      <c r="AG585" s="647"/>
      <c r="AH585" s="647"/>
      <c r="AI585" s="456"/>
    </row>
    <row r="586" spans="24:35" x14ac:dyDescent="0.25">
      <c r="X586" s="520" t="s">
        <v>1313</v>
      </c>
      <c r="Y586" s="246" t="s">
        <v>192</v>
      </c>
      <c r="Z586" s="235">
        <v>10</v>
      </c>
      <c r="AA586" s="235" t="s">
        <v>566</v>
      </c>
      <c r="AB586" s="249"/>
      <c r="AC586" s="589"/>
      <c r="AD586" s="292">
        <f t="shared" ref="AD586:AF588" si="145">AD587</f>
        <v>508.3</v>
      </c>
      <c r="AE586" s="476">
        <f t="shared" si="145"/>
        <v>508.3</v>
      </c>
      <c r="AF586" s="476">
        <f t="shared" si="145"/>
        <v>508.3</v>
      </c>
      <c r="AG586" s="554"/>
      <c r="AH586" s="554"/>
      <c r="AI586" s="456"/>
    </row>
    <row r="587" spans="24:35" x14ac:dyDescent="0.25">
      <c r="X587" s="549" t="s">
        <v>2075</v>
      </c>
      <c r="Y587" s="246" t="s">
        <v>192</v>
      </c>
      <c r="Z587" s="235">
        <v>10</v>
      </c>
      <c r="AA587" s="235" t="s">
        <v>566</v>
      </c>
      <c r="AB587" s="443" t="s">
        <v>1769</v>
      </c>
      <c r="AC587" s="589"/>
      <c r="AD587" s="292">
        <f t="shared" si="145"/>
        <v>508.3</v>
      </c>
      <c r="AE587" s="476">
        <f t="shared" si="145"/>
        <v>508.3</v>
      </c>
      <c r="AF587" s="476">
        <f t="shared" si="145"/>
        <v>508.3</v>
      </c>
      <c r="AG587" s="554"/>
      <c r="AH587" s="554"/>
      <c r="AI587" s="456"/>
    </row>
    <row r="588" spans="24:35" x14ac:dyDescent="0.25">
      <c r="X588" s="625" t="s">
        <v>2076</v>
      </c>
      <c r="Y588" s="246" t="s">
        <v>192</v>
      </c>
      <c r="Z588" s="235">
        <v>10</v>
      </c>
      <c r="AA588" s="235" t="s">
        <v>566</v>
      </c>
      <c r="AB588" s="443" t="s">
        <v>1780</v>
      </c>
      <c r="AC588" s="589"/>
      <c r="AD588" s="292">
        <f t="shared" si="145"/>
        <v>508.3</v>
      </c>
      <c r="AE588" s="476">
        <f t="shared" si="145"/>
        <v>508.3</v>
      </c>
      <c r="AF588" s="476">
        <f t="shared" si="145"/>
        <v>508.3</v>
      </c>
      <c r="AG588" s="554"/>
      <c r="AH588" s="554"/>
      <c r="AI588" s="456"/>
    </row>
    <row r="589" spans="24:35" ht="31.5" x14ac:dyDescent="0.25">
      <c r="X589" s="549" t="s">
        <v>2082</v>
      </c>
      <c r="Y589" s="246" t="s">
        <v>192</v>
      </c>
      <c r="Z589" s="235">
        <v>10</v>
      </c>
      <c r="AA589" s="235" t="s">
        <v>566</v>
      </c>
      <c r="AB589" s="443" t="s">
        <v>2083</v>
      </c>
      <c r="AC589" s="589"/>
      <c r="AD589" s="292">
        <f t="shared" si="144"/>
        <v>508.3</v>
      </c>
      <c r="AE589" s="476">
        <f t="shared" si="144"/>
        <v>508.3</v>
      </c>
      <c r="AF589" s="476">
        <f t="shared" si="144"/>
        <v>508.3</v>
      </c>
      <c r="AG589" s="554"/>
      <c r="AH589" s="554"/>
      <c r="AI589" s="456"/>
    </row>
    <row r="590" spans="24:35" ht="31.5" x14ac:dyDescent="0.25">
      <c r="X590" s="530" t="s">
        <v>2084</v>
      </c>
      <c r="Y590" s="246" t="s">
        <v>192</v>
      </c>
      <c r="Z590" s="235">
        <v>10</v>
      </c>
      <c r="AA590" s="235" t="s">
        <v>566</v>
      </c>
      <c r="AB590" s="443" t="s">
        <v>2085</v>
      </c>
      <c r="AC590" s="589"/>
      <c r="AD590" s="292">
        <f t="shared" si="144"/>
        <v>508.3</v>
      </c>
      <c r="AE590" s="476">
        <f t="shared" si="144"/>
        <v>508.3</v>
      </c>
      <c r="AF590" s="476">
        <f t="shared" si="144"/>
        <v>508.3</v>
      </c>
      <c r="AG590" s="554"/>
      <c r="AH590" s="554"/>
      <c r="AI590" s="456"/>
    </row>
    <row r="591" spans="24:35" x14ac:dyDescent="0.25">
      <c r="X591" s="520" t="s">
        <v>1755</v>
      </c>
      <c r="Y591" s="246" t="s">
        <v>192</v>
      </c>
      <c r="Z591" s="235">
        <v>10</v>
      </c>
      <c r="AA591" s="235" t="s">
        <v>566</v>
      </c>
      <c r="AB591" s="443" t="s">
        <v>2085</v>
      </c>
      <c r="AC591" s="238">
        <v>300</v>
      </c>
      <c r="AD591" s="292">
        <f t="shared" si="144"/>
        <v>508.3</v>
      </c>
      <c r="AE591" s="476">
        <f t="shared" si="144"/>
        <v>508.3</v>
      </c>
      <c r="AF591" s="476">
        <f t="shared" si="144"/>
        <v>508.3</v>
      </c>
      <c r="AG591" s="554"/>
      <c r="AH591" s="554"/>
      <c r="AI591" s="456"/>
    </row>
    <row r="592" spans="24:35" x14ac:dyDescent="0.25">
      <c r="X592" s="520" t="s">
        <v>868</v>
      </c>
      <c r="Y592" s="246" t="s">
        <v>192</v>
      </c>
      <c r="Z592" s="235">
        <v>10</v>
      </c>
      <c r="AA592" s="235" t="s">
        <v>566</v>
      </c>
      <c r="AB592" s="443" t="s">
        <v>2085</v>
      </c>
      <c r="AC592" s="238">
        <v>320</v>
      </c>
      <c r="AD592" s="292">
        <v>508.3</v>
      </c>
      <c r="AE592" s="476">
        <v>508.3</v>
      </c>
      <c r="AF592" s="476">
        <v>508.3</v>
      </c>
      <c r="AG592" s="554"/>
      <c r="AH592" s="554"/>
      <c r="AI592" s="456"/>
    </row>
    <row r="593" spans="1:35" s="411" customFormat="1" ht="18.75" x14ac:dyDescent="0.3">
      <c r="A593" s="408"/>
      <c r="B593" s="409"/>
      <c r="C593" s="410"/>
      <c r="D593" s="410"/>
      <c r="E593" s="410"/>
      <c r="F593" s="410"/>
      <c r="G593" s="410"/>
      <c r="I593" s="410"/>
      <c r="J593" s="410"/>
      <c r="K593" s="410"/>
      <c r="L593" s="410"/>
      <c r="M593" s="410"/>
      <c r="N593" s="410"/>
      <c r="O593" s="412"/>
      <c r="P593" s="413"/>
      <c r="R593" s="414"/>
      <c r="S593" s="412"/>
      <c r="W593" s="415"/>
      <c r="X593" s="559" t="s">
        <v>1613</v>
      </c>
      <c r="Y593" s="575" t="s">
        <v>539</v>
      </c>
      <c r="Z593" s="264"/>
      <c r="AA593" s="265"/>
      <c r="AB593" s="277"/>
      <c r="AC593" s="586"/>
      <c r="AD593" s="745">
        <f>AD594+AD623</f>
        <v>18003.3</v>
      </c>
      <c r="AE593" s="479">
        <f>AE594+AE623</f>
        <v>17903</v>
      </c>
      <c r="AF593" s="479">
        <f>AF594+AF623</f>
        <v>17903</v>
      </c>
      <c r="AG593" s="647"/>
      <c r="AH593" s="647"/>
      <c r="AI593" s="456"/>
    </row>
    <row r="594" spans="1:35" s="419" customFormat="1" ht="18.75" x14ac:dyDescent="0.3">
      <c r="A594" s="416"/>
      <c r="B594" s="417"/>
      <c r="C594" s="418"/>
      <c r="D594" s="418"/>
      <c r="E594" s="418"/>
      <c r="F594" s="418"/>
      <c r="G594" s="418"/>
      <c r="I594" s="418"/>
      <c r="J594" s="418"/>
      <c r="K594" s="418"/>
      <c r="L594" s="418"/>
      <c r="M594" s="418"/>
      <c r="N594" s="418"/>
      <c r="O594" s="420"/>
      <c r="P594" s="421"/>
      <c r="R594" s="422"/>
      <c r="S594" s="420"/>
      <c r="W594" s="423"/>
      <c r="X594" s="559" t="s">
        <v>482</v>
      </c>
      <c r="Y594" s="575" t="s">
        <v>539</v>
      </c>
      <c r="Z594" s="262" t="s">
        <v>566</v>
      </c>
      <c r="AA594" s="266"/>
      <c r="AB594" s="278"/>
      <c r="AC594" s="596"/>
      <c r="AD594" s="745">
        <f>AD595</f>
        <v>17158.2</v>
      </c>
      <c r="AE594" s="479">
        <f>AE595</f>
        <v>17057.900000000001</v>
      </c>
      <c r="AF594" s="479">
        <f>AF595</f>
        <v>17057.900000000001</v>
      </c>
      <c r="AG594" s="647"/>
      <c r="AH594" s="647"/>
      <c r="AI594" s="456"/>
    </row>
    <row r="595" spans="1:35" ht="31.5" x14ac:dyDescent="0.25">
      <c r="X595" s="520" t="s">
        <v>1470</v>
      </c>
      <c r="Y595" s="246" t="s">
        <v>539</v>
      </c>
      <c r="Z595" s="235" t="s">
        <v>566</v>
      </c>
      <c r="AA595" s="235" t="s">
        <v>1747</v>
      </c>
      <c r="AB595" s="270"/>
      <c r="AC595" s="238"/>
      <c r="AD595" s="292">
        <f>AD602+AD596+AD617</f>
        <v>17158.2</v>
      </c>
      <c r="AE595" s="476">
        <f>AE602+AE596+AE617</f>
        <v>17057.900000000001</v>
      </c>
      <c r="AF595" s="476">
        <f>AF602+AF596+AF617</f>
        <v>17057.900000000001</v>
      </c>
      <c r="AG595" s="554"/>
      <c r="AH595" s="554"/>
      <c r="AI595" s="456"/>
    </row>
    <row r="596" spans="1:35" x14ac:dyDescent="0.25">
      <c r="X596" s="521" t="s">
        <v>1999</v>
      </c>
      <c r="Y596" s="246" t="s">
        <v>539</v>
      </c>
      <c r="Z596" s="235" t="s">
        <v>566</v>
      </c>
      <c r="AA596" s="235" t="s">
        <v>1747</v>
      </c>
      <c r="AB596" s="443" t="s">
        <v>1775</v>
      </c>
      <c r="AC596" s="577"/>
      <c r="AD596" s="292">
        <f t="shared" ref="AD596:AF597" si="146">AD597</f>
        <v>100.3</v>
      </c>
      <c r="AE596" s="476">
        <f t="shared" si="146"/>
        <v>0</v>
      </c>
      <c r="AF596" s="476">
        <f t="shared" si="146"/>
        <v>0</v>
      </c>
      <c r="AG596" s="554"/>
      <c r="AH596" s="554"/>
      <c r="AI596" s="456"/>
    </row>
    <row r="597" spans="1:35" x14ac:dyDescent="0.25">
      <c r="X597" s="518" t="s">
        <v>2340</v>
      </c>
      <c r="Y597" s="246" t="s">
        <v>539</v>
      </c>
      <c r="Z597" s="235" t="s">
        <v>566</v>
      </c>
      <c r="AA597" s="235" t="s">
        <v>1747</v>
      </c>
      <c r="AB597" s="443" t="s">
        <v>1802</v>
      </c>
      <c r="AC597" s="577"/>
      <c r="AD597" s="292">
        <f t="shared" si="146"/>
        <v>100.3</v>
      </c>
      <c r="AE597" s="476">
        <f t="shared" si="146"/>
        <v>0</v>
      </c>
      <c r="AF597" s="476">
        <f t="shared" si="146"/>
        <v>0</v>
      </c>
      <c r="AG597" s="554"/>
      <c r="AH597" s="554"/>
      <c r="AI597" s="456"/>
    </row>
    <row r="598" spans="1:35" ht="31.5" x14ac:dyDescent="0.25">
      <c r="X598" s="522" t="s">
        <v>2015</v>
      </c>
      <c r="Y598" s="246" t="s">
        <v>539</v>
      </c>
      <c r="Z598" s="235" t="s">
        <v>566</v>
      </c>
      <c r="AA598" s="235" t="s">
        <v>1747</v>
      </c>
      <c r="AB598" s="443" t="s">
        <v>1803</v>
      </c>
      <c r="AC598" s="577"/>
      <c r="AD598" s="292">
        <f t="shared" ref="AD598:AF599" si="147">AD599</f>
        <v>100.3</v>
      </c>
      <c r="AE598" s="476">
        <f t="shared" si="147"/>
        <v>0</v>
      </c>
      <c r="AF598" s="476">
        <f t="shared" si="147"/>
        <v>0</v>
      </c>
      <c r="AG598" s="554"/>
      <c r="AH598" s="554"/>
      <c r="AI598" s="456"/>
    </row>
    <row r="599" spans="1:35" x14ac:dyDescent="0.25">
      <c r="X599" s="522" t="s">
        <v>2016</v>
      </c>
      <c r="Y599" s="246" t="s">
        <v>539</v>
      </c>
      <c r="Z599" s="235" t="s">
        <v>566</v>
      </c>
      <c r="AA599" s="235" t="s">
        <v>1747</v>
      </c>
      <c r="AB599" s="443" t="s">
        <v>2017</v>
      </c>
      <c r="AC599" s="577"/>
      <c r="AD599" s="292">
        <f t="shared" si="147"/>
        <v>100.3</v>
      </c>
      <c r="AE599" s="476">
        <f t="shared" si="147"/>
        <v>0</v>
      </c>
      <c r="AF599" s="476">
        <f t="shared" si="147"/>
        <v>0</v>
      </c>
      <c r="AG599" s="554"/>
      <c r="AH599" s="554"/>
      <c r="AI599" s="456"/>
    </row>
    <row r="600" spans="1:35" x14ac:dyDescent="0.25">
      <c r="X600" s="520" t="s">
        <v>1782</v>
      </c>
      <c r="Y600" s="246" t="s">
        <v>539</v>
      </c>
      <c r="Z600" s="235" t="s">
        <v>566</v>
      </c>
      <c r="AA600" s="235" t="s">
        <v>1747</v>
      </c>
      <c r="AB600" s="443" t="s">
        <v>2017</v>
      </c>
      <c r="AC600" s="238">
        <v>200</v>
      </c>
      <c r="AD600" s="292">
        <f>AD601</f>
        <v>100.3</v>
      </c>
      <c r="AE600" s="476">
        <f>AE601</f>
        <v>0</v>
      </c>
      <c r="AF600" s="476">
        <f>AF601</f>
        <v>0</v>
      </c>
      <c r="AG600" s="554"/>
      <c r="AH600" s="554"/>
      <c r="AI600" s="456"/>
    </row>
    <row r="601" spans="1:35" ht="31.5" x14ac:dyDescent="0.25">
      <c r="X601" s="520" t="s">
        <v>1274</v>
      </c>
      <c r="Y601" s="246" t="s">
        <v>539</v>
      </c>
      <c r="Z601" s="235" t="s">
        <v>566</v>
      </c>
      <c r="AA601" s="235" t="s">
        <v>1747</v>
      </c>
      <c r="AB601" s="443" t="s">
        <v>2017</v>
      </c>
      <c r="AC601" s="577">
        <v>240</v>
      </c>
      <c r="AD601" s="292">
        <f>170-69.7</f>
        <v>100.3</v>
      </c>
      <c r="AE601" s="476">
        <v>0</v>
      </c>
      <c r="AF601" s="476">
        <v>0</v>
      </c>
      <c r="AG601" s="554"/>
      <c r="AH601" s="554"/>
      <c r="AI601" s="456"/>
    </row>
    <row r="602" spans="1:35" x14ac:dyDescent="0.25">
      <c r="X602" s="549" t="s">
        <v>1899</v>
      </c>
      <c r="Y602" s="246" t="s">
        <v>539</v>
      </c>
      <c r="Z602" s="235" t="s">
        <v>566</v>
      </c>
      <c r="AA602" s="235" t="s">
        <v>1747</v>
      </c>
      <c r="AB602" s="443" t="s">
        <v>1772</v>
      </c>
      <c r="AC602" s="238"/>
      <c r="AD602" s="292">
        <f>AD603</f>
        <v>17046.900000000001</v>
      </c>
      <c r="AE602" s="476">
        <f>AE603</f>
        <v>17046.900000000001</v>
      </c>
      <c r="AF602" s="476">
        <f>AF603</f>
        <v>17046.900000000001</v>
      </c>
      <c r="AG602" s="554"/>
      <c r="AH602" s="554"/>
      <c r="AI602" s="456"/>
    </row>
    <row r="603" spans="1:35" x14ac:dyDescent="0.25">
      <c r="X603" s="549" t="s">
        <v>1908</v>
      </c>
      <c r="Y603" s="246" t="s">
        <v>539</v>
      </c>
      <c r="Z603" s="235" t="s">
        <v>566</v>
      </c>
      <c r="AA603" s="235" t="s">
        <v>1747</v>
      </c>
      <c r="AB603" s="443" t="s">
        <v>1909</v>
      </c>
      <c r="AC603" s="238"/>
      <c r="AD603" s="292">
        <f t="shared" ref="AD603:AF604" si="148">AD604</f>
        <v>17046.900000000001</v>
      </c>
      <c r="AE603" s="476">
        <f t="shared" si="148"/>
        <v>17046.900000000001</v>
      </c>
      <c r="AF603" s="476">
        <f t="shared" si="148"/>
        <v>17046.900000000001</v>
      </c>
      <c r="AG603" s="554"/>
      <c r="AH603" s="554"/>
      <c r="AI603" s="456"/>
    </row>
    <row r="604" spans="1:35" ht="31.5" x14ac:dyDescent="0.25">
      <c r="X604" s="549" t="s">
        <v>1910</v>
      </c>
      <c r="Y604" s="246" t="s">
        <v>539</v>
      </c>
      <c r="Z604" s="235" t="s">
        <v>566</v>
      </c>
      <c r="AA604" s="235" t="s">
        <v>1747</v>
      </c>
      <c r="AB604" s="443" t="s">
        <v>1911</v>
      </c>
      <c r="AC604" s="238"/>
      <c r="AD604" s="292">
        <f t="shared" si="148"/>
        <v>17046.900000000001</v>
      </c>
      <c r="AE604" s="476">
        <f t="shared" si="148"/>
        <v>17046.900000000001</v>
      </c>
      <c r="AF604" s="476">
        <f t="shared" si="148"/>
        <v>17046.900000000001</v>
      </c>
      <c r="AG604" s="554"/>
      <c r="AH604" s="554"/>
      <c r="AI604" s="456"/>
    </row>
    <row r="605" spans="1:35" x14ac:dyDescent="0.25">
      <c r="A605" s="237"/>
      <c r="B605" s="237"/>
      <c r="C605" s="237"/>
      <c r="D605" s="237"/>
      <c r="E605" s="237"/>
      <c r="F605" s="237"/>
      <c r="G605" s="237"/>
      <c r="H605" s="237"/>
      <c r="I605" s="237"/>
      <c r="J605" s="237"/>
      <c r="K605" s="237"/>
      <c r="L605" s="237"/>
      <c r="M605" s="237"/>
      <c r="N605" s="237"/>
      <c r="O605" s="237"/>
      <c r="P605" s="237"/>
      <c r="R605" s="237"/>
      <c r="S605" s="237"/>
      <c r="W605" s="237"/>
      <c r="X605" s="532" t="s">
        <v>1928</v>
      </c>
      <c r="Y605" s="246" t="s">
        <v>539</v>
      </c>
      <c r="Z605" s="235" t="s">
        <v>566</v>
      </c>
      <c r="AA605" s="235" t="s">
        <v>1747</v>
      </c>
      <c r="AB605" s="472" t="s">
        <v>1929</v>
      </c>
      <c r="AC605" s="238"/>
      <c r="AD605" s="292">
        <f>AD606+AD611+AD614</f>
        <v>17046.900000000001</v>
      </c>
      <c r="AE605" s="476">
        <f>AE606+AE611+AE614</f>
        <v>17046.900000000001</v>
      </c>
      <c r="AF605" s="476">
        <f>AF606+AF611+AF614</f>
        <v>17046.900000000001</v>
      </c>
      <c r="AG605" s="554"/>
      <c r="AH605" s="554"/>
      <c r="AI605" s="456"/>
    </row>
    <row r="606" spans="1:35" ht="31.5" x14ac:dyDescent="0.25">
      <c r="A606" s="237"/>
      <c r="B606" s="237"/>
      <c r="C606" s="237"/>
      <c r="D606" s="237"/>
      <c r="E606" s="237"/>
      <c r="F606" s="237"/>
      <c r="G606" s="237"/>
      <c r="H606" s="237"/>
      <c r="I606" s="237"/>
      <c r="J606" s="237"/>
      <c r="K606" s="237"/>
      <c r="L606" s="237"/>
      <c r="M606" s="237"/>
      <c r="N606" s="237"/>
      <c r="O606" s="237"/>
      <c r="P606" s="237"/>
      <c r="R606" s="237"/>
      <c r="S606" s="237"/>
      <c r="W606" s="237"/>
      <c r="X606" s="520" t="s">
        <v>1930</v>
      </c>
      <c r="Y606" s="246" t="s">
        <v>539</v>
      </c>
      <c r="Z606" s="235" t="s">
        <v>566</v>
      </c>
      <c r="AA606" s="235" t="s">
        <v>1747</v>
      </c>
      <c r="AB606" s="472" t="s">
        <v>1931</v>
      </c>
      <c r="AC606" s="238"/>
      <c r="AD606" s="292">
        <f>AD607+AD609</f>
        <v>3263.4</v>
      </c>
      <c r="AE606" s="476">
        <f>AE607+AE609</f>
        <v>3263.4</v>
      </c>
      <c r="AF606" s="476">
        <f>AF607+AF609</f>
        <v>3263.4</v>
      </c>
      <c r="AG606" s="554"/>
      <c r="AH606" s="554"/>
      <c r="AI606" s="456"/>
    </row>
    <row r="607" spans="1:35" x14ac:dyDescent="0.25">
      <c r="A607" s="237"/>
      <c r="B607" s="237"/>
      <c r="C607" s="237"/>
      <c r="D607" s="237"/>
      <c r="E607" s="237"/>
      <c r="F607" s="237"/>
      <c r="G607" s="237"/>
      <c r="H607" s="237"/>
      <c r="I607" s="237"/>
      <c r="J607" s="237"/>
      <c r="K607" s="237"/>
      <c r="L607" s="237"/>
      <c r="M607" s="237"/>
      <c r="N607" s="237"/>
      <c r="O607" s="237"/>
      <c r="P607" s="237"/>
      <c r="R607" s="237"/>
      <c r="S607" s="237"/>
      <c r="W607" s="237"/>
      <c r="X607" s="520" t="s">
        <v>1782</v>
      </c>
      <c r="Y607" s="246" t="s">
        <v>539</v>
      </c>
      <c r="Z607" s="235" t="s">
        <v>566</v>
      </c>
      <c r="AA607" s="235" t="s">
        <v>1747</v>
      </c>
      <c r="AB607" s="472" t="s">
        <v>1931</v>
      </c>
      <c r="AC607" s="238">
        <v>200</v>
      </c>
      <c r="AD607" s="292">
        <f>AD608</f>
        <v>3263.3</v>
      </c>
      <c r="AE607" s="476">
        <f>AE608</f>
        <v>3263.4</v>
      </c>
      <c r="AF607" s="476">
        <f>AF608</f>
        <v>3263.4</v>
      </c>
      <c r="AG607" s="554"/>
      <c r="AH607" s="554"/>
      <c r="AI607" s="456"/>
    </row>
    <row r="608" spans="1:35" ht="31.5" x14ac:dyDescent="0.25">
      <c r="A608" s="237"/>
      <c r="B608" s="237"/>
      <c r="C608" s="237"/>
      <c r="D608" s="237"/>
      <c r="E608" s="237"/>
      <c r="F608" s="237"/>
      <c r="G608" s="237"/>
      <c r="H608" s="237"/>
      <c r="I608" s="237"/>
      <c r="J608" s="237"/>
      <c r="K608" s="237"/>
      <c r="L608" s="237"/>
      <c r="M608" s="237"/>
      <c r="N608" s="237"/>
      <c r="O608" s="237"/>
      <c r="P608" s="237"/>
      <c r="R608" s="237"/>
      <c r="S608" s="237"/>
      <c r="W608" s="237"/>
      <c r="X608" s="520" t="s">
        <v>1274</v>
      </c>
      <c r="Y608" s="246" t="s">
        <v>539</v>
      </c>
      <c r="Z608" s="235" t="s">
        <v>566</v>
      </c>
      <c r="AA608" s="235" t="s">
        <v>1747</v>
      </c>
      <c r="AB608" s="472" t="s">
        <v>1931</v>
      </c>
      <c r="AC608" s="238">
        <v>240</v>
      </c>
      <c r="AD608" s="292">
        <f>3263.4-0.1</f>
        <v>3263.3</v>
      </c>
      <c r="AE608" s="476">
        <v>3263.4</v>
      </c>
      <c r="AF608" s="476">
        <v>3263.4</v>
      </c>
      <c r="AG608" s="554"/>
      <c r="AH608" s="554"/>
      <c r="AI608" s="456"/>
    </row>
    <row r="609" spans="1:35" x14ac:dyDescent="0.25">
      <c r="A609" s="237"/>
      <c r="B609" s="237"/>
      <c r="C609" s="237"/>
      <c r="D609" s="237"/>
      <c r="E609" s="237"/>
      <c r="F609" s="237"/>
      <c r="G609" s="237"/>
      <c r="H609" s="237"/>
      <c r="I609" s="237"/>
      <c r="J609" s="237"/>
      <c r="K609" s="237"/>
      <c r="L609" s="237"/>
      <c r="M609" s="237"/>
      <c r="N609" s="237"/>
      <c r="O609" s="237"/>
      <c r="P609" s="237"/>
      <c r="R609" s="237"/>
      <c r="S609" s="237"/>
      <c r="W609" s="237"/>
      <c r="X609" s="520" t="s">
        <v>924</v>
      </c>
      <c r="Y609" s="246" t="s">
        <v>539</v>
      </c>
      <c r="Z609" s="235" t="s">
        <v>566</v>
      </c>
      <c r="AA609" s="235" t="s">
        <v>1747</v>
      </c>
      <c r="AB609" s="472" t="s">
        <v>1931</v>
      </c>
      <c r="AC609" s="238">
        <v>800</v>
      </c>
      <c r="AD609" s="292">
        <f>AD610</f>
        <v>0.1</v>
      </c>
      <c r="AE609" s="476">
        <f>AE610</f>
        <v>0</v>
      </c>
      <c r="AF609" s="476">
        <f>AF610</f>
        <v>0</v>
      </c>
      <c r="AG609" s="554"/>
      <c r="AH609" s="554"/>
      <c r="AI609" s="456"/>
    </row>
    <row r="610" spans="1:35" x14ac:dyDescent="0.25">
      <c r="A610" s="237"/>
      <c r="B610" s="237"/>
      <c r="C610" s="237"/>
      <c r="D610" s="237"/>
      <c r="E610" s="237"/>
      <c r="F610" s="237"/>
      <c r="G610" s="237"/>
      <c r="H610" s="237"/>
      <c r="I610" s="237"/>
      <c r="J610" s="237"/>
      <c r="K610" s="237"/>
      <c r="L610" s="237"/>
      <c r="M610" s="237"/>
      <c r="N610" s="237"/>
      <c r="O610" s="237"/>
      <c r="P610" s="237"/>
      <c r="R610" s="237"/>
      <c r="S610" s="237"/>
      <c r="W610" s="237"/>
      <c r="X610" s="520" t="s">
        <v>1320</v>
      </c>
      <c r="Y610" s="246" t="s">
        <v>539</v>
      </c>
      <c r="Z610" s="235" t="s">
        <v>566</v>
      </c>
      <c r="AA610" s="235" t="s">
        <v>1747</v>
      </c>
      <c r="AB610" s="472" t="s">
        <v>1931</v>
      </c>
      <c r="AC610" s="238">
        <v>850</v>
      </c>
      <c r="AD610" s="292">
        <v>0.1</v>
      </c>
      <c r="AE610" s="476">
        <v>0</v>
      </c>
      <c r="AF610" s="476">
        <v>0</v>
      </c>
      <c r="AG610" s="554"/>
      <c r="AH610" s="554"/>
      <c r="AI610" s="456"/>
    </row>
    <row r="611" spans="1:35" ht="31.5" x14ac:dyDescent="0.25">
      <c r="A611" s="237"/>
      <c r="B611" s="237"/>
      <c r="C611" s="237"/>
      <c r="D611" s="237"/>
      <c r="E611" s="237"/>
      <c r="F611" s="237"/>
      <c r="G611" s="237"/>
      <c r="H611" s="237"/>
      <c r="I611" s="237"/>
      <c r="J611" s="237"/>
      <c r="K611" s="237"/>
      <c r="L611" s="237"/>
      <c r="M611" s="237"/>
      <c r="N611" s="237"/>
      <c r="O611" s="237"/>
      <c r="P611" s="237"/>
      <c r="R611" s="237"/>
      <c r="S611" s="237"/>
      <c r="W611" s="237"/>
      <c r="X611" s="520" t="s">
        <v>1935</v>
      </c>
      <c r="Y611" s="246" t="s">
        <v>539</v>
      </c>
      <c r="Z611" s="235" t="s">
        <v>566</v>
      </c>
      <c r="AA611" s="235" t="s">
        <v>1747</v>
      </c>
      <c r="AB611" s="249" t="str">
        <f>AB612</f>
        <v>12 5 01 00162</v>
      </c>
      <c r="AC611" s="238"/>
      <c r="AD611" s="292">
        <f>AD613</f>
        <v>7844.7</v>
      </c>
      <c r="AE611" s="476">
        <f>AE613</f>
        <v>7844.7</v>
      </c>
      <c r="AF611" s="476">
        <f>AF613</f>
        <v>7844.7</v>
      </c>
      <c r="AG611" s="554"/>
      <c r="AH611" s="554"/>
      <c r="AI611" s="456"/>
    </row>
    <row r="612" spans="1:35" ht="47.25" x14ac:dyDescent="0.25">
      <c r="A612" s="237"/>
      <c r="B612" s="237"/>
      <c r="C612" s="237"/>
      <c r="D612" s="237"/>
      <c r="E612" s="237"/>
      <c r="F612" s="237"/>
      <c r="G612" s="237"/>
      <c r="H612" s="237"/>
      <c r="I612" s="237"/>
      <c r="J612" s="237"/>
      <c r="K612" s="237"/>
      <c r="L612" s="237"/>
      <c r="M612" s="237"/>
      <c r="N612" s="237"/>
      <c r="O612" s="237"/>
      <c r="P612" s="237"/>
      <c r="R612" s="237"/>
      <c r="S612" s="237"/>
      <c r="W612" s="237"/>
      <c r="X612" s="520" t="s">
        <v>922</v>
      </c>
      <c r="Y612" s="246" t="s">
        <v>539</v>
      </c>
      <c r="Z612" s="235" t="s">
        <v>566</v>
      </c>
      <c r="AA612" s="235" t="s">
        <v>1747</v>
      </c>
      <c r="AB612" s="249" t="str">
        <f>AB613</f>
        <v>12 5 01 00162</v>
      </c>
      <c r="AC612" s="238">
        <v>100</v>
      </c>
      <c r="AD612" s="292">
        <f>AD613</f>
        <v>7844.7</v>
      </c>
      <c r="AE612" s="476">
        <f>AE613</f>
        <v>7844.7</v>
      </c>
      <c r="AF612" s="476">
        <f>AF613</f>
        <v>7844.7</v>
      </c>
      <c r="AG612" s="554"/>
      <c r="AH612" s="554"/>
      <c r="AI612" s="456"/>
    </row>
    <row r="613" spans="1:35" x14ac:dyDescent="0.25">
      <c r="A613" s="237"/>
      <c r="B613" s="237"/>
      <c r="C613" s="237"/>
      <c r="D613" s="237"/>
      <c r="E613" s="237"/>
      <c r="F613" s="237"/>
      <c r="G613" s="237"/>
      <c r="H613" s="237"/>
      <c r="I613" s="237"/>
      <c r="J613" s="237"/>
      <c r="K613" s="237"/>
      <c r="L613" s="237"/>
      <c r="M613" s="237"/>
      <c r="N613" s="237"/>
      <c r="O613" s="237"/>
      <c r="P613" s="237"/>
      <c r="R613" s="237"/>
      <c r="S613" s="237"/>
      <c r="W613" s="237"/>
      <c r="X613" s="520" t="s">
        <v>1748</v>
      </c>
      <c r="Y613" s="246" t="s">
        <v>539</v>
      </c>
      <c r="Z613" s="235" t="s">
        <v>566</v>
      </c>
      <c r="AA613" s="235" t="s">
        <v>1747</v>
      </c>
      <c r="AB613" s="472" t="s">
        <v>1932</v>
      </c>
      <c r="AC613" s="238">
        <v>120</v>
      </c>
      <c r="AD613" s="292">
        <v>7844.7</v>
      </c>
      <c r="AE613" s="476">
        <v>7844.7</v>
      </c>
      <c r="AF613" s="476">
        <v>7844.7</v>
      </c>
      <c r="AG613" s="554"/>
      <c r="AH613" s="554"/>
      <c r="AI613" s="456"/>
    </row>
    <row r="614" spans="1:35" ht="31.5" x14ac:dyDescent="0.25">
      <c r="A614" s="237"/>
      <c r="B614" s="237"/>
      <c r="C614" s="237"/>
      <c r="D614" s="237"/>
      <c r="E614" s="237"/>
      <c r="F614" s="237"/>
      <c r="G614" s="237"/>
      <c r="H614" s="237"/>
      <c r="I614" s="237"/>
      <c r="J614" s="237"/>
      <c r="K614" s="237"/>
      <c r="L614" s="237"/>
      <c r="M614" s="237"/>
      <c r="N614" s="237"/>
      <c r="O614" s="237"/>
      <c r="P614" s="237"/>
      <c r="R614" s="237"/>
      <c r="S614" s="237"/>
      <c r="W614" s="237"/>
      <c r="X614" s="520" t="s">
        <v>1934</v>
      </c>
      <c r="Y614" s="246" t="s">
        <v>539</v>
      </c>
      <c r="Z614" s="235" t="s">
        <v>566</v>
      </c>
      <c r="AA614" s="235" t="s">
        <v>1747</v>
      </c>
      <c r="AB614" s="249" t="str">
        <f>AB615</f>
        <v>12 5 01 00163</v>
      </c>
      <c r="AC614" s="238"/>
      <c r="AD614" s="292">
        <f>AD616</f>
        <v>5938.8</v>
      </c>
      <c r="AE614" s="476">
        <f>AE616</f>
        <v>5938.8</v>
      </c>
      <c r="AF614" s="476">
        <f>AF616</f>
        <v>5938.8</v>
      </c>
      <c r="AG614" s="554"/>
      <c r="AH614" s="554"/>
      <c r="AI614" s="456"/>
    </row>
    <row r="615" spans="1:35" ht="47.25" x14ac:dyDescent="0.25">
      <c r="A615" s="237"/>
      <c r="B615" s="237"/>
      <c r="C615" s="237"/>
      <c r="D615" s="237"/>
      <c r="E615" s="237"/>
      <c r="F615" s="237"/>
      <c r="G615" s="237"/>
      <c r="H615" s="237"/>
      <c r="I615" s="237"/>
      <c r="J615" s="237"/>
      <c r="K615" s="237"/>
      <c r="L615" s="237"/>
      <c r="M615" s="237"/>
      <c r="N615" s="237"/>
      <c r="O615" s="237"/>
      <c r="P615" s="237"/>
      <c r="R615" s="237"/>
      <c r="S615" s="237"/>
      <c r="W615" s="237"/>
      <c r="X615" s="520" t="s">
        <v>922</v>
      </c>
      <c r="Y615" s="246" t="s">
        <v>539</v>
      </c>
      <c r="Z615" s="235" t="s">
        <v>566</v>
      </c>
      <c r="AA615" s="235" t="s">
        <v>1747</v>
      </c>
      <c r="AB615" s="249" t="str">
        <f>AB616</f>
        <v>12 5 01 00163</v>
      </c>
      <c r="AC615" s="238">
        <v>100</v>
      </c>
      <c r="AD615" s="292">
        <f>AD616</f>
        <v>5938.8</v>
      </c>
      <c r="AE615" s="476">
        <f>AE616</f>
        <v>5938.8</v>
      </c>
      <c r="AF615" s="476">
        <f>AF616</f>
        <v>5938.8</v>
      </c>
      <c r="AG615" s="554"/>
      <c r="AH615" s="554"/>
      <c r="AI615" s="456"/>
    </row>
    <row r="616" spans="1:35" x14ac:dyDescent="0.25">
      <c r="A616" s="237"/>
      <c r="B616" s="237"/>
      <c r="C616" s="237"/>
      <c r="D616" s="237"/>
      <c r="E616" s="237"/>
      <c r="F616" s="237"/>
      <c r="G616" s="237"/>
      <c r="H616" s="237"/>
      <c r="I616" s="237"/>
      <c r="J616" s="237"/>
      <c r="K616" s="237"/>
      <c r="L616" s="237"/>
      <c r="M616" s="237"/>
      <c r="N616" s="237"/>
      <c r="O616" s="237"/>
      <c r="P616" s="237"/>
      <c r="R616" s="237"/>
      <c r="S616" s="237"/>
      <c r="W616" s="237"/>
      <c r="X616" s="520" t="s">
        <v>1748</v>
      </c>
      <c r="Y616" s="246" t="s">
        <v>539</v>
      </c>
      <c r="Z616" s="235" t="s">
        <v>566</v>
      </c>
      <c r="AA616" s="235" t="s">
        <v>1747</v>
      </c>
      <c r="AB616" s="472" t="s">
        <v>1933</v>
      </c>
      <c r="AC616" s="238">
        <v>120</v>
      </c>
      <c r="AD616" s="292">
        <v>5938.8</v>
      </c>
      <c r="AE616" s="476">
        <v>5938.8</v>
      </c>
      <c r="AF616" s="476">
        <v>5938.8</v>
      </c>
      <c r="AG616" s="554"/>
      <c r="AH616" s="554"/>
      <c r="AI616" s="456"/>
    </row>
    <row r="617" spans="1:35" ht="31.5" x14ac:dyDescent="0.25">
      <c r="A617" s="237"/>
      <c r="B617" s="237"/>
      <c r="C617" s="237"/>
      <c r="D617" s="237"/>
      <c r="E617" s="237"/>
      <c r="F617" s="237"/>
      <c r="G617" s="237"/>
      <c r="H617" s="237"/>
      <c r="I617" s="237"/>
      <c r="J617" s="237"/>
      <c r="K617" s="237"/>
      <c r="L617" s="237"/>
      <c r="M617" s="237"/>
      <c r="N617" s="237"/>
      <c r="O617" s="237"/>
      <c r="P617" s="237"/>
      <c r="R617" s="237"/>
      <c r="S617" s="237"/>
      <c r="W617" s="237"/>
      <c r="X617" s="521" t="s">
        <v>2104</v>
      </c>
      <c r="Y617" s="246" t="s">
        <v>539</v>
      </c>
      <c r="Z617" s="235" t="s">
        <v>566</v>
      </c>
      <c r="AA617" s="235" t="s">
        <v>1747</v>
      </c>
      <c r="AB617" s="443" t="s">
        <v>1806</v>
      </c>
      <c r="AC617" s="238"/>
      <c r="AD617" s="292">
        <f t="shared" ref="AD617:AF620" si="149">AD618</f>
        <v>11</v>
      </c>
      <c r="AE617" s="476">
        <f t="shared" si="149"/>
        <v>11</v>
      </c>
      <c r="AF617" s="476">
        <f t="shared" si="149"/>
        <v>11</v>
      </c>
      <c r="AG617" s="554"/>
      <c r="AH617" s="554"/>
      <c r="AI617" s="456"/>
    </row>
    <row r="618" spans="1:35" ht="47.25" x14ac:dyDescent="0.25">
      <c r="A618" s="237"/>
      <c r="B618" s="237"/>
      <c r="C618" s="237"/>
      <c r="D618" s="237"/>
      <c r="E618" s="237"/>
      <c r="F618" s="237"/>
      <c r="G618" s="237"/>
      <c r="H618" s="237"/>
      <c r="I618" s="237"/>
      <c r="J618" s="237"/>
      <c r="K618" s="237"/>
      <c r="L618" s="237"/>
      <c r="M618" s="237"/>
      <c r="N618" s="237"/>
      <c r="O618" s="237"/>
      <c r="P618" s="237"/>
      <c r="R618" s="237"/>
      <c r="S618" s="237"/>
      <c r="W618" s="237"/>
      <c r="X618" s="521" t="s">
        <v>2105</v>
      </c>
      <c r="Y618" s="246" t="s">
        <v>539</v>
      </c>
      <c r="Z618" s="235" t="s">
        <v>566</v>
      </c>
      <c r="AA618" s="235" t="s">
        <v>1747</v>
      </c>
      <c r="AB618" s="443" t="s">
        <v>2106</v>
      </c>
      <c r="AC618" s="238"/>
      <c r="AD618" s="292">
        <f t="shared" si="149"/>
        <v>11</v>
      </c>
      <c r="AE618" s="476">
        <f t="shared" si="149"/>
        <v>11</v>
      </c>
      <c r="AF618" s="476">
        <f t="shared" si="149"/>
        <v>11</v>
      </c>
      <c r="AG618" s="554"/>
      <c r="AH618" s="554"/>
      <c r="AI618" s="456"/>
    </row>
    <row r="619" spans="1:35" ht="31.5" x14ac:dyDescent="0.25">
      <c r="A619" s="237"/>
      <c r="B619" s="237"/>
      <c r="C619" s="237"/>
      <c r="D619" s="237"/>
      <c r="E619" s="237"/>
      <c r="F619" s="237"/>
      <c r="G619" s="237"/>
      <c r="H619" s="237"/>
      <c r="I619" s="237"/>
      <c r="J619" s="237"/>
      <c r="K619" s="237"/>
      <c r="L619" s="237"/>
      <c r="M619" s="237"/>
      <c r="N619" s="237"/>
      <c r="O619" s="237"/>
      <c r="P619" s="237"/>
      <c r="R619" s="237"/>
      <c r="S619" s="237"/>
      <c r="W619" s="237"/>
      <c r="X619" s="529" t="s">
        <v>2107</v>
      </c>
      <c r="Y619" s="246" t="s">
        <v>539</v>
      </c>
      <c r="Z619" s="235" t="s">
        <v>566</v>
      </c>
      <c r="AA619" s="235" t="s">
        <v>1747</v>
      </c>
      <c r="AB619" s="443" t="s">
        <v>2108</v>
      </c>
      <c r="AC619" s="238"/>
      <c r="AD619" s="292">
        <f t="shared" si="149"/>
        <v>11</v>
      </c>
      <c r="AE619" s="476">
        <f t="shared" si="149"/>
        <v>11</v>
      </c>
      <c r="AF619" s="476">
        <f t="shared" si="149"/>
        <v>11</v>
      </c>
      <c r="AG619" s="554"/>
      <c r="AH619" s="554"/>
      <c r="AI619" s="456"/>
    </row>
    <row r="620" spans="1:35" ht="94.5" x14ac:dyDescent="0.25">
      <c r="A620" s="237"/>
      <c r="B620" s="237"/>
      <c r="C620" s="237"/>
      <c r="D620" s="237"/>
      <c r="E620" s="237"/>
      <c r="F620" s="237"/>
      <c r="G620" s="237"/>
      <c r="H620" s="237"/>
      <c r="I620" s="237"/>
      <c r="J620" s="237"/>
      <c r="K620" s="237"/>
      <c r="L620" s="237"/>
      <c r="M620" s="237"/>
      <c r="N620" s="237"/>
      <c r="O620" s="237"/>
      <c r="P620" s="237"/>
      <c r="R620" s="237"/>
      <c r="S620" s="237"/>
      <c r="W620" s="237"/>
      <c r="X620" s="529" t="s">
        <v>2244</v>
      </c>
      <c r="Y620" s="246" t="s">
        <v>539</v>
      </c>
      <c r="Z620" s="235" t="s">
        <v>566</v>
      </c>
      <c r="AA620" s="235" t="s">
        <v>1747</v>
      </c>
      <c r="AB620" s="472" t="s">
        <v>2109</v>
      </c>
      <c r="AC620" s="238"/>
      <c r="AD620" s="292">
        <f t="shared" si="149"/>
        <v>11</v>
      </c>
      <c r="AE620" s="476">
        <f t="shared" si="149"/>
        <v>11</v>
      </c>
      <c r="AF620" s="476">
        <f t="shared" si="149"/>
        <v>11</v>
      </c>
      <c r="AG620" s="554"/>
      <c r="AH620" s="554"/>
      <c r="AI620" s="456"/>
    </row>
    <row r="621" spans="1:35" x14ac:dyDescent="0.25">
      <c r="A621" s="237"/>
      <c r="B621" s="237"/>
      <c r="C621" s="237"/>
      <c r="D621" s="237"/>
      <c r="E621" s="237"/>
      <c r="F621" s="237"/>
      <c r="G621" s="237"/>
      <c r="H621" s="237"/>
      <c r="I621" s="237"/>
      <c r="J621" s="237"/>
      <c r="K621" s="237"/>
      <c r="L621" s="237"/>
      <c r="M621" s="237"/>
      <c r="N621" s="237"/>
      <c r="O621" s="237"/>
      <c r="P621" s="237"/>
      <c r="R621" s="237"/>
      <c r="S621" s="237"/>
      <c r="W621" s="237"/>
      <c r="X621" s="520" t="s">
        <v>1782</v>
      </c>
      <c r="Y621" s="246" t="s">
        <v>539</v>
      </c>
      <c r="Z621" s="235" t="s">
        <v>566</v>
      </c>
      <c r="AA621" s="235" t="s">
        <v>1747</v>
      </c>
      <c r="AB621" s="472" t="s">
        <v>2109</v>
      </c>
      <c r="AC621" s="238">
        <v>200</v>
      </c>
      <c r="AD621" s="292">
        <f>AD622</f>
        <v>11</v>
      </c>
      <c r="AE621" s="476">
        <f>AE622</f>
        <v>11</v>
      </c>
      <c r="AF621" s="476">
        <f>AF622</f>
        <v>11</v>
      </c>
      <c r="AG621" s="554"/>
      <c r="AH621" s="554"/>
      <c r="AI621" s="456"/>
    </row>
    <row r="622" spans="1:35" ht="31.5" x14ac:dyDescent="0.25">
      <c r="A622" s="237"/>
      <c r="B622" s="237"/>
      <c r="C622" s="237"/>
      <c r="D622" s="237"/>
      <c r="E622" s="237"/>
      <c r="F622" s="237"/>
      <c r="G622" s="237"/>
      <c r="H622" s="237"/>
      <c r="I622" s="237"/>
      <c r="J622" s="237"/>
      <c r="K622" s="237"/>
      <c r="L622" s="237"/>
      <c r="M622" s="237"/>
      <c r="N622" s="237"/>
      <c r="O622" s="237"/>
      <c r="P622" s="237"/>
      <c r="R622" s="237"/>
      <c r="S622" s="237"/>
      <c r="W622" s="237"/>
      <c r="X622" s="520" t="s">
        <v>1274</v>
      </c>
      <c r="Y622" s="246" t="s">
        <v>539</v>
      </c>
      <c r="Z622" s="235" t="s">
        <v>566</v>
      </c>
      <c r="AA622" s="235" t="s">
        <v>1747</v>
      </c>
      <c r="AB622" s="472" t="s">
        <v>2109</v>
      </c>
      <c r="AC622" s="238">
        <v>240</v>
      </c>
      <c r="AD622" s="292">
        <v>11</v>
      </c>
      <c r="AE622" s="476">
        <v>11</v>
      </c>
      <c r="AF622" s="476">
        <v>11</v>
      </c>
      <c r="AG622" s="554"/>
      <c r="AH622" s="554"/>
      <c r="AI622" s="456"/>
    </row>
    <row r="623" spans="1:35" s="363" customFormat="1" x14ac:dyDescent="0.25">
      <c r="A623" s="424"/>
      <c r="B623" s="425"/>
      <c r="C623" s="426"/>
      <c r="D623" s="426"/>
      <c r="E623" s="426"/>
      <c r="F623" s="426"/>
      <c r="G623" s="426"/>
      <c r="I623" s="427"/>
      <c r="J623" s="427"/>
      <c r="K623" s="427"/>
      <c r="L623" s="427"/>
      <c r="M623" s="427"/>
      <c r="N623" s="427"/>
      <c r="O623" s="428"/>
      <c r="P623" s="429"/>
      <c r="R623" s="430"/>
      <c r="S623" s="431"/>
      <c r="W623" s="367"/>
      <c r="X623" s="559" t="s">
        <v>1746</v>
      </c>
      <c r="Y623" s="575" t="s">
        <v>539</v>
      </c>
      <c r="Z623" s="247" t="s">
        <v>768</v>
      </c>
      <c r="AA623" s="248"/>
      <c r="AB623" s="271"/>
      <c r="AC623" s="576"/>
      <c r="AD623" s="745">
        <f t="shared" ref="AD623:AF626" si="150">AD624</f>
        <v>845.1</v>
      </c>
      <c r="AE623" s="479">
        <f t="shared" si="150"/>
        <v>845.1</v>
      </c>
      <c r="AF623" s="479">
        <f t="shared" si="150"/>
        <v>845.1</v>
      </c>
      <c r="AG623" s="647"/>
      <c r="AH623" s="647"/>
      <c r="AI623" s="456"/>
    </row>
    <row r="624" spans="1:35" x14ac:dyDescent="0.25">
      <c r="X624" s="520" t="s">
        <v>1313</v>
      </c>
      <c r="Y624" s="246" t="s">
        <v>539</v>
      </c>
      <c r="Z624" s="235">
        <v>10</v>
      </c>
      <c r="AA624" s="235" t="s">
        <v>566</v>
      </c>
      <c r="AB624" s="249"/>
      <c r="AC624" s="589"/>
      <c r="AD624" s="292">
        <f t="shared" si="150"/>
        <v>845.1</v>
      </c>
      <c r="AE624" s="476">
        <f t="shared" si="150"/>
        <v>845.1</v>
      </c>
      <c r="AF624" s="476">
        <f t="shared" si="150"/>
        <v>845.1</v>
      </c>
      <c r="AG624" s="554"/>
      <c r="AH624" s="554"/>
      <c r="AI624" s="456"/>
    </row>
    <row r="625" spans="1:35" x14ac:dyDescent="0.25">
      <c r="X625" s="549" t="s">
        <v>2075</v>
      </c>
      <c r="Y625" s="246" t="s">
        <v>539</v>
      </c>
      <c r="Z625" s="235">
        <v>10</v>
      </c>
      <c r="AA625" s="235" t="s">
        <v>566</v>
      </c>
      <c r="AB625" s="443" t="s">
        <v>1769</v>
      </c>
      <c r="AC625" s="589"/>
      <c r="AD625" s="292">
        <f t="shared" si="150"/>
        <v>845.1</v>
      </c>
      <c r="AE625" s="476">
        <f t="shared" si="150"/>
        <v>845.1</v>
      </c>
      <c r="AF625" s="476">
        <f t="shared" si="150"/>
        <v>845.1</v>
      </c>
      <c r="AG625" s="554"/>
      <c r="AH625" s="554"/>
      <c r="AI625" s="456"/>
    </row>
    <row r="626" spans="1:35" x14ac:dyDescent="0.25">
      <c r="X626" s="625" t="s">
        <v>2076</v>
      </c>
      <c r="Y626" s="246" t="s">
        <v>539</v>
      </c>
      <c r="Z626" s="235">
        <v>10</v>
      </c>
      <c r="AA626" s="235" t="s">
        <v>566</v>
      </c>
      <c r="AB626" s="443" t="s">
        <v>1780</v>
      </c>
      <c r="AC626" s="589"/>
      <c r="AD626" s="292">
        <f t="shared" si="150"/>
        <v>845.1</v>
      </c>
      <c r="AE626" s="476">
        <f t="shared" si="150"/>
        <v>845.1</v>
      </c>
      <c r="AF626" s="476">
        <f t="shared" si="150"/>
        <v>845.1</v>
      </c>
      <c r="AG626" s="554"/>
      <c r="AH626" s="554"/>
      <c r="AI626" s="456"/>
    </row>
    <row r="627" spans="1:35" ht="31.5" x14ac:dyDescent="0.25">
      <c r="X627" s="549" t="s">
        <v>2082</v>
      </c>
      <c r="Y627" s="246" t="s">
        <v>539</v>
      </c>
      <c r="Z627" s="235">
        <v>10</v>
      </c>
      <c r="AA627" s="235" t="s">
        <v>566</v>
      </c>
      <c r="AB627" s="443" t="s">
        <v>2083</v>
      </c>
      <c r="AC627" s="589"/>
      <c r="AD627" s="292">
        <f t="shared" ref="AD627:AF629" si="151">AD628</f>
        <v>845.1</v>
      </c>
      <c r="AE627" s="476">
        <f t="shared" si="151"/>
        <v>845.1</v>
      </c>
      <c r="AF627" s="476">
        <f t="shared" si="151"/>
        <v>845.1</v>
      </c>
      <c r="AG627" s="554"/>
      <c r="AH627" s="554"/>
      <c r="AI627" s="456"/>
    </row>
    <row r="628" spans="1:35" ht="31.5" x14ac:dyDescent="0.25">
      <c r="X628" s="530" t="s">
        <v>2084</v>
      </c>
      <c r="Y628" s="246" t="s">
        <v>539</v>
      </c>
      <c r="Z628" s="235">
        <v>10</v>
      </c>
      <c r="AA628" s="235" t="s">
        <v>566</v>
      </c>
      <c r="AB628" s="443" t="s">
        <v>2085</v>
      </c>
      <c r="AC628" s="589"/>
      <c r="AD628" s="292">
        <f t="shared" si="151"/>
        <v>845.1</v>
      </c>
      <c r="AE628" s="476">
        <f t="shared" si="151"/>
        <v>845.1</v>
      </c>
      <c r="AF628" s="476">
        <f t="shared" si="151"/>
        <v>845.1</v>
      </c>
      <c r="AG628" s="554"/>
      <c r="AH628" s="554"/>
      <c r="AI628" s="456"/>
    </row>
    <row r="629" spans="1:35" x14ac:dyDescent="0.25">
      <c r="X629" s="520" t="s">
        <v>1755</v>
      </c>
      <c r="Y629" s="246" t="s">
        <v>539</v>
      </c>
      <c r="Z629" s="235">
        <v>10</v>
      </c>
      <c r="AA629" s="235" t="s">
        <v>566</v>
      </c>
      <c r="AB629" s="443" t="s">
        <v>2085</v>
      </c>
      <c r="AC629" s="238">
        <v>300</v>
      </c>
      <c r="AD629" s="292">
        <f t="shared" si="151"/>
        <v>845.1</v>
      </c>
      <c r="AE629" s="476">
        <f t="shared" si="151"/>
        <v>845.1</v>
      </c>
      <c r="AF629" s="476">
        <f t="shared" si="151"/>
        <v>845.1</v>
      </c>
      <c r="AG629" s="554"/>
      <c r="AH629" s="554"/>
      <c r="AI629" s="456"/>
    </row>
    <row r="630" spans="1:35" x14ac:dyDescent="0.25">
      <c r="X630" s="520" t="s">
        <v>868</v>
      </c>
      <c r="Y630" s="246" t="s">
        <v>539</v>
      </c>
      <c r="Z630" s="235">
        <v>10</v>
      </c>
      <c r="AA630" s="235" t="s">
        <v>566</v>
      </c>
      <c r="AB630" s="443" t="s">
        <v>2085</v>
      </c>
      <c r="AC630" s="238">
        <v>320</v>
      </c>
      <c r="AD630" s="292">
        <v>845.1</v>
      </c>
      <c r="AE630" s="476">
        <v>845.1</v>
      </c>
      <c r="AF630" s="476">
        <v>845.1</v>
      </c>
      <c r="AG630" s="554"/>
      <c r="AH630" s="554"/>
      <c r="AI630" s="456"/>
    </row>
    <row r="631" spans="1:35" x14ac:dyDescent="0.25">
      <c r="X631" s="559" t="s">
        <v>1614</v>
      </c>
      <c r="Y631" s="575" t="s">
        <v>1327</v>
      </c>
      <c r="Z631" s="236"/>
      <c r="AA631" s="236"/>
      <c r="AB631" s="249"/>
      <c r="AC631" s="577"/>
      <c r="AD631" s="745">
        <f>AD632+AD677</f>
        <v>71503.199999999997</v>
      </c>
      <c r="AE631" s="479">
        <f>AE632+AE677</f>
        <v>39874.300000000003</v>
      </c>
      <c r="AF631" s="479">
        <f>AF632+AF677</f>
        <v>29948.3</v>
      </c>
      <c r="AG631" s="647"/>
      <c r="AH631" s="647"/>
      <c r="AI631" s="456"/>
    </row>
    <row r="632" spans="1:35" s="363" customFormat="1" x14ac:dyDescent="0.25">
      <c r="A632" s="424"/>
      <c r="B632" s="425"/>
      <c r="C632" s="426"/>
      <c r="D632" s="426"/>
      <c r="E632" s="426"/>
      <c r="F632" s="426"/>
      <c r="G632" s="426"/>
      <c r="I632" s="427"/>
      <c r="J632" s="427"/>
      <c r="K632" s="427"/>
      <c r="L632" s="427"/>
      <c r="M632" s="427"/>
      <c r="N632" s="427"/>
      <c r="O632" s="428"/>
      <c r="P632" s="429"/>
      <c r="R632" s="430"/>
      <c r="S632" s="431"/>
      <c r="W632" s="367"/>
      <c r="X632" s="559" t="s">
        <v>482</v>
      </c>
      <c r="Y632" s="575" t="s">
        <v>1327</v>
      </c>
      <c r="Z632" s="262" t="s">
        <v>566</v>
      </c>
      <c r="AA632" s="248"/>
      <c r="AB632" s="271"/>
      <c r="AC632" s="576"/>
      <c r="AD632" s="745">
        <f>AD633</f>
        <v>21787.7</v>
      </c>
      <c r="AE632" s="479">
        <f>AE633</f>
        <v>19382.8</v>
      </c>
      <c r="AF632" s="479">
        <f>AF633</f>
        <v>19362.8</v>
      </c>
      <c r="AG632" s="647"/>
      <c r="AH632" s="647"/>
      <c r="AI632" s="456"/>
    </row>
    <row r="633" spans="1:35" x14ac:dyDescent="0.25">
      <c r="X633" s="520" t="s">
        <v>287</v>
      </c>
      <c r="Y633" s="246" t="s">
        <v>1327</v>
      </c>
      <c r="Z633" s="235" t="s">
        <v>566</v>
      </c>
      <c r="AA633" s="235">
        <v>13</v>
      </c>
      <c r="AB633" s="249"/>
      <c r="AC633" s="577"/>
      <c r="AD633" s="292">
        <f>AD640+AD667+AD634+AD673</f>
        <v>21787.7</v>
      </c>
      <c r="AE633" s="292">
        <f>AE640+AE667+AE634+AE673</f>
        <v>19382.8</v>
      </c>
      <c r="AF633" s="292">
        <f>AF640+AF667+AF634+AF673</f>
        <v>19362.8</v>
      </c>
      <c r="AG633" s="554"/>
      <c r="AH633" s="554"/>
      <c r="AI633" s="456"/>
    </row>
    <row r="634" spans="1:35" x14ac:dyDescent="0.25">
      <c r="X634" s="521" t="s">
        <v>1999</v>
      </c>
      <c r="Y634" s="246" t="s">
        <v>1327</v>
      </c>
      <c r="Z634" s="235" t="s">
        <v>566</v>
      </c>
      <c r="AA634" s="235">
        <v>13</v>
      </c>
      <c r="AB634" s="443" t="s">
        <v>1775</v>
      </c>
      <c r="AC634" s="577"/>
      <c r="AD634" s="292">
        <f t="shared" ref="AD634:AF635" si="152">AD635</f>
        <v>0</v>
      </c>
      <c r="AE634" s="476">
        <f t="shared" si="152"/>
        <v>220</v>
      </c>
      <c r="AF634" s="476">
        <f t="shared" si="152"/>
        <v>0</v>
      </c>
      <c r="AG634" s="554"/>
      <c r="AH634" s="554"/>
      <c r="AI634" s="456"/>
    </row>
    <row r="635" spans="1:35" x14ac:dyDescent="0.25">
      <c r="X635" s="518" t="s">
        <v>2340</v>
      </c>
      <c r="Y635" s="246" t="s">
        <v>1327</v>
      </c>
      <c r="Z635" s="235" t="s">
        <v>566</v>
      </c>
      <c r="AA635" s="235">
        <v>13</v>
      </c>
      <c r="AB635" s="443" t="s">
        <v>1802</v>
      </c>
      <c r="AC635" s="577"/>
      <c r="AD635" s="292">
        <f t="shared" si="152"/>
        <v>0</v>
      </c>
      <c r="AE635" s="476">
        <f t="shared" si="152"/>
        <v>220</v>
      </c>
      <c r="AF635" s="476">
        <f t="shared" si="152"/>
        <v>0</v>
      </c>
      <c r="AG635" s="554"/>
      <c r="AH635" s="554"/>
      <c r="AI635" s="456"/>
    </row>
    <row r="636" spans="1:35" ht="31.5" x14ac:dyDescent="0.25">
      <c r="X636" s="522" t="s">
        <v>2015</v>
      </c>
      <c r="Y636" s="246" t="s">
        <v>1327</v>
      </c>
      <c r="Z636" s="235" t="s">
        <v>566</v>
      </c>
      <c r="AA636" s="235">
        <v>13</v>
      </c>
      <c r="AB636" s="443" t="s">
        <v>1803</v>
      </c>
      <c r="AC636" s="577"/>
      <c r="AD636" s="292">
        <f t="shared" ref="AD636:AF637" si="153">AD637</f>
        <v>0</v>
      </c>
      <c r="AE636" s="476">
        <f t="shared" si="153"/>
        <v>220</v>
      </c>
      <c r="AF636" s="476">
        <f t="shared" si="153"/>
        <v>0</v>
      </c>
      <c r="AG636" s="554"/>
      <c r="AH636" s="554"/>
      <c r="AI636" s="456"/>
    </row>
    <row r="637" spans="1:35" x14ac:dyDescent="0.25">
      <c r="X637" s="522" t="s">
        <v>2016</v>
      </c>
      <c r="Y637" s="246" t="s">
        <v>1327</v>
      </c>
      <c r="Z637" s="235" t="s">
        <v>566</v>
      </c>
      <c r="AA637" s="235">
        <v>13</v>
      </c>
      <c r="AB637" s="443" t="s">
        <v>2017</v>
      </c>
      <c r="AC637" s="577"/>
      <c r="AD637" s="292">
        <f t="shared" si="153"/>
        <v>0</v>
      </c>
      <c r="AE637" s="476">
        <f t="shared" si="153"/>
        <v>220</v>
      </c>
      <c r="AF637" s="476">
        <f t="shared" si="153"/>
        <v>0</v>
      </c>
      <c r="AG637" s="554"/>
      <c r="AH637" s="554"/>
      <c r="AI637" s="456"/>
    </row>
    <row r="638" spans="1:35" x14ac:dyDescent="0.25">
      <c r="X638" s="520" t="s">
        <v>1782</v>
      </c>
      <c r="Y638" s="246" t="s">
        <v>1327</v>
      </c>
      <c r="Z638" s="235" t="s">
        <v>566</v>
      </c>
      <c r="AA638" s="235">
        <v>13</v>
      </c>
      <c r="AB638" s="443" t="s">
        <v>2017</v>
      </c>
      <c r="AC638" s="238">
        <v>200</v>
      </c>
      <c r="AD638" s="292">
        <f>AD639</f>
        <v>0</v>
      </c>
      <c r="AE638" s="476">
        <f>AE639</f>
        <v>220</v>
      </c>
      <c r="AF638" s="476">
        <f>AF639</f>
        <v>0</v>
      </c>
      <c r="AG638" s="554"/>
      <c r="AH638" s="554"/>
      <c r="AI638" s="456"/>
    </row>
    <row r="639" spans="1:35" ht="31.5" x14ac:dyDescent="0.25">
      <c r="X639" s="520" t="s">
        <v>1274</v>
      </c>
      <c r="Y639" s="246" t="s">
        <v>1327</v>
      </c>
      <c r="Z639" s="235" t="s">
        <v>566</v>
      </c>
      <c r="AA639" s="235">
        <v>13</v>
      </c>
      <c r="AB639" s="443" t="s">
        <v>2017</v>
      </c>
      <c r="AC639" s="577">
        <v>240</v>
      </c>
      <c r="AD639" s="292">
        <v>0</v>
      </c>
      <c r="AE639" s="476">
        <v>220</v>
      </c>
      <c r="AF639" s="476">
        <v>0</v>
      </c>
      <c r="AG639" s="554"/>
      <c r="AH639" s="554"/>
      <c r="AI639" s="456"/>
    </row>
    <row r="640" spans="1:35" x14ac:dyDescent="0.25">
      <c r="X640" s="549" t="s">
        <v>1899</v>
      </c>
      <c r="Y640" s="246" t="s">
        <v>1327</v>
      </c>
      <c r="Z640" s="235" t="s">
        <v>566</v>
      </c>
      <c r="AA640" s="235">
        <v>13</v>
      </c>
      <c r="AB640" s="443" t="s">
        <v>1772</v>
      </c>
      <c r="AC640" s="238"/>
      <c r="AD640" s="292">
        <f>AD641</f>
        <v>21158.3</v>
      </c>
      <c r="AE640" s="476">
        <f>AE641</f>
        <v>19158.3</v>
      </c>
      <c r="AF640" s="476">
        <f>AF641</f>
        <v>19358.3</v>
      </c>
      <c r="AG640" s="554"/>
      <c r="AH640" s="554"/>
      <c r="AI640" s="456"/>
    </row>
    <row r="641" spans="1:35" x14ac:dyDescent="0.25">
      <c r="X641" s="549" t="s">
        <v>1894</v>
      </c>
      <c r="Y641" s="246" t="s">
        <v>1327</v>
      </c>
      <c r="Z641" s="235" t="s">
        <v>566</v>
      </c>
      <c r="AA641" s="235">
        <v>13</v>
      </c>
      <c r="AB641" s="443" t="s">
        <v>1773</v>
      </c>
      <c r="AC641" s="238"/>
      <c r="AD641" s="292">
        <f>AD642+AD646+AD652</f>
        <v>21158.3</v>
      </c>
      <c r="AE641" s="476">
        <f>AE642+AE646+AE652</f>
        <v>19158.3</v>
      </c>
      <c r="AF641" s="476">
        <f>AF642+AF646+AF652</f>
        <v>19358.3</v>
      </c>
      <c r="AG641" s="554"/>
      <c r="AH641" s="554"/>
      <c r="AI641" s="456"/>
    </row>
    <row r="642" spans="1:35" ht="31.5" x14ac:dyDescent="0.25">
      <c r="X642" s="530" t="s">
        <v>1895</v>
      </c>
      <c r="Y642" s="246" t="s">
        <v>1327</v>
      </c>
      <c r="Z642" s="235" t="s">
        <v>566</v>
      </c>
      <c r="AA642" s="235">
        <v>13</v>
      </c>
      <c r="AB642" s="443" t="s">
        <v>1896</v>
      </c>
      <c r="AC642" s="238"/>
      <c r="AD642" s="292">
        <f t="shared" ref="AD642:AF644" si="154">AD643</f>
        <v>3897.2</v>
      </c>
      <c r="AE642" s="476">
        <f t="shared" si="154"/>
        <v>2000</v>
      </c>
      <c r="AF642" s="476">
        <f t="shared" si="154"/>
        <v>2200</v>
      </c>
      <c r="AG642" s="554"/>
      <c r="AH642" s="554"/>
      <c r="AI642" s="456"/>
    </row>
    <row r="643" spans="1:35" ht="31.5" x14ac:dyDescent="0.25">
      <c r="X643" s="532" t="s">
        <v>1897</v>
      </c>
      <c r="Y643" s="246" t="s">
        <v>1327</v>
      </c>
      <c r="Z643" s="235" t="s">
        <v>566</v>
      </c>
      <c r="AA643" s="235">
        <v>13</v>
      </c>
      <c r="AB643" s="443" t="s">
        <v>1898</v>
      </c>
      <c r="AC643" s="577"/>
      <c r="AD643" s="292">
        <f>AD644</f>
        <v>3897.2</v>
      </c>
      <c r="AE643" s="476">
        <f t="shared" si="154"/>
        <v>2000</v>
      </c>
      <c r="AF643" s="476">
        <f t="shared" si="154"/>
        <v>2200</v>
      </c>
      <c r="AG643" s="554"/>
      <c r="AH643" s="554"/>
      <c r="AI643" s="456"/>
    </row>
    <row r="644" spans="1:35" x14ac:dyDescent="0.25">
      <c r="X644" s="520" t="s">
        <v>1782</v>
      </c>
      <c r="Y644" s="246" t="s">
        <v>1327</v>
      </c>
      <c r="Z644" s="235" t="s">
        <v>566</v>
      </c>
      <c r="AA644" s="235">
        <v>13</v>
      </c>
      <c r="AB644" s="443" t="s">
        <v>1898</v>
      </c>
      <c r="AC644" s="238">
        <v>200</v>
      </c>
      <c r="AD644" s="292">
        <f t="shared" si="154"/>
        <v>3897.2</v>
      </c>
      <c r="AE644" s="476">
        <f t="shared" si="154"/>
        <v>2000</v>
      </c>
      <c r="AF644" s="476">
        <f t="shared" si="154"/>
        <v>2200</v>
      </c>
      <c r="AG644" s="554"/>
      <c r="AH644" s="554"/>
      <c r="AI644" s="456"/>
    </row>
    <row r="645" spans="1:35" ht="31.5" x14ac:dyDescent="0.25">
      <c r="X645" s="520" t="s">
        <v>1274</v>
      </c>
      <c r="Y645" s="246" t="s">
        <v>1327</v>
      </c>
      <c r="Z645" s="235" t="s">
        <v>566</v>
      </c>
      <c r="AA645" s="235">
        <v>13</v>
      </c>
      <c r="AB645" s="443" t="s">
        <v>1898</v>
      </c>
      <c r="AC645" s="238">
        <v>240</v>
      </c>
      <c r="AD645" s="292">
        <f>2000-85.8+2000-17</f>
        <v>3897.2</v>
      </c>
      <c r="AE645" s="476">
        <v>2000</v>
      </c>
      <c r="AF645" s="476">
        <v>2200</v>
      </c>
      <c r="AG645" s="554"/>
      <c r="AH645" s="554"/>
      <c r="AI645" s="456"/>
    </row>
    <row r="646" spans="1:35" ht="31.5" x14ac:dyDescent="0.25">
      <c r="A646" s="237"/>
      <c r="B646" s="237"/>
      <c r="C646" s="237"/>
      <c r="D646" s="237"/>
      <c r="E646" s="237"/>
      <c r="F646" s="237"/>
      <c r="G646" s="237"/>
      <c r="H646" s="237"/>
      <c r="I646" s="237"/>
      <c r="J646" s="237"/>
      <c r="K646" s="237"/>
      <c r="L646" s="237"/>
      <c r="M646" s="237"/>
      <c r="N646" s="237"/>
      <c r="O646" s="237"/>
      <c r="P646" s="237"/>
      <c r="R646" s="237"/>
      <c r="S646" s="237"/>
      <c r="W646" s="237"/>
      <c r="X646" s="530" t="s">
        <v>1900</v>
      </c>
      <c r="Y646" s="246" t="s">
        <v>1327</v>
      </c>
      <c r="Z646" s="235" t="s">
        <v>566</v>
      </c>
      <c r="AA646" s="235">
        <v>13</v>
      </c>
      <c r="AB646" s="443" t="s">
        <v>1901</v>
      </c>
      <c r="AC646" s="582"/>
      <c r="AD646" s="292">
        <f>AD647</f>
        <v>492</v>
      </c>
      <c r="AE646" s="476">
        <f>AE647</f>
        <v>492</v>
      </c>
      <c r="AF646" s="476">
        <f>AF647</f>
        <v>492</v>
      </c>
      <c r="AG646" s="554"/>
      <c r="AH646" s="554"/>
      <c r="AI646" s="456"/>
    </row>
    <row r="647" spans="1:35" ht="31.5" x14ac:dyDescent="0.25">
      <c r="A647" s="237"/>
      <c r="B647" s="237"/>
      <c r="C647" s="237"/>
      <c r="D647" s="237"/>
      <c r="E647" s="237"/>
      <c r="F647" s="237"/>
      <c r="G647" s="237"/>
      <c r="H647" s="237"/>
      <c r="I647" s="237"/>
      <c r="J647" s="237"/>
      <c r="K647" s="237"/>
      <c r="L647" s="237"/>
      <c r="M647" s="237"/>
      <c r="N647" s="237"/>
      <c r="O647" s="237"/>
      <c r="P647" s="237"/>
      <c r="R647" s="237"/>
      <c r="S647" s="237"/>
      <c r="W647" s="237"/>
      <c r="X647" s="530" t="s">
        <v>1823</v>
      </c>
      <c r="Y647" s="246" t="s">
        <v>1327</v>
      </c>
      <c r="Z647" s="235" t="s">
        <v>566</v>
      </c>
      <c r="AA647" s="235">
        <v>13</v>
      </c>
      <c r="AB647" s="443" t="s">
        <v>1902</v>
      </c>
      <c r="AC647" s="582"/>
      <c r="AD647" s="292">
        <f>AD648+AD650</f>
        <v>492</v>
      </c>
      <c r="AE647" s="476">
        <f>AE648+AE650</f>
        <v>492</v>
      </c>
      <c r="AF647" s="476">
        <f>AF648+AF650</f>
        <v>492</v>
      </c>
      <c r="AG647" s="554"/>
      <c r="AH647" s="554"/>
      <c r="AI647" s="456"/>
    </row>
    <row r="648" spans="1:35" ht="47.25" x14ac:dyDescent="0.25">
      <c r="A648" s="237"/>
      <c r="B648" s="237"/>
      <c r="C648" s="237"/>
      <c r="D648" s="237"/>
      <c r="E648" s="237"/>
      <c r="F648" s="237"/>
      <c r="G648" s="237"/>
      <c r="H648" s="237"/>
      <c r="I648" s="237"/>
      <c r="J648" s="237"/>
      <c r="K648" s="237"/>
      <c r="L648" s="237"/>
      <c r="M648" s="237"/>
      <c r="N648" s="237"/>
      <c r="O648" s="237"/>
      <c r="P648" s="237"/>
      <c r="R648" s="237"/>
      <c r="S648" s="237"/>
      <c r="W648" s="237"/>
      <c r="X648" s="520" t="s">
        <v>922</v>
      </c>
      <c r="Y648" s="246" t="s">
        <v>1327</v>
      </c>
      <c r="Z648" s="235" t="s">
        <v>566</v>
      </c>
      <c r="AA648" s="235">
        <v>13</v>
      </c>
      <c r="AB648" s="443" t="s">
        <v>1902</v>
      </c>
      <c r="AC648" s="582">
        <v>100</v>
      </c>
      <c r="AD648" s="292">
        <f>AD649</f>
        <v>423.6</v>
      </c>
      <c r="AE648" s="476">
        <f>AE649</f>
        <v>423.6</v>
      </c>
      <c r="AF648" s="476">
        <f>AF649</f>
        <v>423.6</v>
      </c>
      <c r="AG648" s="554"/>
      <c r="AH648" s="554"/>
      <c r="AI648" s="456"/>
    </row>
    <row r="649" spans="1:35" x14ac:dyDescent="0.25">
      <c r="A649" s="237"/>
      <c r="B649" s="237"/>
      <c r="C649" s="237"/>
      <c r="D649" s="237"/>
      <c r="E649" s="237"/>
      <c r="F649" s="237"/>
      <c r="G649" s="237"/>
      <c r="H649" s="237"/>
      <c r="I649" s="237"/>
      <c r="J649" s="237"/>
      <c r="K649" s="237"/>
      <c r="L649" s="237"/>
      <c r="M649" s="237"/>
      <c r="N649" s="237"/>
      <c r="O649" s="237"/>
      <c r="P649" s="237"/>
      <c r="R649" s="237"/>
      <c r="S649" s="237"/>
      <c r="W649" s="237"/>
      <c r="X649" s="524" t="s">
        <v>1748</v>
      </c>
      <c r="Y649" s="579" t="s">
        <v>1327</v>
      </c>
      <c r="Z649" s="235" t="s">
        <v>566</v>
      </c>
      <c r="AA649" s="235">
        <v>13</v>
      </c>
      <c r="AB649" s="443" t="s">
        <v>1902</v>
      </c>
      <c r="AC649" s="582">
        <v>120</v>
      </c>
      <c r="AD649" s="292">
        <v>423.6</v>
      </c>
      <c r="AE649" s="476">
        <v>423.6</v>
      </c>
      <c r="AF649" s="476">
        <v>423.6</v>
      </c>
      <c r="AG649" s="554"/>
      <c r="AH649" s="554"/>
      <c r="AI649" s="456"/>
    </row>
    <row r="650" spans="1:35" x14ac:dyDescent="0.25">
      <c r="X650" s="524" t="s">
        <v>1782</v>
      </c>
      <c r="Y650" s="579" t="s">
        <v>1327</v>
      </c>
      <c r="Z650" s="235" t="s">
        <v>566</v>
      </c>
      <c r="AA650" s="235">
        <v>13</v>
      </c>
      <c r="AB650" s="443" t="s">
        <v>1902</v>
      </c>
      <c r="AC650" s="582">
        <v>200</v>
      </c>
      <c r="AD650" s="292">
        <f>AD651</f>
        <v>68.400000000000006</v>
      </c>
      <c r="AE650" s="476">
        <f>AE651</f>
        <v>68.400000000000006</v>
      </c>
      <c r="AF650" s="476">
        <f>AF651</f>
        <v>68.400000000000006</v>
      </c>
      <c r="AG650" s="554"/>
      <c r="AH650" s="554"/>
      <c r="AI650" s="456"/>
    </row>
    <row r="651" spans="1:35" ht="31.5" x14ac:dyDescent="0.25">
      <c r="X651" s="524" t="s">
        <v>1274</v>
      </c>
      <c r="Y651" s="579" t="s">
        <v>1327</v>
      </c>
      <c r="Z651" s="235" t="s">
        <v>566</v>
      </c>
      <c r="AA651" s="235">
        <v>13</v>
      </c>
      <c r="AB651" s="443" t="s">
        <v>1902</v>
      </c>
      <c r="AC651" s="582">
        <v>240</v>
      </c>
      <c r="AD651" s="292">
        <v>68.400000000000006</v>
      </c>
      <c r="AE651" s="476">
        <v>68.400000000000006</v>
      </c>
      <c r="AF651" s="476">
        <v>68.400000000000006</v>
      </c>
      <c r="AG651" s="554"/>
      <c r="AH651" s="554"/>
      <c r="AI651" s="456"/>
    </row>
    <row r="652" spans="1:35" ht="31.5" x14ac:dyDescent="0.25">
      <c r="X652" s="549" t="s">
        <v>2171</v>
      </c>
      <c r="Y652" s="246" t="s">
        <v>1327</v>
      </c>
      <c r="Z652" s="235" t="s">
        <v>566</v>
      </c>
      <c r="AA652" s="235">
        <v>13</v>
      </c>
      <c r="AB652" s="443" t="s">
        <v>2179</v>
      </c>
      <c r="AC652" s="238"/>
      <c r="AD652" s="292">
        <f>AD653</f>
        <v>16769.099999999999</v>
      </c>
      <c r="AE652" s="476">
        <f>AE653</f>
        <v>16666.3</v>
      </c>
      <c r="AF652" s="476">
        <f>AF653</f>
        <v>16666.3</v>
      </c>
      <c r="AG652" s="554"/>
      <c r="AH652" s="554"/>
      <c r="AI652" s="456"/>
    </row>
    <row r="653" spans="1:35" x14ac:dyDescent="0.25">
      <c r="X653" s="549" t="s">
        <v>2182</v>
      </c>
      <c r="Y653" s="246" t="s">
        <v>1327</v>
      </c>
      <c r="Z653" s="235" t="s">
        <v>566</v>
      </c>
      <c r="AA653" s="235">
        <v>13</v>
      </c>
      <c r="AB653" s="443" t="s">
        <v>2180</v>
      </c>
      <c r="AC653" s="238"/>
      <c r="AD653" s="292">
        <f>AD654+AD661+AD664</f>
        <v>16769.099999999999</v>
      </c>
      <c r="AE653" s="476">
        <f>AE654+AE661+AE664+AE659</f>
        <v>16666.3</v>
      </c>
      <c r="AF653" s="476">
        <f>AF654+AF661+AF664+AF659</f>
        <v>16666.3</v>
      </c>
      <c r="AG653" s="554"/>
      <c r="AH653" s="554"/>
      <c r="AI653" s="456"/>
    </row>
    <row r="654" spans="1:35" ht="31.5" x14ac:dyDescent="0.25">
      <c r="X654" s="549" t="s">
        <v>1925</v>
      </c>
      <c r="Y654" s="246" t="s">
        <v>1327</v>
      </c>
      <c r="Z654" s="235" t="s">
        <v>566</v>
      </c>
      <c r="AA654" s="235">
        <v>13</v>
      </c>
      <c r="AB654" s="443" t="s">
        <v>2181</v>
      </c>
      <c r="AC654" s="238"/>
      <c r="AD654" s="292">
        <f>AD655+AD657+AD659</f>
        <v>1607.8999999999999</v>
      </c>
      <c r="AE654" s="292">
        <f t="shared" ref="AE654:AF654" si="155">AE655+AE657+AE659</f>
        <v>1419</v>
      </c>
      <c r="AF654" s="292">
        <f t="shared" si="155"/>
        <v>1419</v>
      </c>
      <c r="AG654" s="554"/>
      <c r="AH654" s="554"/>
      <c r="AI654" s="456"/>
    </row>
    <row r="655" spans="1:35" x14ac:dyDescent="0.25">
      <c r="X655" s="520" t="s">
        <v>1782</v>
      </c>
      <c r="Y655" s="246" t="s">
        <v>1327</v>
      </c>
      <c r="Z655" s="235" t="s">
        <v>566</v>
      </c>
      <c r="AA655" s="235">
        <v>13</v>
      </c>
      <c r="AB655" s="443" t="s">
        <v>2181</v>
      </c>
      <c r="AC655" s="238">
        <v>200</v>
      </c>
      <c r="AD655" s="292">
        <f t="shared" ref="AD655:AF655" si="156">AD656</f>
        <v>1521.7</v>
      </c>
      <c r="AE655" s="476">
        <f t="shared" si="156"/>
        <v>1419</v>
      </c>
      <c r="AF655" s="476">
        <f t="shared" si="156"/>
        <v>1419</v>
      </c>
      <c r="AG655" s="554"/>
      <c r="AH655" s="554"/>
      <c r="AI655" s="456"/>
    </row>
    <row r="656" spans="1:35" ht="31.5" x14ac:dyDescent="0.25">
      <c r="X656" s="520" t="s">
        <v>1274</v>
      </c>
      <c r="Y656" s="246" t="s">
        <v>1327</v>
      </c>
      <c r="Z656" s="235" t="s">
        <v>566</v>
      </c>
      <c r="AA656" s="235">
        <v>13</v>
      </c>
      <c r="AB656" s="443" t="s">
        <v>2181</v>
      </c>
      <c r="AC656" s="238">
        <v>240</v>
      </c>
      <c r="AD656" s="292">
        <f>1419-0.1+85.8+17</f>
        <v>1521.7</v>
      </c>
      <c r="AE656" s="476">
        <v>1419</v>
      </c>
      <c r="AF656" s="476">
        <v>1419</v>
      </c>
      <c r="AG656" s="554"/>
      <c r="AH656" s="554"/>
      <c r="AI656" s="456"/>
    </row>
    <row r="657" spans="24:35" x14ac:dyDescent="0.25">
      <c r="X657" s="520" t="s">
        <v>1755</v>
      </c>
      <c r="Y657" s="246" t="s">
        <v>1327</v>
      </c>
      <c r="Z657" s="235" t="s">
        <v>566</v>
      </c>
      <c r="AA657" s="235">
        <v>13</v>
      </c>
      <c r="AB657" s="443" t="s">
        <v>2181</v>
      </c>
      <c r="AC657" s="238">
        <v>300</v>
      </c>
      <c r="AD657" s="292">
        <f>AD658</f>
        <v>86.1</v>
      </c>
      <c r="AE657" s="292">
        <f t="shared" ref="AE657:AF657" si="157">AE658</f>
        <v>0</v>
      </c>
      <c r="AF657" s="292">
        <f t="shared" si="157"/>
        <v>0</v>
      </c>
      <c r="AG657" s="554"/>
      <c r="AH657" s="554"/>
      <c r="AI657" s="456"/>
    </row>
    <row r="658" spans="24:35" x14ac:dyDescent="0.25">
      <c r="X658" s="520" t="s">
        <v>868</v>
      </c>
      <c r="Y658" s="246" t="s">
        <v>1327</v>
      </c>
      <c r="Z658" s="235" t="s">
        <v>566</v>
      </c>
      <c r="AA658" s="235">
        <v>13</v>
      </c>
      <c r="AB658" s="443" t="s">
        <v>2181</v>
      </c>
      <c r="AC658" s="238">
        <v>320</v>
      </c>
      <c r="AD658" s="292">
        <v>86.1</v>
      </c>
      <c r="AE658" s="476">
        <v>0</v>
      </c>
      <c r="AF658" s="476">
        <v>0</v>
      </c>
      <c r="AG658" s="554"/>
      <c r="AH658" s="554"/>
      <c r="AI658" s="456"/>
    </row>
    <row r="659" spans="24:35" x14ac:dyDescent="0.25">
      <c r="X659" s="520" t="s">
        <v>924</v>
      </c>
      <c r="Y659" s="246" t="s">
        <v>1327</v>
      </c>
      <c r="Z659" s="235" t="s">
        <v>566</v>
      </c>
      <c r="AA659" s="235">
        <v>13</v>
      </c>
      <c r="AB659" s="443" t="s">
        <v>2181</v>
      </c>
      <c r="AC659" s="238">
        <v>800</v>
      </c>
      <c r="AD659" s="292">
        <f>AD660</f>
        <v>0.1</v>
      </c>
      <c r="AE659" s="476">
        <f>AE660</f>
        <v>0</v>
      </c>
      <c r="AF659" s="476">
        <f>AF660</f>
        <v>0</v>
      </c>
      <c r="AG659" s="554"/>
      <c r="AH659" s="554"/>
      <c r="AI659" s="456"/>
    </row>
    <row r="660" spans="24:35" x14ac:dyDescent="0.25">
      <c r="X660" s="520" t="s">
        <v>1320</v>
      </c>
      <c r="Y660" s="246" t="s">
        <v>1327</v>
      </c>
      <c r="Z660" s="235" t="s">
        <v>566</v>
      </c>
      <c r="AA660" s="235">
        <v>13</v>
      </c>
      <c r="AB660" s="443" t="s">
        <v>2181</v>
      </c>
      <c r="AC660" s="238">
        <v>850</v>
      </c>
      <c r="AD660" s="292">
        <v>0.1</v>
      </c>
      <c r="AE660" s="476">
        <v>0</v>
      </c>
      <c r="AF660" s="476">
        <v>0</v>
      </c>
      <c r="AG660" s="554"/>
      <c r="AH660" s="554"/>
      <c r="AI660" s="456"/>
    </row>
    <row r="661" spans="24:35" ht="31.5" x14ac:dyDescent="0.25">
      <c r="X661" s="520" t="s">
        <v>1926</v>
      </c>
      <c r="Y661" s="246" t="s">
        <v>1327</v>
      </c>
      <c r="Z661" s="235" t="s">
        <v>566</v>
      </c>
      <c r="AA661" s="235">
        <v>13</v>
      </c>
      <c r="AB661" s="249" t="str">
        <f>AB662</f>
        <v>12 1 07 00132</v>
      </c>
      <c r="AC661" s="238"/>
      <c r="AD661" s="292">
        <f>AD663</f>
        <v>5461.7</v>
      </c>
      <c r="AE661" s="476">
        <f>AE663</f>
        <v>5547.8</v>
      </c>
      <c r="AF661" s="476">
        <f>AF663</f>
        <v>5547.8</v>
      </c>
      <c r="AG661" s="554"/>
      <c r="AH661" s="554"/>
      <c r="AI661" s="456"/>
    </row>
    <row r="662" spans="24:35" ht="47.25" x14ac:dyDescent="0.25">
      <c r="X662" s="520" t="s">
        <v>922</v>
      </c>
      <c r="Y662" s="246" t="s">
        <v>1327</v>
      </c>
      <c r="Z662" s="235" t="s">
        <v>566</v>
      </c>
      <c r="AA662" s="235">
        <v>13</v>
      </c>
      <c r="AB662" s="249" t="str">
        <f>AB663</f>
        <v>12 1 07 00132</v>
      </c>
      <c r="AC662" s="238">
        <v>100</v>
      </c>
      <c r="AD662" s="292">
        <f>AD663</f>
        <v>5461.7</v>
      </c>
      <c r="AE662" s="292">
        <f t="shared" ref="AE662:AF662" si="158">AE663</f>
        <v>5547.8</v>
      </c>
      <c r="AF662" s="292">
        <f t="shared" si="158"/>
        <v>5547.8</v>
      </c>
      <c r="AG662" s="554"/>
      <c r="AH662" s="554"/>
      <c r="AI662" s="456"/>
    </row>
    <row r="663" spans="24:35" x14ac:dyDescent="0.25">
      <c r="X663" s="520" t="s">
        <v>1748</v>
      </c>
      <c r="Y663" s="246" t="s">
        <v>1327</v>
      </c>
      <c r="Z663" s="235" t="s">
        <v>566</v>
      </c>
      <c r="AA663" s="235">
        <v>13</v>
      </c>
      <c r="AB663" s="443" t="s">
        <v>2183</v>
      </c>
      <c r="AC663" s="238">
        <v>120</v>
      </c>
      <c r="AD663" s="292">
        <f>5547.8-86.1</f>
        <v>5461.7</v>
      </c>
      <c r="AE663" s="476">
        <v>5547.8</v>
      </c>
      <c r="AF663" s="476">
        <v>5547.8</v>
      </c>
      <c r="AG663" s="554"/>
      <c r="AH663" s="554"/>
      <c r="AI663" s="456"/>
    </row>
    <row r="664" spans="24:35" ht="31.5" x14ac:dyDescent="0.25">
      <c r="X664" s="520" t="s">
        <v>1927</v>
      </c>
      <c r="Y664" s="246" t="s">
        <v>1327</v>
      </c>
      <c r="Z664" s="235" t="s">
        <v>566</v>
      </c>
      <c r="AA664" s="235">
        <v>13</v>
      </c>
      <c r="AB664" s="249" t="str">
        <f>AB665</f>
        <v>12 1 07 00133</v>
      </c>
      <c r="AC664" s="238"/>
      <c r="AD664" s="292">
        <f>AD666</f>
        <v>9699.5</v>
      </c>
      <c r="AE664" s="476">
        <f>AE666</f>
        <v>9699.5</v>
      </c>
      <c r="AF664" s="476">
        <f>AF666</f>
        <v>9699.5</v>
      </c>
      <c r="AG664" s="554"/>
      <c r="AH664" s="554"/>
      <c r="AI664" s="456"/>
    </row>
    <row r="665" spans="24:35" ht="47.25" x14ac:dyDescent="0.25">
      <c r="X665" s="520" t="s">
        <v>922</v>
      </c>
      <c r="Y665" s="246" t="s">
        <v>1327</v>
      </c>
      <c r="Z665" s="235" t="s">
        <v>566</v>
      </c>
      <c r="AA665" s="235">
        <v>13</v>
      </c>
      <c r="AB665" s="249" t="str">
        <f>AB666</f>
        <v>12 1 07 00133</v>
      </c>
      <c r="AC665" s="238">
        <v>100</v>
      </c>
      <c r="AD665" s="292">
        <f>AD666</f>
        <v>9699.5</v>
      </c>
      <c r="AE665" s="476">
        <f>AE666</f>
        <v>9699.5</v>
      </c>
      <c r="AF665" s="476">
        <f>AF666</f>
        <v>9699.5</v>
      </c>
      <c r="AG665" s="554"/>
      <c r="AH665" s="554"/>
      <c r="AI665" s="456"/>
    </row>
    <row r="666" spans="24:35" x14ac:dyDescent="0.25">
      <c r="X666" s="520" t="s">
        <v>1748</v>
      </c>
      <c r="Y666" s="246" t="s">
        <v>1327</v>
      </c>
      <c r="Z666" s="235" t="s">
        <v>566</v>
      </c>
      <c r="AA666" s="235">
        <v>13</v>
      </c>
      <c r="AB666" s="443" t="s">
        <v>2184</v>
      </c>
      <c r="AC666" s="238">
        <v>120</v>
      </c>
      <c r="AD666" s="292">
        <v>9699.5</v>
      </c>
      <c r="AE666" s="476">
        <v>9699.5</v>
      </c>
      <c r="AF666" s="476">
        <v>9699.5</v>
      </c>
      <c r="AG666" s="554"/>
      <c r="AH666" s="554"/>
      <c r="AI666" s="456"/>
    </row>
    <row r="667" spans="24:35" ht="31.5" x14ac:dyDescent="0.25">
      <c r="X667" s="521" t="s">
        <v>2104</v>
      </c>
      <c r="Y667" s="246" t="s">
        <v>1327</v>
      </c>
      <c r="Z667" s="235" t="s">
        <v>566</v>
      </c>
      <c r="AA667" s="235">
        <v>13</v>
      </c>
      <c r="AB667" s="443" t="s">
        <v>1806</v>
      </c>
      <c r="AC667" s="238"/>
      <c r="AD667" s="292">
        <f t="shared" ref="AD667:AF671" si="159">AD668</f>
        <v>4.5</v>
      </c>
      <c r="AE667" s="476">
        <f t="shared" si="159"/>
        <v>4.5</v>
      </c>
      <c r="AF667" s="476">
        <f t="shared" si="159"/>
        <v>4.5</v>
      </c>
      <c r="AG667" s="554"/>
      <c r="AH667" s="554"/>
      <c r="AI667" s="456"/>
    </row>
    <row r="668" spans="24:35" ht="47.25" x14ac:dyDescent="0.25">
      <c r="X668" s="521" t="s">
        <v>2105</v>
      </c>
      <c r="Y668" s="246" t="s">
        <v>1327</v>
      </c>
      <c r="Z668" s="235" t="s">
        <v>566</v>
      </c>
      <c r="AA668" s="235">
        <v>13</v>
      </c>
      <c r="AB668" s="443" t="s">
        <v>2106</v>
      </c>
      <c r="AC668" s="238"/>
      <c r="AD668" s="292">
        <f t="shared" si="159"/>
        <v>4.5</v>
      </c>
      <c r="AE668" s="476">
        <f t="shared" si="159"/>
        <v>4.5</v>
      </c>
      <c r="AF668" s="476">
        <f t="shared" si="159"/>
        <v>4.5</v>
      </c>
      <c r="AG668" s="554"/>
      <c r="AH668" s="554"/>
      <c r="AI668" s="456"/>
    </row>
    <row r="669" spans="24:35" ht="31.5" x14ac:dyDescent="0.25">
      <c r="X669" s="529" t="s">
        <v>2107</v>
      </c>
      <c r="Y669" s="579" t="s">
        <v>1327</v>
      </c>
      <c r="Z669" s="235" t="s">
        <v>566</v>
      </c>
      <c r="AA669" s="235">
        <v>13</v>
      </c>
      <c r="AB669" s="443" t="s">
        <v>2108</v>
      </c>
      <c r="AC669" s="238"/>
      <c r="AD669" s="292">
        <f t="shared" si="159"/>
        <v>4.5</v>
      </c>
      <c r="AE669" s="476">
        <f t="shared" si="159"/>
        <v>4.5</v>
      </c>
      <c r="AF669" s="476">
        <f t="shared" si="159"/>
        <v>4.5</v>
      </c>
      <c r="AG669" s="554"/>
      <c r="AH669" s="554"/>
      <c r="AI669" s="456"/>
    </row>
    <row r="670" spans="24:35" ht="94.5" x14ac:dyDescent="0.25">
      <c r="X670" s="529" t="s">
        <v>2244</v>
      </c>
      <c r="Y670" s="579" t="s">
        <v>1327</v>
      </c>
      <c r="Z670" s="235" t="s">
        <v>566</v>
      </c>
      <c r="AA670" s="235">
        <v>13</v>
      </c>
      <c r="AB670" s="472" t="s">
        <v>2109</v>
      </c>
      <c r="AC670" s="238"/>
      <c r="AD670" s="292">
        <f t="shared" si="159"/>
        <v>4.5</v>
      </c>
      <c r="AE670" s="476">
        <f t="shared" si="159"/>
        <v>4.5</v>
      </c>
      <c r="AF670" s="476">
        <f t="shared" si="159"/>
        <v>4.5</v>
      </c>
      <c r="AG670" s="554"/>
      <c r="AH670" s="554"/>
      <c r="AI670" s="456"/>
    </row>
    <row r="671" spans="24:35" x14ac:dyDescent="0.25">
      <c r="X671" s="520" t="s">
        <v>1782</v>
      </c>
      <c r="Y671" s="579" t="s">
        <v>1327</v>
      </c>
      <c r="Z671" s="235" t="s">
        <v>566</v>
      </c>
      <c r="AA671" s="235">
        <v>13</v>
      </c>
      <c r="AB671" s="472" t="s">
        <v>2109</v>
      </c>
      <c r="AC671" s="238">
        <v>200</v>
      </c>
      <c r="AD671" s="292">
        <f t="shared" si="159"/>
        <v>4.5</v>
      </c>
      <c r="AE671" s="476">
        <f t="shared" si="159"/>
        <v>4.5</v>
      </c>
      <c r="AF671" s="476">
        <f t="shared" si="159"/>
        <v>4.5</v>
      </c>
      <c r="AG671" s="554"/>
      <c r="AH671" s="554"/>
      <c r="AI671" s="456"/>
    </row>
    <row r="672" spans="24:35" ht="31.5" x14ac:dyDescent="0.25">
      <c r="X672" s="520" t="s">
        <v>1274</v>
      </c>
      <c r="Y672" s="246" t="s">
        <v>1327</v>
      </c>
      <c r="Z672" s="235" t="s">
        <v>566</v>
      </c>
      <c r="AA672" s="235">
        <v>13</v>
      </c>
      <c r="AB672" s="472" t="s">
        <v>2109</v>
      </c>
      <c r="AC672" s="238">
        <v>240</v>
      </c>
      <c r="AD672" s="292">
        <v>4.5</v>
      </c>
      <c r="AE672" s="476">
        <v>4.5</v>
      </c>
      <c r="AF672" s="476">
        <v>4.5</v>
      </c>
      <c r="AG672" s="554"/>
      <c r="AH672" s="554"/>
      <c r="AI672" s="456"/>
    </row>
    <row r="673" spans="1:35" x14ac:dyDescent="0.25">
      <c r="X673" s="549" t="s">
        <v>1946</v>
      </c>
      <c r="Y673" s="246" t="s">
        <v>1327</v>
      </c>
      <c r="Z673" s="235" t="s">
        <v>566</v>
      </c>
      <c r="AA673" s="235">
        <v>13</v>
      </c>
      <c r="AB673" s="443" t="s">
        <v>1816</v>
      </c>
      <c r="AC673" s="580"/>
      <c r="AD673" s="292">
        <f>AD674</f>
        <v>624.90000000000009</v>
      </c>
      <c r="AE673" s="292">
        <f t="shared" ref="AE673:AF675" si="160">AE674</f>
        <v>0</v>
      </c>
      <c r="AF673" s="292">
        <f t="shared" si="160"/>
        <v>0</v>
      </c>
      <c r="AG673" s="554"/>
      <c r="AH673" s="554"/>
      <c r="AI673" s="456"/>
    </row>
    <row r="674" spans="1:35" x14ac:dyDescent="0.25">
      <c r="X674" s="532" t="s">
        <v>1947</v>
      </c>
      <c r="Y674" s="246" t="s">
        <v>1327</v>
      </c>
      <c r="Z674" s="242" t="s">
        <v>566</v>
      </c>
      <c r="AA674" s="242">
        <v>13</v>
      </c>
      <c r="AB674" s="443" t="s">
        <v>1948</v>
      </c>
      <c r="AC674" s="582"/>
      <c r="AD674" s="292">
        <f>AD675</f>
        <v>624.90000000000009</v>
      </c>
      <c r="AE674" s="292">
        <f t="shared" si="160"/>
        <v>0</v>
      </c>
      <c r="AF674" s="292">
        <f t="shared" si="160"/>
        <v>0</v>
      </c>
      <c r="AG674" s="554"/>
      <c r="AH674" s="554"/>
      <c r="AI674" s="456"/>
    </row>
    <row r="675" spans="1:35" x14ac:dyDescent="0.25">
      <c r="X675" s="524" t="s">
        <v>924</v>
      </c>
      <c r="Y675" s="246" t="s">
        <v>1327</v>
      </c>
      <c r="Z675" s="242" t="s">
        <v>566</v>
      </c>
      <c r="AA675" s="242">
        <v>13</v>
      </c>
      <c r="AB675" s="443" t="s">
        <v>1948</v>
      </c>
      <c r="AC675" s="582">
        <v>800</v>
      </c>
      <c r="AD675" s="292">
        <f>AD676</f>
        <v>624.90000000000009</v>
      </c>
      <c r="AE675" s="292">
        <f t="shared" si="160"/>
        <v>0</v>
      </c>
      <c r="AF675" s="292">
        <f t="shared" si="160"/>
        <v>0</v>
      </c>
      <c r="AG675" s="554"/>
      <c r="AH675" s="554"/>
      <c r="AI675" s="456"/>
    </row>
    <row r="676" spans="1:35" x14ac:dyDescent="0.25">
      <c r="X676" s="524" t="s">
        <v>1811</v>
      </c>
      <c r="Y676" s="246" t="s">
        <v>1327</v>
      </c>
      <c r="Z676" s="242" t="s">
        <v>566</v>
      </c>
      <c r="AA676" s="242">
        <v>13</v>
      </c>
      <c r="AB676" s="443" t="s">
        <v>1948</v>
      </c>
      <c r="AC676" s="582">
        <v>830</v>
      </c>
      <c r="AD676" s="292">
        <f>371.6+253.3</f>
        <v>624.90000000000009</v>
      </c>
      <c r="AE676" s="476">
        <v>0</v>
      </c>
      <c r="AF676" s="476">
        <v>0</v>
      </c>
      <c r="AG676" s="554"/>
      <c r="AH676" s="554"/>
      <c r="AI676" s="456"/>
    </row>
    <row r="677" spans="1:35" s="363" customFormat="1" x14ac:dyDescent="0.25">
      <c r="A677" s="424"/>
      <c r="B677" s="425"/>
      <c r="C677" s="426"/>
      <c r="D677" s="426"/>
      <c r="E677" s="426"/>
      <c r="F677" s="426"/>
      <c r="G677" s="426"/>
      <c r="I677" s="427"/>
      <c r="J677" s="427"/>
      <c r="K677" s="427"/>
      <c r="L677" s="427"/>
      <c r="M677" s="427"/>
      <c r="N677" s="427"/>
      <c r="O677" s="428"/>
      <c r="P677" s="429"/>
      <c r="R677" s="430"/>
      <c r="S677" s="431"/>
      <c r="W677" s="367"/>
      <c r="X677" s="559" t="s">
        <v>1746</v>
      </c>
      <c r="Y677" s="575" t="s">
        <v>1327</v>
      </c>
      <c r="Z677" s="247" t="s">
        <v>768</v>
      </c>
      <c r="AA677" s="248"/>
      <c r="AB677" s="271"/>
      <c r="AC677" s="576"/>
      <c r="AD677" s="745">
        <f>AD678+AD685</f>
        <v>49715.5</v>
      </c>
      <c r="AE677" s="479">
        <f>AE678+AE685</f>
        <v>20491.5</v>
      </c>
      <c r="AF677" s="479">
        <f>AF678+AF685</f>
        <v>10585.5</v>
      </c>
      <c r="AG677" s="647"/>
      <c r="AH677" s="647"/>
      <c r="AI677" s="456"/>
    </row>
    <row r="678" spans="1:35" x14ac:dyDescent="0.25">
      <c r="X678" s="520" t="s">
        <v>1313</v>
      </c>
      <c r="Y678" s="246" t="s">
        <v>1327</v>
      </c>
      <c r="Z678" s="235">
        <v>10</v>
      </c>
      <c r="AA678" s="235" t="s">
        <v>566</v>
      </c>
      <c r="AB678" s="249"/>
      <c r="AC678" s="589"/>
      <c r="AD678" s="292">
        <f t="shared" ref="AD678:AF680" si="161">AD679</f>
        <v>678.5</v>
      </c>
      <c r="AE678" s="476">
        <f t="shared" si="161"/>
        <v>678.5</v>
      </c>
      <c r="AF678" s="476">
        <f t="shared" si="161"/>
        <v>678.5</v>
      </c>
      <c r="AG678" s="554"/>
      <c r="AH678" s="554"/>
      <c r="AI678" s="456"/>
    </row>
    <row r="679" spans="1:35" x14ac:dyDescent="0.25">
      <c r="X679" s="549" t="s">
        <v>2075</v>
      </c>
      <c r="Y679" s="246" t="s">
        <v>1327</v>
      </c>
      <c r="Z679" s="235">
        <v>10</v>
      </c>
      <c r="AA679" s="235" t="s">
        <v>566</v>
      </c>
      <c r="AB679" s="443" t="s">
        <v>1769</v>
      </c>
      <c r="AC679" s="589"/>
      <c r="AD679" s="292">
        <f t="shared" si="161"/>
        <v>678.5</v>
      </c>
      <c r="AE679" s="476">
        <f t="shared" si="161"/>
        <v>678.5</v>
      </c>
      <c r="AF679" s="476">
        <f t="shared" si="161"/>
        <v>678.5</v>
      </c>
      <c r="AG679" s="554"/>
      <c r="AH679" s="554"/>
      <c r="AI679" s="456"/>
    </row>
    <row r="680" spans="1:35" x14ac:dyDescent="0.25">
      <c r="X680" s="625" t="s">
        <v>2076</v>
      </c>
      <c r="Y680" s="246" t="s">
        <v>1327</v>
      </c>
      <c r="Z680" s="235">
        <v>10</v>
      </c>
      <c r="AA680" s="235" t="s">
        <v>566</v>
      </c>
      <c r="AB680" s="443" t="s">
        <v>1780</v>
      </c>
      <c r="AC680" s="589"/>
      <c r="AD680" s="292">
        <f t="shared" si="161"/>
        <v>678.5</v>
      </c>
      <c r="AE680" s="476">
        <f t="shared" si="161"/>
        <v>678.5</v>
      </c>
      <c r="AF680" s="476">
        <f t="shared" si="161"/>
        <v>678.5</v>
      </c>
      <c r="AG680" s="554"/>
      <c r="AH680" s="554"/>
      <c r="AI680" s="456"/>
    </row>
    <row r="681" spans="1:35" ht="31.5" x14ac:dyDescent="0.25">
      <c r="X681" s="549" t="s">
        <v>2082</v>
      </c>
      <c r="Y681" s="246" t="s">
        <v>1327</v>
      </c>
      <c r="Z681" s="235">
        <v>10</v>
      </c>
      <c r="AA681" s="235" t="s">
        <v>566</v>
      </c>
      <c r="AB681" s="443" t="s">
        <v>2083</v>
      </c>
      <c r="AC681" s="589"/>
      <c r="AD681" s="292">
        <f t="shared" ref="AD681:AF683" si="162">AD682</f>
        <v>678.5</v>
      </c>
      <c r="AE681" s="476">
        <f t="shared" si="162"/>
        <v>678.5</v>
      </c>
      <c r="AF681" s="476">
        <f t="shared" si="162"/>
        <v>678.5</v>
      </c>
      <c r="AG681" s="554"/>
      <c r="AH681" s="554"/>
      <c r="AI681" s="456"/>
    </row>
    <row r="682" spans="1:35" ht="31.5" x14ac:dyDescent="0.25">
      <c r="X682" s="530" t="s">
        <v>2084</v>
      </c>
      <c r="Y682" s="246" t="s">
        <v>1327</v>
      </c>
      <c r="Z682" s="235">
        <v>10</v>
      </c>
      <c r="AA682" s="235" t="s">
        <v>566</v>
      </c>
      <c r="AB682" s="443" t="s">
        <v>2085</v>
      </c>
      <c r="AC682" s="589"/>
      <c r="AD682" s="292">
        <f t="shared" si="162"/>
        <v>678.5</v>
      </c>
      <c r="AE682" s="476">
        <f t="shared" si="162"/>
        <v>678.5</v>
      </c>
      <c r="AF682" s="476">
        <f t="shared" si="162"/>
        <v>678.5</v>
      </c>
      <c r="AG682" s="554"/>
      <c r="AH682" s="554"/>
      <c r="AI682" s="456"/>
    </row>
    <row r="683" spans="1:35" x14ac:dyDescent="0.25">
      <c r="X683" s="520" t="s">
        <v>1755</v>
      </c>
      <c r="Y683" s="246" t="s">
        <v>1327</v>
      </c>
      <c r="Z683" s="235">
        <v>10</v>
      </c>
      <c r="AA683" s="235" t="s">
        <v>566</v>
      </c>
      <c r="AB683" s="443" t="s">
        <v>2085</v>
      </c>
      <c r="AC683" s="238">
        <v>300</v>
      </c>
      <c r="AD683" s="292">
        <f t="shared" si="162"/>
        <v>678.5</v>
      </c>
      <c r="AE683" s="476">
        <f t="shared" si="162"/>
        <v>678.5</v>
      </c>
      <c r="AF683" s="476">
        <f t="shared" si="162"/>
        <v>678.5</v>
      </c>
      <c r="AG683" s="554"/>
      <c r="AH683" s="554"/>
      <c r="AI683" s="456"/>
    </row>
    <row r="684" spans="1:35" x14ac:dyDescent="0.25">
      <c r="X684" s="520" t="s">
        <v>868</v>
      </c>
      <c r="Y684" s="246" t="s">
        <v>1327</v>
      </c>
      <c r="Z684" s="235">
        <v>10</v>
      </c>
      <c r="AA684" s="235" t="s">
        <v>566</v>
      </c>
      <c r="AB684" s="443" t="s">
        <v>2085</v>
      </c>
      <c r="AC684" s="238">
        <v>320</v>
      </c>
      <c r="AD684" s="292">
        <v>678.5</v>
      </c>
      <c r="AE684" s="476">
        <v>678.5</v>
      </c>
      <c r="AF684" s="476">
        <v>678.5</v>
      </c>
      <c r="AG684" s="554"/>
      <c r="AH684" s="554"/>
      <c r="AI684" s="456"/>
    </row>
    <row r="685" spans="1:35" x14ac:dyDescent="0.25">
      <c r="X685" s="520" t="s">
        <v>605</v>
      </c>
      <c r="Y685" s="246" t="s">
        <v>1327</v>
      </c>
      <c r="Z685" s="235">
        <v>10</v>
      </c>
      <c r="AA685" s="235" t="s">
        <v>1182</v>
      </c>
      <c r="AB685" s="249"/>
      <c r="AC685" s="238"/>
      <c r="AD685" s="292">
        <f t="shared" ref="AD685:AF690" si="163">AD686</f>
        <v>49037</v>
      </c>
      <c r="AE685" s="476">
        <f t="shared" si="163"/>
        <v>19813</v>
      </c>
      <c r="AF685" s="476">
        <f t="shared" si="163"/>
        <v>9907</v>
      </c>
      <c r="AG685" s="554"/>
      <c r="AH685" s="554"/>
      <c r="AI685" s="456"/>
    </row>
    <row r="686" spans="1:35" x14ac:dyDescent="0.25">
      <c r="X686" s="549" t="s">
        <v>1891</v>
      </c>
      <c r="Y686" s="246" t="s">
        <v>1327</v>
      </c>
      <c r="Z686" s="235">
        <v>10</v>
      </c>
      <c r="AA686" s="235" t="s">
        <v>1182</v>
      </c>
      <c r="AB686" s="249" t="s">
        <v>1777</v>
      </c>
      <c r="AC686" s="238"/>
      <c r="AD686" s="292">
        <f>AD687</f>
        <v>49037</v>
      </c>
      <c r="AE686" s="476">
        <f>AE687</f>
        <v>19813</v>
      </c>
      <c r="AF686" s="476">
        <f>AF687</f>
        <v>9907</v>
      </c>
      <c r="AG686" s="554"/>
      <c r="AH686" s="554"/>
      <c r="AI686" s="456"/>
    </row>
    <row r="687" spans="1:35" ht="31.5" x14ac:dyDescent="0.25">
      <c r="A687" s="237"/>
      <c r="B687" s="237"/>
      <c r="C687" s="237"/>
      <c r="D687" s="237"/>
      <c r="E687" s="237"/>
      <c r="F687" s="237"/>
      <c r="G687" s="237"/>
      <c r="H687" s="237"/>
      <c r="I687" s="237"/>
      <c r="J687" s="237"/>
      <c r="K687" s="237"/>
      <c r="L687" s="237"/>
      <c r="M687" s="237"/>
      <c r="N687" s="237"/>
      <c r="O687" s="237"/>
      <c r="P687" s="237"/>
      <c r="R687" s="237"/>
      <c r="S687" s="237"/>
      <c r="W687" s="237"/>
      <c r="X687" s="549" t="s">
        <v>1892</v>
      </c>
      <c r="Y687" s="246" t="s">
        <v>1327</v>
      </c>
      <c r="Z687" s="235">
        <v>10</v>
      </c>
      <c r="AA687" s="235" t="s">
        <v>1182</v>
      </c>
      <c r="AB687" s="443" t="s">
        <v>1828</v>
      </c>
      <c r="AC687" s="238"/>
      <c r="AD687" s="292">
        <f>AD689</f>
        <v>49037</v>
      </c>
      <c r="AE687" s="476">
        <f>AE689</f>
        <v>19813</v>
      </c>
      <c r="AF687" s="476">
        <f>AF689</f>
        <v>9907</v>
      </c>
      <c r="AG687" s="554"/>
      <c r="AH687" s="554"/>
      <c r="AI687" s="456"/>
    </row>
    <row r="688" spans="1:35" ht="47.25" x14ac:dyDescent="0.25">
      <c r="A688" s="237"/>
      <c r="B688" s="237"/>
      <c r="C688" s="237"/>
      <c r="D688" s="237"/>
      <c r="E688" s="237"/>
      <c r="F688" s="237"/>
      <c r="G688" s="237"/>
      <c r="H688" s="237"/>
      <c r="I688" s="237"/>
      <c r="J688" s="237"/>
      <c r="K688" s="237"/>
      <c r="L688" s="237"/>
      <c r="M688" s="237"/>
      <c r="N688" s="237"/>
      <c r="O688" s="237"/>
      <c r="P688" s="237"/>
      <c r="R688" s="237"/>
      <c r="S688" s="237"/>
      <c r="W688" s="237"/>
      <c r="X688" s="549" t="s">
        <v>2322</v>
      </c>
      <c r="Y688" s="246" t="s">
        <v>1327</v>
      </c>
      <c r="Z688" s="235">
        <v>10</v>
      </c>
      <c r="AA688" s="235" t="s">
        <v>1182</v>
      </c>
      <c r="AB688" s="443" t="s">
        <v>1827</v>
      </c>
      <c r="AC688" s="238"/>
      <c r="AD688" s="292">
        <f>AD689</f>
        <v>49037</v>
      </c>
      <c r="AE688" s="476">
        <f>AE689</f>
        <v>19813</v>
      </c>
      <c r="AF688" s="476">
        <f>AF689</f>
        <v>9907</v>
      </c>
      <c r="AG688" s="554"/>
      <c r="AH688" s="554"/>
      <c r="AI688" s="456"/>
    </row>
    <row r="689" spans="1:35" ht="47.25" x14ac:dyDescent="0.25">
      <c r="A689" s="237"/>
      <c r="B689" s="237"/>
      <c r="C689" s="237"/>
      <c r="D689" s="237"/>
      <c r="E689" s="237"/>
      <c r="F689" s="237"/>
      <c r="G689" s="237"/>
      <c r="H689" s="237"/>
      <c r="I689" s="237"/>
      <c r="J689" s="237"/>
      <c r="K689" s="237"/>
      <c r="L689" s="237"/>
      <c r="M689" s="237"/>
      <c r="N689" s="237"/>
      <c r="O689" s="237"/>
      <c r="P689" s="237"/>
      <c r="R689" s="237"/>
      <c r="S689" s="237"/>
      <c r="W689" s="237"/>
      <c r="X689" s="549" t="s">
        <v>1893</v>
      </c>
      <c r="Y689" s="246" t="s">
        <v>1327</v>
      </c>
      <c r="Z689" s="235">
        <v>10</v>
      </c>
      <c r="AA689" s="235" t="s">
        <v>1182</v>
      </c>
      <c r="AB689" s="443" t="s">
        <v>1826</v>
      </c>
      <c r="AC689" s="238"/>
      <c r="AD689" s="292">
        <f t="shared" si="163"/>
        <v>49037</v>
      </c>
      <c r="AE689" s="476">
        <f t="shared" si="163"/>
        <v>19813</v>
      </c>
      <c r="AF689" s="476">
        <f t="shared" si="163"/>
        <v>9907</v>
      </c>
      <c r="AG689" s="554"/>
      <c r="AH689" s="554"/>
      <c r="AI689" s="456"/>
    </row>
    <row r="690" spans="1:35" x14ac:dyDescent="0.25">
      <c r="A690" s="237"/>
      <c r="B690" s="237"/>
      <c r="C690" s="237"/>
      <c r="D690" s="237"/>
      <c r="E690" s="237"/>
      <c r="F690" s="237"/>
      <c r="G690" s="237"/>
      <c r="H690" s="237"/>
      <c r="I690" s="237"/>
      <c r="J690" s="237"/>
      <c r="K690" s="237"/>
      <c r="L690" s="237"/>
      <c r="M690" s="237"/>
      <c r="N690" s="237"/>
      <c r="O690" s="237"/>
      <c r="P690" s="237"/>
      <c r="R690" s="237"/>
      <c r="S690" s="237"/>
      <c r="W690" s="237"/>
      <c r="X690" s="531" t="s">
        <v>418</v>
      </c>
      <c r="Y690" s="246" t="s">
        <v>1327</v>
      </c>
      <c r="Z690" s="235">
        <v>10</v>
      </c>
      <c r="AA690" s="235" t="s">
        <v>1182</v>
      </c>
      <c r="AB690" s="256" t="s">
        <v>1826</v>
      </c>
      <c r="AC690" s="238">
        <v>400</v>
      </c>
      <c r="AD690" s="292">
        <f t="shared" si="163"/>
        <v>49037</v>
      </c>
      <c r="AE690" s="476">
        <f t="shared" si="163"/>
        <v>19813</v>
      </c>
      <c r="AF690" s="476">
        <f t="shared" si="163"/>
        <v>9907</v>
      </c>
      <c r="AG690" s="554"/>
      <c r="AH690" s="554"/>
      <c r="AI690" s="456"/>
    </row>
    <row r="691" spans="1:35" x14ac:dyDescent="0.25">
      <c r="X691" s="520" t="s">
        <v>232</v>
      </c>
      <c r="Y691" s="246" t="s">
        <v>1327</v>
      </c>
      <c r="Z691" s="235">
        <v>10</v>
      </c>
      <c r="AA691" s="235" t="s">
        <v>1182</v>
      </c>
      <c r="AB691" s="256" t="s">
        <v>1826</v>
      </c>
      <c r="AC691" s="238">
        <v>410</v>
      </c>
      <c r="AD691" s="292">
        <f>36324+10897+1816</f>
        <v>49037</v>
      </c>
      <c r="AE691" s="476">
        <v>19813</v>
      </c>
      <c r="AF691" s="476">
        <v>9907</v>
      </c>
      <c r="AG691" s="554"/>
      <c r="AH691" s="554"/>
      <c r="AI691" s="456"/>
    </row>
    <row r="692" spans="1:35" ht="18.75" x14ac:dyDescent="0.3">
      <c r="X692" s="559" t="s">
        <v>1615</v>
      </c>
      <c r="Y692" s="575" t="s">
        <v>1038</v>
      </c>
      <c r="Z692" s="264"/>
      <c r="AA692" s="236"/>
      <c r="AB692" s="249"/>
      <c r="AC692" s="577"/>
      <c r="AD692" s="745">
        <f>AD693+AD717+AD862+AD709+AD701</f>
        <v>1077876.3</v>
      </c>
      <c r="AE692" s="745">
        <f>AE693+AE717+AE862+AE709+AE701</f>
        <v>1082119.8000000003</v>
      </c>
      <c r="AF692" s="745">
        <f>AF693+AF717+AF862+AF709+AF701</f>
        <v>1062391.6000000001</v>
      </c>
      <c r="AG692" s="647"/>
      <c r="AH692" s="647"/>
      <c r="AI692" s="456"/>
    </row>
    <row r="693" spans="1:35" x14ac:dyDescent="0.25">
      <c r="X693" s="559" t="s">
        <v>482</v>
      </c>
      <c r="Y693" s="575" t="s">
        <v>1038</v>
      </c>
      <c r="Z693" s="262" t="s">
        <v>566</v>
      </c>
      <c r="AA693" s="247"/>
      <c r="AB693" s="249"/>
      <c r="AC693" s="577"/>
      <c r="AD693" s="292">
        <f t="shared" ref="AD693:AF699" si="164">AD694</f>
        <v>18022</v>
      </c>
      <c r="AE693" s="476">
        <f t="shared" si="164"/>
        <v>18022</v>
      </c>
      <c r="AF693" s="476">
        <f t="shared" si="164"/>
        <v>18022</v>
      </c>
      <c r="AG693" s="554"/>
      <c r="AH693" s="554"/>
      <c r="AI693" s="456"/>
    </row>
    <row r="694" spans="1:35" x14ac:dyDescent="0.25">
      <c r="X694" s="520" t="s">
        <v>287</v>
      </c>
      <c r="Y694" s="246" t="s">
        <v>1038</v>
      </c>
      <c r="Z694" s="255" t="s">
        <v>566</v>
      </c>
      <c r="AA694" s="255">
        <v>13</v>
      </c>
      <c r="AB694" s="443"/>
      <c r="AC694" s="577"/>
      <c r="AD694" s="292">
        <f t="shared" si="164"/>
        <v>18022</v>
      </c>
      <c r="AE694" s="476">
        <f t="shared" si="164"/>
        <v>18022</v>
      </c>
      <c r="AF694" s="476">
        <f t="shared" si="164"/>
        <v>18022</v>
      </c>
      <c r="AG694" s="554"/>
      <c r="AH694" s="554"/>
      <c r="AI694" s="456"/>
    </row>
    <row r="695" spans="1:35" x14ac:dyDescent="0.25">
      <c r="X695" s="549" t="s">
        <v>1899</v>
      </c>
      <c r="Y695" s="246" t="s">
        <v>1038</v>
      </c>
      <c r="Z695" s="255" t="s">
        <v>566</v>
      </c>
      <c r="AA695" s="255">
        <v>13</v>
      </c>
      <c r="AB695" s="443" t="s">
        <v>1772</v>
      </c>
      <c r="AC695" s="577"/>
      <c r="AD695" s="292">
        <f t="shared" si="164"/>
        <v>18022</v>
      </c>
      <c r="AE695" s="476">
        <f t="shared" si="164"/>
        <v>18022</v>
      </c>
      <c r="AF695" s="476">
        <f t="shared" si="164"/>
        <v>18022</v>
      </c>
      <c r="AG695" s="554"/>
      <c r="AH695" s="554"/>
      <c r="AI695" s="456"/>
    </row>
    <row r="696" spans="1:35" x14ac:dyDescent="0.25">
      <c r="X696" s="549" t="s">
        <v>1908</v>
      </c>
      <c r="Y696" s="246" t="s">
        <v>1038</v>
      </c>
      <c r="Z696" s="255" t="s">
        <v>566</v>
      </c>
      <c r="AA696" s="255">
        <v>13</v>
      </c>
      <c r="AB696" s="443" t="s">
        <v>1909</v>
      </c>
      <c r="AC696" s="577"/>
      <c r="AD696" s="292">
        <f t="shared" si="164"/>
        <v>18022</v>
      </c>
      <c r="AE696" s="476">
        <f t="shared" si="164"/>
        <v>18022</v>
      </c>
      <c r="AF696" s="476">
        <f t="shared" si="164"/>
        <v>18022</v>
      </c>
      <c r="AG696" s="554"/>
      <c r="AH696" s="554"/>
      <c r="AI696" s="456"/>
    </row>
    <row r="697" spans="1:35" ht="31.5" x14ac:dyDescent="0.25">
      <c r="X697" s="625" t="s">
        <v>1910</v>
      </c>
      <c r="Y697" s="246" t="s">
        <v>1038</v>
      </c>
      <c r="Z697" s="255" t="s">
        <v>566</v>
      </c>
      <c r="AA697" s="255">
        <v>13</v>
      </c>
      <c r="AB697" s="443" t="s">
        <v>1911</v>
      </c>
      <c r="AC697" s="577"/>
      <c r="AD697" s="292">
        <f>AD698</f>
        <v>18022</v>
      </c>
      <c r="AE697" s="476">
        <f>AE698</f>
        <v>18022</v>
      </c>
      <c r="AF697" s="476">
        <f>AF698</f>
        <v>18022</v>
      </c>
      <c r="AG697" s="554"/>
      <c r="AH697" s="554"/>
      <c r="AI697" s="456"/>
    </row>
    <row r="698" spans="1:35" ht="31.5" x14ac:dyDescent="0.25">
      <c r="X698" s="532" t="s">
        <v>1936</v>
      </c>
      <c r="Y698" s="246" t="s">
        <v>1038</v>
      </c>
      <c r="Z698" s="255" t="s">
        <v>566</v>
      </c>
      <c r="AA698" s="255">
        <v>13</v>
      </c>
      <c r="AB698" s="472" t="s">
        <v>1937</v>
      </c>
      <c r="AC698" s="577"/>
      <c r="AD698" s="292">
        <f t="shared" si="164"/>
        <v>18022</v>
      </c>
      <c r="AE698" s="476">
        <f t="shared" si="164"/>
        <v>18022</v>
      </c>
      <c r="AF698" s="476">
        <f t="shared" si="164"/>
        <v>18022</v>
      </c>
      <c r="AG698" s="554"/>
      <c r="AH698" s="554"/>
      <c r="AI698" s="456"/>
    </row>
    <row r="699" spans="1:35" ht="31.5" x14ac:dyDescent="0.25">
      <c r="X699" s="520" t="s">
        <v>1343</v>
      </c>
      <c r="Y699" s="246" t="s">
        <v>1038</v>
      </c>
      <c r="Z699" s="255" t="s">
        <v>566</v>
      </c>
      <c r="AA699" s="255">
        <v>13</v>
      </c>
      <c r="AB699" s="472" t="s">
        <v>1937</v>
      </c>
      <c r="AC699" s="597">
        <v>600</v>
      </c>
      <c r="AD699" s="292">
        <f t="shared" si="164"/>
        <v>18022</v>
      </c>
      <c r="AE699" s="476">
        <f t="shared" si="164"/>
        <v>18022</v>
      </c>
      <c r="AF699" s="476">
        <f t="shared" si="164"/>
        <v>18022</v>
      </c>
      <c r="AG699" s="554"/>
      <c r="AH699" s="554"/>
      <c r="AI699" s="456"/>
    </row>
    <row r="700" spans="1:35" x14ac:dyDescent="0.25">
      <c r="X700" s="520" t="s">
        <v>1344</v>
      </c>
      <c r="Y700" s="246" t="s">
        <v>1038</v>
      </c>
      <c r="Z700" s="255" t="s">
        <v>566</v>
      </c>
      <c r="AA700" s="255">
        <v>13</v>
      </c>
      <c r="AB700" s="472" t="s">
        <v>1937</v>
      </c>
      <c r="AC700" s="597">
        <v>610</v>
      </c>
      <c r="AD700" s="292">
        <v>18022</v>
      </c>
      <c r="AE700" s="476">
        <v>18022</v>
      </c>
      <c r="AF700" s="476">
        <v>18022</v>
      </c>
      <c r="AG700" s="554"/>
      <c r="AH700" s="554"/>
      <c r="AI700" s="456"/>
    </row>
    <row r="701" spans="1:35" x14ac:dyDescent="0.25">
      <c r="X701" s="559" t="s">
        <v>1050</v>
      </c>
      <c r="Y701" s="575" t="s">
        <v>1038</v>
      </c>
      <c r="Z701" s="247" t="s">
        <v>193</v>
      </c>
      <c r="AA701" s="255"/>
      <c r="AB701" s="472"/>
      <c r="AC701" s="597"/>
      <c r="AD701" s="292">
        <f t="shared" ref="AD701:AD707" si="165">AD702</f>
        <v>66</v>
      </c>
      <c r="AE701" s="292">
        <f t="shared" ref="AE701:AF701" si="166">AE702</f>
        <v>0</v>
      </c>
      <c r="AF701" s="292">
        <f t="shared" si="166"/>
        <v>0</v>
      </c>
      <c r="AG701" s="554"/>
      <c r="AH701" s="554"/>
      <c r="AI701" s="456"/>
    </row>
    <row r="702" spans="1:35" ht="31.5" x14ac:dyDescent="0.25">
      <c r="X702" s="520" t="s">
        <v>2326</v>
      </c>
      <c r="Y702" s="246" t="s">
        <v>1038</v>
      </c>
      <c r="Z702" s="235" t="s">
        <v>193</v>
      </c>
      <c r="AA702" s="235" t="s">
        <v>768</v>
      </c>
      <c r="AB702" s="249"/>
      <c r="AC702" s="577"/>
      <c r="AD702" s="292">
        <f t="shared" si="165"/>
        <v>66</v>
      </c>
      <c r="AE702" s="292">
        <f t="shared" ref="AE702:AF702" si="167">AE703</f>
        <v>0</v>
      </c>
      <c r="AF702" s="292">
        <f t="shared" si="167"/>
        <v>0</v>
      </c>
      <c r="AG702" s="554"/>
      <c r="AH702" s="554"/>
      <c r="AI702" s="456"/>
    </row>
    <row r="703" spans="1:35" ht="31.5" x14ac:dyDescent="0.25">
      <c r="X703" s="549" t="s">
        <v>1854</v>
      </c>
      <c r="Y703" s="246" t="s">
        <v>1038</v>
      </c>
      <c r="Z703" s="235" t="s">
        <v>193</v>
      </c>
      <c r="AA703" s="235" t="s">
        <v>768</v>
      </c>
      <c r="AB703" s="249" t="s">
        <v>1762</v>
      </c>
      <c r="AC703" s="577"/>
      <c r="AD703" s="292">
        <f t="shared" si="165"/>
        <v>66</v>
      </c>
      <c r="AE703" s="292">
        <f t="shared" ref="AE703:AF703" si="168">AE704</f>
        <v>0</v>
      </c>
      <c r="AF703" s="292">
        <f t="shared" si="168"/>
        <v>0</v>
      </c>
      <c r="AG703" s="554"/>
      <c r="AH703" s="554"/>
      <c r="AI703" s="456"/>
    </row>
    <row r="704" spans="1:35" ht="47.25" x14ac:dyDescent="0.25">
      <c r="X704" s="549" t="s">
        <v>2339</v>
      </c>
      <c r="Y704" s="246" t="s">
        <v>1038</v>
      </c>
      <c r="Z704" s="235" t="s">
        <v>193</v>
      </c>
      <c r="AA704" s="235" t="s">
        <v>768</v>
      </c>
      <c r="AB704" s="443" t="s">
        <v>1767</v>
      </c>
      <c r="AC704" s="580"/>
      <c r="AD704" s="292">
        <f t="shared" si="165"/>
        <v>66</v>
      </c>
      <c r="AE704" s="292">
        <f t="shared" ref="AE704:AF704" si="169">AE705</f>
        <v>0</v>
      </c>
      <c r="AF704" s="292">
        <f t="shared" si="169"/>
        <v>0</v>
      </c>
      <c r="AG704" s="554"/>
      <c r="AH704" s="554"/>
      <c r="AI704" s="456"/>
    </row>
    <row r="705" spans="24:35" ht="47.25" x14ac:dyDescent="0.25">
      <c r="X705" s="527" t="s">
        <v>2275</v>
      </c>
      <c r="Y705" s="246" t="s">
        <v>1038</v>
      </c>
      <c r="Z705" s="235" t="s">
        <v>193</v>
      </c>
      <c r="AA705" s="235" t="s">
        <v>768</v>
      </c>
      <c r="AB705" s="443" t="s">
        <v>1788</v>
      </c>
      <c r="AC705" s="580"/>
      <c r="AD705" s="292">
        <f t="shared" si="165"/>
        <v>66</v>
      </c>
      <c r="AE705" s="292">
        <f t="shared" ref="AE705:AF705" si="170">AE706</f>
        <v>0</v>
      </c>
      <c r="AF705" s="292">
        <f t="shared" si="170"/>
        <v>0</v>
      </c>
      <c r="AG705" s="554"/>
      <c r="AH705" s="554"/>
      <c r="AI705" s="456"/>
    </row>
    <row r="706" spans="24:35" ht="31.5" x14ac:dyDescent="0.25">
      <c r="X706" s="530" t="s">
        <v>1872</v>
      </c>
      <c r="Y706" s="246" t="s">
        <v>1038</v>
      </c>
      <c r="Z706" s="235" t="s">
        <v>193</v>
      </c>
      <c r="AA706" s="235" t="s">
        <v>768</v>
      </c>
      <c r="AB706" s="443" t="s">
        <v>1873</v>
      </c>
      <c r="AC706" s="580"/>
      <c r="AD706" s="292">
        <f t="shared" si="165"/>
        <v>66</v>
      </c>
      <c r="AE706" s="292">
        <f t="shared" ref="AE706:AF706" si="171">AE707</f>
        <v>0</v>
      </c>
      <c r="AF706" s="292">
        <f t="shared" si="171"/>
        <v>0</v>
      </c>
      <c r="AG706" s="554"/>
      <c r="AH706" s="554"/>
      <c r="AI706" s="456"/>
    </row>
    <row r="707" spans="24:35" ht="31.5" x14ac:dyDescent="0.25">
      <c r="X707" s="520" t="s">
        <v>1343</v>
      </c>
      <c r="Y707" s="246" t="s">
        <v>1038</v>
      </c>
      <c r="Z707" s="235" t="s">
        <v>193</v>
      </c>
      <c r="AA707" s="235" t="s">
        <v>768</v>
      </c>
      <c r="AB707" s="443" t="s">
        <v>1873</v>
      </c>
      <c r="AC707" s="597">
        <v>600</v>
      </c>
      <c r="AD707" s="292">
        <f t="shared" si="165"/>
        <v>66</v>
      </c>
      <c r="AE707" s="292">
        <f t="shared" ref="AE707:AF707" si="172">AE708</f>
        <v>0</v>
      </c>
      <c r="AF707" s="292">
        <f t="shared" si="172"/>
        <v>0</v>
      </c>
      <c r="AG707" s="554"/>
      <c r="AH707" s="554"/>
      <c r="AI707" s="456"/>
    </row>
    <row r="708" spans="24:35" x14ac:dyDescent="0.25">
      <c r="X708" s="520" t="s">
        <v>1344</v>
      </c>
      <c r="Y708" s="246" t="s">
        <v>1038</v>
      </c>
      <c r="Z708" s="235" t="s">
        <v>193</v>
      </c>
      <c r="AA708" s="235" t="s">
        <v>768</v>
      </c>
      <c r="AB708" s="443" t="s">
        <v>1873</v>
      </c>
      <c r="AC708" s="597">
        <v>610</v>
      </c>
      <c r="AD708" s="292">
        <v>66</v>
      </c>
      <c r="AE708" s="476">
        <v>0</v>
      </c>
      <c r="AF708" s="476">
        <v>0</v>
      </c>
      <c r="AG708" s="554"/>
      <c r="AH708" s="554"/>
      <c r="AI708" s="456"/>
    </row>
    <row r="709" spans="24:35" x14ac:dyDescent="0.25">
      <c r="X709" s="559" t="s">
        <v>994</v>
      </c>
      <c r="Y709" s="575" t="s">
        <v>1038</v>
      </c>
      <c r="Z709" s="247" t="s">
        <v>1182</v>
      </c>
      <c r="AA709" s="255"/>
      <c r="AB709" s="472"/>
      <c r="AC709" s="597"/>
      <c r="AD709" s="745">
        <f t="shared" ref="AD709:AF715" si="173">AD710</f>
        <v>694</v>
      </c>
      <c r="AE709" s="479">
        <f t="shared" si="173"/>
        <v>693</v>
      </c>
      <c r="AF709" s="479">
        <f t="shared" si="173"/>
        <v>694</v>
      </c>
      <c r="AG709" s="647"/>
      <c r="AH709" s="647"/>
      <c r="AI709" s="456"/>
    </row>
    <row r="710" spans="24:35" x14ac:dyDescent="0.25">
      <c r="X710" s="520" t="s">
        <v>626</v>
      </c>
      <c r="Y710" s="579" t="s">
        <v>1038</v>
      </c>
      <c r="Z710" s="255" t="s">
        <v>1182</v>
      </c>
      <c r="AA710" s="255">
        <v>10</v>
      </c>
      <c r="AB710" s="256"/>
      <c r="AC710" s="597"/>
      <c r="AD710" s="292">
        <f t="shared" si="173"/>
        <v>694</v>
      </c>
      <c r="AE710" s="476">
        <f t="shared" si="173"/>
        <v>693</v>
      </c>
      <c r="AF710" s="476">
        <f t="shared" si="173"/>
        <v>694</v>
      </c>
      <c r="AG710" s="554"/>
      <c r="AH710" s="554"/>
      <c r="AI710" s="456"/>
    </row>
    <row r="711" spans="24:35" x14ac:dyDescent="0.25">
      <c r="X711" s="549" t="s">
        <v>1958</v>
      </c>
      <c r="Y711" s="246" t="s">
        <v>1038</v>
      </c>
      <c r="Z711" s="255" t="s">
        <v>1182</v>
      </c>
      <c r="AA711" s="255">
        <v>10</v>
      </c>
      <c r="AB711" s="443" t="s">
        <v>1959</v>
      </c>
      <c r="AC711" s="597"/>
      <c r="AD711" s="292">
        <f t="shared" si="173"/>
        <v>694</v>
      </c>
      <c r="AE711" s="476">
        <f t="shared" si="173"/>
        <v>693</v>
      </c>
      <c r="AF711" s="476">
        <f t="shared" si="173"/>
        <v>694</v>
      </c>
      <c r="AG711" s="554"/>
      <c r="AH711" s="554"/>
      <c r="AI711" s="456"/>
    </row>
    <row r="712" spans="24:35" ht="31.5" x14ac:dyDescent="0.25">
      <c r="X712" s="549" t="s">
        <v>1965</v>
      </c>
      <c r="Y712" s="246" t="s">
        <v>1038</v>
      </c>
      <c r="Z712" s="255" t="s">
        <v>1182</v>
      </c>
      <c r="AA712" s="255">
        <v>10</v>
      </c>
      <c r="AB712" s="443" t="s">
        <v>1966</v>
      </c>
      <c r="AC712" s="597"/>
      <c r="AD712" s="292">
        <f>AD713</f>
        <v>694</v>
      </c>
      <c r="AE712" s="476">
        <f t="shared" si="173"/>
        <v>693</v>
      </c>
      <c r="AF712" s="476">
        <f t="shared" si="173"/>
        <v>694</v>
      </c>
      <c r="AG712" s="554"/>
      <c r="AH712" s="554"/>
      <c r="AI712" s="456"/>
    </row>
    <row r="713" spans="24:35" x14ac:dyDescent="0.25">
      <c r="X713" s="549" t="s">
        <v>2150</v>
      </c>
      <c r="Y713" s="246" t="s">
        <v>1038</v>
      </c>
      <c r="Z713" s="255" t="s">
        <v>1182</v>
      </c>
      <c r="AA713" s="255">
        <v>10</v>
      </c>
      <c r="AB713" s="443" t="s">
        <v>2151</v>
      </c>
      <c r="AC713" s="597"/>
      <c r="AD713" s="292">
        <f>AD714</f>
        <v>694</v>
      </c>
      <c r="AE713" s="476">
        <f>AE714</f>
        <v>693</v>
      </c>
      <c r="AF713" s="476">
        <f>AF714</f>
        <v>694</v>
      </c>
      <c r="AG713" s="554"/>
      <c r="AH713" s="554"/>
      <c r="AI713" s="456"/>
    </row>
    <row r="714" spans="24:35" ht="63" x14ac:dyDescent="0.25">
      <c r="X714" s="551" t="s">
        <v>2418</v>
      </c>
      <c r="Y714" s="246" t="s">
        <v>1038</v>
      </c>
      <c r="Z714" s="255" t="s">
        <v>1182</v>
      </c>
      <c r="AA714" s="255">
        <v>10</v>
      </c>
      <c r="AB714" s="443" t="s">
        <v>2152</v>
      </c>
      <c r="AC714" s="597"/>
      <c r="AD714" s="292">
        <f t="shared" si="173"/>
        <v>694</v>
      </c>
      <c r="AE714" s="476">
        <f t="shared" si="173"/>
        <v>693</v>
      </c>
      <c r="AF714" s="476">
        <f t="shared" si="173"/>
        <v>694</v>
      </c>
      <c r="AG714" s="554"/>
      <c r="AH714" s="554"/>
      <c r="AI714" s="456"/>
    </row>
    <row r="715" spans="24:35" ht="31.5" x14ac:dyDescent="0.25">
      <c r="X715" s="520" t="s">
        <v>1343</v>
      </c>
      <c r="Y715" s="246" t="s">
        <v>1038</v>
      </c>
      <c r="Z715" s="255" t="s">
        <v>1182</v>
      </c>
      <c r="AA715" s="255">
        <v>10</v>
      </c>
      <c r="AB715" s="443" t="s">
        <v>2152</v>
      </c>
      <c r="AC715" s="597">
        <v>600</v>
      </c>
      <c r="AD715" s="292">
        <f t="shared" si="173"/>
        <v>694</v>
      </c>
      <c r="AE715" s="476">
        <f t="shared" si="173"/>
        <v>693</v>
      </c>
      <c r="AF715" s="476">
        <f t="shared" si="173"/>
        <v>694</v>
      </c>
      <c r="AG715" s="554"/>
      <c r="AH715" s="554"/>
      <c r="AI715" s="456"/>
    </row>
    <row r="716" spans="24:35" x14ac:dyDescent="0.25">
      <c r="X716" s="520" t="s">
        <v>1344</v>
      </c>
      <c r="Y716" s="579" t="s">
        <v>1038</v>
      </c>
      <c r="Z716" s="255" t="s">
        <v>1182</v>
      </c>
      <c r="AA716" s="255">
        <v>10</v>
      </c>
      <c r="AB716" s="443" t="s">
        <v>2152</v>
      </c>
      <c r="AC716" s="597">
        <v>610</v>
      </c>
      <c r="AD716" s="292">
        <f>275+418+1</f>
        <v>694</v>
      </c>
      <c r="AE716" s="476">
        <f>277+417-1</f>
        <v>693</v>
      </c>
      <c r="AF716" s="476">
        <f>291+403-1+1</f>
        <v>694</v>
      </c>
      <c r="AG716" s="554"/>
      <c r="AH716" s="554"/>
      <c r="AI716" s="456"/>
    </row>
    <row r="717" spans="24:35" x14ac:dyDescent="0.25">
      <c r="X717" s="559" t="s">
        <v>174</v>
      </c>
      <c r="Y717" s="575" t="s">
        <v>1038</v>
      </c>
      <c r="Z717" s="247" t="s">
        <v>205</v>
      </c>
      <c r="AA717" s="248"/>
      <c r="AB717" s="271"/>
      <c r="AC717" s="576"/>
      <c r="AD717" s="745">
        <f>AD718+AD732+AD781+AD807+AD800</f>
        <v>1040468.7</v>
      </c>
      <c r="AE717" s="479">
        <f>AE718+AE732+AE781+AE807+AE800</f>
        <v>1044779.2000000001</v>
      </c>
      <c r="AF717" s="479">
        <f>AF718+AF732+AF781+AF807+AF800</f>
        <v>1025050</v>
      </c>
      <c r="AG717" s="647"/>
      <c r="AH717" s="647"/>
      <c r="AI717" s="456"/>
    </row>
    <row r="718" spans="24:35" x14ac:dyDescent="0.25">
      <c r="X718" s="520" t="s">
        <v>389</v>
      </c>
      <c r="Y718" s="246" t="s">
        <v>1038</v>
      </c>
      <c r="Z718" s="236" t="s">
        <v>205</v>
      </c>
      <c r="AA718" s="235" t="s">
        <v>566</v>
      </c>
      <c r="AB718" s="249"/>
      <c r="AC718" s="238"/>
      <c r="AD718" s="292">
        <f>AD719</f>
        <v>433920.8</v>
      </c>
      <c r="AE718" s="476">
        <f>AE719</f>
        <v>425351.9</v>
      </c>
      <c r="AF718" s="476">
        <f>AF719</f>
        <v>425351.9</v>
      </c>
      <c r="AG718" s="554"/>
      <c r="AH718" s="554"/>
      <c r="AI718" s="456"/>
    </row>
    <row r="719" spans="24:35" x14ac:dyDescent="0.25">
      <c r="X719" s="521" t="s">
        <v>2022</v>
      </c>
      <c r="Y719" s="579" t="s">
        <v>1038</v>
      </c>
      <c r="Z719" s="235" t="s">
        <v>205</v>
      </c>
      <c r="AA719" s="235" t="s">
        <v>566</v>
      </c>
      <c r="AB719" s="443" t="s">
        <v>1760</v>
      </c>
      <c r="AC719" s="577"/>
      <c r="AD719" s="292">
        <f t="shared" ref="AD719:AF720" si="174">AD720</f>
        <v>433920.8</v>
      </c>
      <c r="AE719" s="476">
        <f t="shared" si="174"/>
        <v>425351.9</v>
      </c>
      <c r="AF719" s="476">
        <f t="shared" si="174"/>
        <v>425351.9</v>
      </c>
      <c r="AG719" s="554"/>
      <c r="AH719" s="554"/>
      <c r="AI719" s="456"/>
    </row>
    <row r="720" spans="24:35" x14ac:dyDescent="0.25">
      <c r="X720" s="521" t="s">
        <v>2023</v>
      </c>
      <c r="Y720" s="579" t="s">
        <v>1038</v>
      </c>
      <c r="Z720" s="236" t="s">
        <v>205</v>
      </c>
      <c r="AA720" s="235" t="s">
        <v>566</v>
      </c>
      <c r="AB720" s="443" t="s">
        <v>1778</v>
      </c>
      <c r="AC720" s="238"/>
      <c r="AD720" s="292">
        <f>AD721</f>
        <v>433920.8</v>
      </c>
      <c r="AE720" s="476">
        <f t="shared" si="174"/>
        <v>425351.9</v>
      </c>
      <c r="AF720" s="476">
        <f t="shared" si="174"/>
        <v>425351.9</v>
      </c>
      <c r="AG720" s="554"/>
      <c r="AH720" s="554"/>
      <c r="AI720" s="456"/>
    </row>
    <row r="721" spans="24:36" ht="31.5" x14ac:dyDescent="0.25">
      <c r="X721" s="521" t="s">
        <v>2024</v>
      </c>
      <c r="Y721" s="246" t="s">
        <v>1038</v>
      </c>
      <c r="Z721" s="242" t="s">
        <v>205</v>
      </c>
      <c r="AA721" s="242" t="s">
        <v>566</v>
      </c>
      <c r="AB721" s="443" t="s">
        <v>1792</v>
      </c>
      <c r="AC721" s="577"/>
      <c r="AD721" s="292">
        <f>AD722+AD729</f>
        <v>433920.8</v>
      </c>
      <c r="AE721" s="476">
        <f>AE722+AE729</f>
        <v>425351.9</v>
      </c>
      <c r="AF721" s="476">
        <f>AF722+AF729</f>
        <v>425351.9</v>
      </c>
      <c r="AG721" s="554"/>
      <c r="AH721" s="554"/>
      <c r="AI721" s="456"/>
    </row>
    <row r="722" spans="24:36" ht="31.5" x14ac:dyDescent="0.25">
      <c r="X722" s="524" t="s">
        <v>2027</v>
      </c>
      <c r="Y722" s="246" t="s">
        <v>1038</v>
      </c>
      <c r="Z722" s="236" t="s">
        <v>205</v>
      </c>
      <c r="AA722" s="235" t="s">
        <v>566</v>
      </c>
      <c r="AB722" s="443" t="s">
        <v>2163</v>
      </c>
      <c r="AC722" s="594"/>
      <c r="AD722" s="292">
        <f>AD723+AD726</f>
        <v>150370.79999999999</v>
      </c>
      <c r="AE722" s="476">
        <f>AE723+AE726</f>
        <v>147524.9</v>
      </c>
      <c r="AF722" s="476">
        <f>AF723+AF726</f>
        <v>147524.9</v>
      </c>
      <c r="AG722" s="554"/>
      <c r="AH722" s="554"/>
      <c r="AI722" s="456"/>
    </row>
    <row r="723" spans="24:36" ht="31.5" x14ac:dyDescent="0.25">
      <c r="X723" s="524" t="s">
        <v>2204</v>
      </c>
      <c r="Y723" s="246" t="s">
        <v>1038</v>
      </c>
      <c r="Z723" s="236" t="s">
        <v>205</v>
      </c>
      <c r="AA723" s="235" t="s">
        <v>566</v>
      </c>
      <c r="AB723" s="443" t="s">
        <v>2164</v>
      </c>
      <c r="AC723" s="238"/>
      <c r="AD723" s="292">
        <f t="shared" ref="AD723:AF724" si="175">AD724</f>
        <v>149301.5</v>
      </c>
      <c r="AE723" s="476">
        <f t="shared" si="175"/>
        <v>145755.6</v>
      </c>
      <c r="AF723" s="476">
        <f t="shared" si="175"/>
        <v>145755.6</v>
      </c>
      <c r="AG723" s="554"/>
      <c r="AH723" s="554"/>
      <c r="AI723" s="456"/>
    </row>
    <row r="724" spans="24:36" ht="31.5" x14ac:dyDescent="0.25">
      <c r="X724" s="520" t="s">
        <v>1343</v>
      </c>
      <c r="Y724" s="246" t="s">
        <v>1038</v>
      </c>
      <c r="Z724" s="236" t="s">
        <v>205</v>
      </c>
      <c r="AA724" s="235" t="s">
        <v>566</v>
      </c>
      <c r="AB724" s="443" t="s">
        <v>2164</v>
      </c>
      <c r="AC724" s="238">
        <v>600</v>
      </c>
      <c r="AD724" s="292">
        <f t="shared" si="175"/>
        <v>149301.5</v>
      </c>
      <c r="AE724" s="476">
        <f t="shared" si="175"/>
        <v>145755.6</v>
      </c>
      <c r="AF724" s="476">
        <f t="shared" si="175"/>
        <v>145755.6</v>
      </c>
      <c r="AG724" s="554"/>
      <c r="AH724" s="554"/>
      <c r="AI724" s="456"/>
    </row>
    <row r="725" spans="24:36" x14ac:dyDescent="0.25">
      <c r="X725" s="520" t="s">
        <v>1344</v>
      </c>
      <c r="Y725" s="246" t="s">
        <v>1038</v>
      </c>
      <c r="Z725" s="235" t="s">
        <v>205</v>
      </c>
      <c r="AA725" s="235" t="s">
        <v>566</v>
      </c>
      <c r="AB725" s="443" t="s">
        <v>2164</v>
      </c>
      <c r="AC725" s="238">
        <v>610</v>
      </c>
      <c r="AD725" s="292">
        <f>145755.6+3545.9</f>
        <v>149301.5</v>
      </c>
      <c r="AE725" s="476">
        <v>145755.6</v>
      </c>
      <c r="AF725" s="476">
        <v>145755.6</v>
      </c>
      <c r="AG725" s="554"/>
      <c r="AH725" s="554"/>
      <c r="AI725" s="889"/>
      <c r="AJ725" s="855"/>
    </row>
    <row r="726" spans="24:36" ht="31.5" x14ac:dyDescent="0.25">
      <c r="X726" s="520" t="s">
        <v>2028</v>
      </c>
      <c r="Y726" s="246" t="s">
        <v>1038</v>
      </c>
      <c r="Z726" s="235" t="s">
        <v>205</v>
      </c>
      <c r="AA726" s="235" t="s">
        <v>566</v>
      </c>
      <c r="AB726" s="443" t="s">
        <v>2165</v>
      </c>
      <c r="AC726" s="238"/>
      <c r="AD726" s="292">
        <f t="shared" ref="AD726:AF727" si="176">AD727</f>
        <v>1069.3</v>
      </c>
      <c r="AE726" s="476">
        <f t="shared" si="176"/>
        <v>1769.3</v>
      </c>
      <c r="AF726" s="476">
        <f t="shared" si="176"/>
        <v>1769.3</v>
      </c>
      <c r="AG726" s="554"/>
      <c r="AH726" s="554"/>
      <c r="AI726" s="456"/>
    </row>
    <row r="727" spans="24:36" ht="31.5" x14ac:dyDescent="0.25">
      <c r="X727" s="520" t="s">
        <v>1343</v>
      </c>
      <c r="Y727" s="246" t="s">
        <v>1038</v>
      </c>
      <c r="Z727" s="235" t="s">
        <v>205</v>
      </c>
      <c r="AA727" s="235" t="s">
        <v>566</v>
      </c>
      <c r="AB727" s="443" t="s">
        <v>2165</v>
      </c>
      <c r="AC727" s="238">
        <v>600</v>
      </c>
      <c r="AD727" s="292">
        <f t="shared" si="176"/>
        <v>1069.3</v>
      </c>
      <c r="AE727" s="476">
        <f t="shared" si="176"/>
        <v>1769.3</v>
      </c>
      <c r="AF727" s="476">
        <f t="shared" si="176"/>
        <v>1769.3</v>
      </c>
      <c r="AG727" s="554"/>
      <c r="AH727" s="554"/>
      <c r="AI727" s="456"/>
    </row>
    <row r="728" spans="24:36" x14ac:dyDescent="0.25">
      <c r="X728" s="520" t="s">
        <v>1344</v>
      </c>
      <c r="Y728" s="246" t="s">
        <v>1038</v>
      </c>
      <c r="Z728" s="236" t="s">
        <v>205</v>
      </c>
      <c r="AA728" s="235" t="s">
        <v>566</v>
      </c>
      <c r="AB728" s="443" t="s">
        <v>2165</v>
      </c>
      <c r="AC728" s="238">
        <v>610</v>
      </c>
      <c r="AD728" s="292">
        <f>360+1409.3-700</f>
        <v>1069.3</v>
      </c>
      <c r="AE728" s="476">
        <f>360+1409.3</f>
        <v>1769.3</v>
      </c>
      <c r="AF728" s="476">
        <f>360+1409.3</f>
        <v>1769.3</v>
      </c>
      <c r="AG728" s="554"/>
      <c r="AH728" s="554"/>
      <c r="AI728" s="456"/>
    </row>
    <row r="729" spans="24:36" ht="78.75" x14ac:dyDescent="0.25">
      <c r="X729" s="522" t="s">
        <v>2025</v>
      </c>
      <c r="Y729" s="246" t="s">
        <v>1038</v>
      </c>
      <c r="Z729" s="242" t="s">
        <v>205</v>
      </c>
      <c r="AA729" s="242" t="s">
        <v>566</v>
      </c>
      <c r="AB729" s="443" t="s">
        <v>2166</v>
      </c>
      <c r="AC729" s="594"/>
      <c r="AD729" s="292">
        <f t="shared" ref="AD729:AF730" si="177">AD730</f>
        <v>283550</v>
      </c>
      <c r="AE729" s="476">
        <f t="shared" si="177"/>
        <v>277827</v>
      </c>
      <c r="AF729" s="476">
        <f t="shared" si="177"/>
        <v>277827</v>
      </c>
      <c r="AG729" s="554"/>
      <c r="AH729" s="554"/>
      <c r="AI729" s="456"/>
    </row>
    <row r="730" spans="24:36" ht="31.5" x14ac:dyDescent="0.25">
      <c r="X730" s="520" t="s">
        <v>1343</v>
      </c>
      <c r="Y730" s="579" t="s">
        <v>1038</v>
      </c>
      <c r="Z730" s="242" t="s">
        <v>205</v>
      </c>
      <c r="AA730" s="242" t="s">
        <v>566</v>
      </c>
      <c r="AB730" s="443" t="s">
        <v>2166</v>
      </c>
      <c r="AC730" s="577">
        <v>600</v>
      </c>
      <c r="AD730" s="292">
        <f t="shared" si="177"/>
        <v>283550</v>
      </c>
      <c r="AE730" s="476">
        <f t="shared" si="177"/>
        <v>277827</v>
      </c>
      <c r="AF730" s="476">
        <f t="shared" si="177"/>
        <v>277827</v>
      </c>
      <c r="AG730" s="554"/>
      <c r="AH730" s="554"/>
      <c r="AI730" s="456"/>
    </row>
    <row r="731" spans="24:36" x14ac:dyDescent="0.25">
      <c r="X731" s="520" t="s">
        <v>1344</v>
      </c>
      <c r="Y731" s="246" t="s">
        <v>1038</v>
      </c>
      <c r="Z731" s="236" t="s">
        <v>205</v>
      </c>
      <c r="AA731" s="235" t="s">
        <v>566</v>
      </c>
      <c r="AB731" s="443" t="s">
        <v>2166</v>
      </c>
      <c r="AC731" s="577">
        <v>610</v>
      </c>
      <c r="AD731" s="292">
        <f>272939+4888+5723</f>
        <v>283550</v>
      </c>
      <c r="AE731" s="476">
        <f>272939+4888</f>
        <v>277827</v>
      </c>
      <c r="AF731" s="476">
        <f>272939+4888</f>
        <v>277827</v>
      </c>
      <c r="AG731" s="554"/>
      <c r="AH731" s="554"/>
      <c r="AI731" s="456"/>
    </row>
    <row r="732" spans="24:36" x14ac:dyDescent="0.25">
      <c r="X732" s="520" t="s">
        <v>734</v>
      </c>
      <c r="Y732" s="246" t="s">
        <v>1038</v>
      </c>
      <c r="Z732" s="236" t="s">
        <v>205</v>
      </c>
      <c r="AA732" s="235" t="s">
        <v>567</v>
      </c>
      <c r="AB732" s="249"/>
      <c r="AC732" s="577"/>
      <c r="AD732" s="292">
        <f>AD733+AD763+AD776+AD769</f>
        <v>510443.39999999997</v>
      </c>
      <c r="AE732" s="476">
        <f>AE733+AE763+AE776</f>
        <v>508695.1</v>
      </c>
      <c r="AF732" s="476">
        <f>AF733+AF763+AF776</f>
        <v>508734.3</v>
      </c>
      <c r="AG732" s="554"/>
      <c r="AH732" s="554"/>
      <c r="AI732" s="456"/>
    </row>
    <row r="733" spans="24:36" x14ac:dyDescent="0.25">
      <c r="X733" s="521" t="s">
        <v>2022</v>
      </c>
      <c r="Y733" s="579" t="s">
        <v>1038</v>
      </c>
      <c r="Z733" s="236" t="s">
        <v>205</v>
      </c>
      <c r="AA733" s="235" t="s">
        <v>567</v>
      </c>
      <c r="AB733" s="443" t="s">
        <v>1760</v>
      </c>
      <c r="AC733" s="238"/>
      <c r="AD733" s="292">
        <f>AD734</f>
        <v>508510.5</v>
      </c>
      <c r="AE733" s="476">
        <f>AE734</f>
        <v>507745.1</v>
      </c>
      <c r="AF733" s="476">
        <f>AF734</f>
        <v>507784.3</v>
      </c>
      <c r="AG733" s="554"/>
      <c r="AH733" s="554"/>
      <c r="AI733" s="456"/>
    </row>
    <row r="734" spans="24:36" x14ac:dyDescent="0.25">
      <c r="X734" s="521" t="s">
        <v>2029</v>
      </c>
      <c r="Y734" s="246" t="s">
        <v>1038</v>
      </c>
      <c r="Z734" s="235" t="s">
        <v>205</v>
      </c>
      <c r="AA734" s="235" t="s">
        <v>567</v>
      </c>
      <c r="AB734" s="443" t="s">
        <v>1761</v>
      </c>
      <c r="AC734" s="238"/>
      <c r="AD734" s="292">
        <f>AD735+AD749+AD759</f>
        <v>508510.5</v>
      </c>
      <c r="AE734" s="476">
        <f>AE735+AE749+AE759</f>
        <v>507745.1</v>
      </c>
      <c r="AF734" s="476">
        <f>AF735+AF749+AF759</f>
        <v>507784.3</v>
      </c>
      <c r="AG734" s="554"/>
      <c r="AH734" s="554"/>
      <c r="AI734" s="456"/>
    </row>
    <row r="735" spans="24:36" ht="31.5" x14ac:dyDescent="0.25">
      <c r="X735" s="521" t="s">
        <v>2030</v>
      </c>
      <c r="Y735" s="579" t="s">
        <v>1038</v>
      </c>
      <c r="Z735" s="235" t="s">
        <v>205</v>
      </c>
      <c r="AA735" s="235" t="s">
        <v>567</v>
      </c>
      <c r="AB735" s="443" t="s">
        <v>1793</v>
      </c>
      <c r="AC735" s="238"/>
      <c r="AD735" s="292">
        <f>AD736+AD746+AD743</f>
        <v>460159.3</v>
      </c>
      <c r="AE735" s="476">
        <f>AE736+AE746+AE743</f>
        <v>457404.1</v>
      </c>
      <c r="AF735" s="476">
        <f>AF736+AF746+AF743</f>
        <v>457404.1</v>
      </c>
      <c r="AG735" s="554"/>
      <c r="AH735" s="554"/>
      <c r="AI735" s="456"/>
    </row>
    <row r="736" spans="24:36" ht="31.5" x14ac:dyDescent="0.25">
      <c r="X736" s="521" t="s">
        <v>2031</v>
      </c>
      <c r="Y736" s="579" t="s">
        <v>1038</v>
      </c>
      <c r="Z736" s="235" t="s">
        <v>205</v>
      </c>
      <c r="AA736" s="235" t="s">
        <v>567</v>
      </c>
      <c r="AB736" s="443" t="s">
        <v>2032</v>
      </c>
      <c r="AC736" s="238"/>
      <c r="AD736" s="292">
        <f>AD737+AD740</f>
        <v>73990.3</v>
      </c>
      <c r="AE736" s="476">
        <f>AE737+AE740</f>
        <v>71763.100000000006</v>
      </c>
      <c r="AF736" s="476">
        <f>AF737+AF740</f>
        <v>71763.100000000006</v>
      </c>
      <c r="AG736" s="554"/>
      <c r="AH736" s="554"/>
      <c r="AI736" s="456"/>
    </row>
    <row r="737" spans="1:36" ht="31.5" x14ac:dyDescent="0.25">
      <c r="X737" s="521" t="s">
        <v>2240</v>
      </c>
      <c r="Y737" s="246" t="s">
        <v>1038</v>
      </c>
      <c r="Z737" s="235" t="s">
        <v>205</v>
      </c>
      <c r="AA737" s="235" t="s">
        <v>567</v>
      </c>
      <c r="AB737" s="443" t="s">
        <v>2033</v>
      </c>
      <c r="AC737" s="594"/>
      <c r="AD737" s="292">
        <f>AD738</f>
        <v>69129</v>
      </c>
      <c r="AE737" s="476">
        <f>AE738</f>
        <v>69929</v>
      </c>
      <c r="AF737" s="476">
        <f>AF738</f>
        <v>69929</v>
      </c>
      <c r="AG737" s="554"/>
      <c r="AH737" s="554"/>
      <c r="AI737" s="456"/>
    </row>
    <row r="738" spans="1:36" ht="31.5" x14ac:dyDescent="0.25">
      <c r="X738" s="520" t="s">
        <v>1343</v>
      </c>
      <c r="Y738" s="246" t="s">
        <v>1038</v>
      </c>
      <c r="Z738" s="235" t="s">
        <v>205</v>
      </c>
      <c r="AA738" s="235" t="s">
        <v>567</v>
      </c>
      <c r="AB738" s="443" t="s">
        <v>2033</v>
      </c>
      <c r="AC738" s="238">
        <v>600</v>
      </c>
      <c r="AD738" s="292">
        <f t="shared" ref="AD738:AF741" si="178">AD739</f>
        <v>69129</v>
      </c>
      <c r="AE738" s="476">
        <f t="shared" si="178"/>
        <v>69929</v>
      </c>
      <c r="AF738" s="476">
        <f t="shared" si="178"/>
        <v>69929</v>
      </c>
      <c r="AG738" s="554"/>
      <c r="AH738" s="554"/>
      <c r="AI738" s="456"/>
    </row>
    <row r="739" spans="1:36" x14ac:dyDescent="0.25">
      <c r="X739" s="520" t="s">
        <v>1344</v>
      </c>
      <c r="Y739" s="246" t="s">
        <v>1038</v>
      </c>
      <c r="Z739" s="235" t="s">
        <v>205</v>
      </c>
      <c r="AA739" s="235" t="s">
        <v>567</v>
      </c>
      <c r="AB739" s="443" t="s">
        <v>2033</v>
      </c>
      <c r="AC739" s="238">
        <v>610</v>
      </c>
      <c r="AD739" s="292">
        <f>69929-800</f>
        <v>69129</v>
      </c>
      <c r="AE739" s="476">
        <v>69929</v>
      </c>
      <c r="AF739" s="476">
        <v>69929</v>
      </c>
      <c r="AG739" s="554"/>
      <c r="AH739" s="554"/>
      <c r="AI739" s="456"/>
    </row>
    <row r="740" spans="1:36" ht="31.5" x14ac:dyDescent="0.25">
      <c r="X740" s="520" t="s">
        <v>2035</v>
      </c>
      <c r="Y740" s="246" t="s">
        <v>1038</v>
      </c>
      <c r="Z740" s="235" t="s">
        <v>205</v>
      </c>
      <c r="AA740" s="235" t="s">
        <v>567</v>
      </c>
      <c r="AB740" s="443" t="s">
        <v>2034</v>
      </c>
      <c r="AC740" s="238"/>
      <c r="AD740" s="292">
        <f>AD741</f>
        <v>4861.3</v>
      </c>
      <c r="AE740" s="476">
        <f>AE741</f>
        <v>1834.1</v>
      </c>
      <c r="AF740" s="476">
        <f>AF741</f>
        <v>1834.1</v>
      </c>
      <c r="AG740" s="554"/>
      <c r="AH740" s="554"/>
      <c r="AI740" s="456"/>
    </row>
    <row r="741" spans="1:36" ht="31.5" x14ac:dyDescent="0.25">
      <c r="X741" s="520" t="s">
        <v>1343</v>
      </c>
      <c r="Y741" s="246" t="s">
        <v>1038</v>
      </c>
      <c r="Z741" s="235" t="s">
        <v>205</v>
      </c>
      <c r="AA741" s="235" t="s">
        <v>567</v>
      </c>
      <c r="AB741" s="443" t="s">
        <v>2034</v>
      </c>
      <c r="AC741" s="238">
        <v>600</v>
      </c>
      <c r="AD741" s="292">
        <f t="shared" si="178"/>
        <v>4861.3</v>
      </c>
      <c r="AE741" s="476">
        <f t="shared" si="178"/>
        <v>1834.1</v>
      </c>
      <c r="AF741" s="476">
        <f t="shared" si="178"/>
        <v>1834.1</v>
      </c>
      <c r="AG741" s="554"/>
      <c r="AH741" s="554"/>
      <c r="AI741" s="456"/>
    </row>
    <row r="742" spans="1:36" x14ac:dyDescent="0.25">
      <c r="X742" s="520" t="s">
        <v>1344</v>
      </c>
      <c r="Y742" s="246" t="s">
        <v>1038</v>
      </c>
      <c r="Z742" s="235" t="s">
        <v>205</v>
      </c>
      <c r="AA742" s="235" t="s">
        <v>567</v>
      </c>
      <c r="AB742" s="443" t="s">
        <v>2034</v>
      </c>
      <c r="AC742" s="238">
        <v>610</v>
      </c>
      <c r="AD742" s="292">
        <f>1834.1-600+1500+600+70+1153.2+304</f>
        <v>4861.3</v>
      </c>
      <c r="AE742" s="476">
        <v>1834.1</v>
      </c>
      <c r="AF742" s="476">
        <v>1834.1</v>
      </c>
      <c r="AG742" s="554"/>
      <c r="AH742" s="554"/>
      <c r="AI742" s="889"/>
      <c r="AJ742" s="890"/>
    </row>
    <row r="743" spans="1:36" ht="141.75" x14ac:dyDescent="0.25">
      <c r="X743" s="515" t="s">
        <v>2289</v>
      </c>
      <c r="Y743" s="246" t="s">
        <v>1038</v>
      </c>
      <c r="Z743" s="235" t="s">
        <v>205</v>
      </c>
      <c r="AA743" s="235" t="s">
        <v>567</v>
      </c>
      <c r="AB743" s="249" t="s">
        <v>2290</v>
      </c>
      <c r="AC743" s="238"/>
      <c r="AD743" s="292">
        <f t="shared" ref="AD743:AF744" si="179">AD744</f>
        <v>18358</v>
      </c>
      <c r="AE743" s="476">
        <f t="shared" si="179"/>
        <v>18358</v>
      </c>
      <c r="AF743" s="476">
        <f t="shared" si="179"/>
        <v>18358</v>
      </c>
      <c r="AG743" s="554"/>
      <c r="AH743" s="554"/>
      <c r="AI743" s="639"/>
      <c r="AJ743" s="640"/>
    </row>
    <row r="744" spans="1:36" ht="31.5" x14ac:dyDescent="0.25">
      <c r="X744" s="520" t="s">
        <v>1343</v>
      </c>
      <c r="Y744" s="246" t="s">
        <v>1038</v>
      </c>
      <c r="Z744" s="235" t="s">
        <v>205</v>
      </c>
      <c r="AA744" s="235" t="s">
        <v>567</v>
      </c>
      <c r="AB744" s="249" t="s">
        <v>2290</v>
      </c>
      <c r="AC744" s="238">
        <v>600</v>
      </c>
      <c r="AD744" s="292">
        <f t="shared" si="179"/>
        <v>18358</v>
      </c>
      <c r="AE744" s="476">
        <f t="shared" si="179"/>
        <v>18358</v>
      </c>
      <c r="AF744" s="476">
        <f t="shared" si="179"/>
        <v>18358</v>
      </c>
      <c r="AG744" s="554"/>
      <c r="AH744" s="554"/>
      <c r="AI744" s="639"/>
      <c r="AJ744" s="640"/>
    </row>
    <row r="745" spans="1:36" x14ac:dyDescent="0.25">
      <c r="X745" s="520" t="s">
        <v>1344</v>
      </c>
      <c r="Y745" s="246" t="s">
        <v>1038</v>
      </c>
      <c r="Z745" s="235" t="s">
        <v>205</v>
      </c>
      <c r="AA745" s="235" t="s">
        <v>567</v>
      </c>
      <c r="AB745" s="249" t="s">
        <v>2290</v>
      </c>
      <c r="AC745" s="238">
        <v>610</v>
      </c>
      <c r="AD745" s="292">
        <f>18358</f>
        <v>18358</v>
      </c>
      <c r="AE745" s="476">
        <f>18358</f>
        <v>18358</v>
      </c>
      <c r="AF745" s="476">
        <f>18358</f>
        <v>18358</v>
      </c>
      <c r="AG745" s="554"/>
      <c r="AH745" s="554"/>
      <c r="AI745" s="639"/>
      <c r="AJ745" s="640"/>
    </row>
    <row r="746" spans="1:36" ht="126" x14ac:dyDescent="0.25">
      <c r="X746" s="522" t="s">
        <v>2036</v>
      </c>
      <c r="Y746" s="246" t="s">
        <v>1038</v>
      </c>
      <c r="Z746" s="235" t="s">
        <v>205</v>
      </c>
      <c r="AA746" s="235" t="s">
        <v>567</v>
      </c>
      <c r="AB746" s="249" t="s">
        <v>1794</v>
      </c>
      <c r="AC746" s="577"/>
      <c r="AD746" s="292">
        <f t="shared" ref="AD746:AF747" si="180">AD747</f>
        <v>367811</v>
      </c>
      <c r="AE746" s="476">
        <f t="shared" si="180"/>
        <v>367283</v>
      </c>
      <c r="AF746" s="476">
        <f t="shared" si="180"/>
        <v>367283</v>
      </c>
      <c r="AG746" s="554"/>
      <c r="AH746" s="554"/>
      <c r="AI746" s="456"/>
    </row>
    <row r="747" spans="1:36" ht="31.5" x14ac:dyDescent="0.25">
      <c r="X747" s="520" t="s">
        <v>1343</v>
      </c>
      <c r="Y747" s="246" t="s">
        <v>1038</v>
      </c>
      <c r="Z747" s="235" t="s">
        <v>205</v>
      </c>
      <c r="AA747" s="235" t="s">
        <v>567</v>
      </c>
      <c r="AB747" s="249" t="s">
        <v>1794</v>
      </c>
      <c r="AC747" s="238">
        <v>600</v>
      </c>
      <c r="AD747" s="292">
        <f t="shared" si="180"/>
        <v>367811</v>
      </c>
      <c r="AE747" s="476">
        <f t="shared" si="180"/>
        <v>367283</v>
      </c>
      <c r="AF747" s="476">
        <f t="shared" si="180"/>
        <v>367283</v>
      </c>
      <c r="AG747" s="554"/>
      <c r="AH747" s="554"/>
      <c r="AI747" s="456"/>
    </row>
    <row r="748" spans="1:36" x14ac:dyDescent="0.25">
      <c r="X748" s="520" t="s">
        <v>1344</v>
      </c>
      <c r="Y748" s="246" t="s">
        <v>1038</v>
      </c>
      <c r="Z748" s="235" t="s">
        <v>205</v>
      </c>
      <c r="AA748" s="235" t="s">
        <v>567</v>
      </c>
      <c r="AB748" s="249" t="s">
        <v>1794</v>
      </c>
      <c r="AC748" s="238">
        <v>610</v>
      </c>
      <c r="AD748" s="292">
        <f>364049+3234+715-187</f>
        <v>367811</v>
      </c>
      <c r="AE748" s="476">
        <f>364049+3234</f>
        <v>367283</v>
      </c>
      <c r="AF748" s="476">
        <f>364049+3234</f>
        <v>367283</v>
      </c>
      <c r="AG748" s="554"/>
      <c r="AH748" s="554"/>
      <c r="AI748" s="456"/>
    </row>
    <row r="749" spans="1:36" ht="47.25" x14ac:dyDescent="0.25">
      <c r="A749" s="275" t="s">
        <v>1809</v>
      </c>
      <c r="B749" s="246" t="s">
        <v>1038</v>
      </c>
      <c r="C749" s="235" t="s">
        <v>205</v>
      </c>
      <c r="D749" s="235" t="s">
        <v>567</v>
      </c>
      <c r="E749" s="249" t="s">
        <v>1810</v>
      </c>
      <c r="F749" s="238"/>
      <c r="G749" s="292" t="e">
        <f>#REF!</f>
        <v>#REF!</v>
      </c>
      <c r="X749" s="521" t="s">
        <v>2037</v>
      </c>
      <c r="Y749" s="246" t="s">
        <v>1038</v>
      </c>
      <c r="Z749" s="235" t="s">
        <v>205</v>
      </c>
      <c r="AA749" s="235" t="s">
        <v>567</v>
      </c>
      <c r="AB749" s="443" t="s">
        <v>1795</v>
      </c>
      <c r="AC749" s="238"/>
      <c r="AD749" s="292">
        <f>AD756+AD750+AD753</f>
        <v>47332.4</v>
      </c>
      <c r="AE749" s="476">
        <f>AE756+AE750+AE753</f>
        <v>49314.7</v>
      </c>
      <c r="AF749" s="476">
        <f>AF756+AF750+AF753</f>
        <v>49353.899999999994</v>
      </c>
      <c r="AG749" s="554"/>
      <c r="AH749" s="554"/>
      <c r="AI749" s="456"/>
    </row>
    <row r="750" spans="1:36" ht="47.25" x14ac:dyDescent="0.25">
      <c r="X750" s="520" t="s">
        <v>2038</v>
      </c>
      <c r="Y750" s="246" t="s">
        <v>1038</v>
      </c>
      <c r="Z750" s="235" t="s">
        <v>205</v>
      </c>
      <c r="AA750" s="235" t="s">
        <v>567</v>
      </c>
      <c r="AB750" s="443" t="s">
        <v>1796</v>
      </c>
      <c r="AC750" s="238"/>
      <c r="AD750" s="292">
        <f t="shared" ref="AD750:AF751" si="181">AD751</f>
        <v>69</v>
      </c>
      <c r="AE750" s="476">
        <f t="shared" si="181"/>
        <v>69</v>
      </c>
      <c r="AF750" s="476">
        <f t="shared" si="181"/>
        <v>69</v>
      </c>
      <c r="AG750" s="554"/>
      <c r="AH750" s="554"/>
      <c r="AI750" s="456"/>
    </row>
    <row r="751" spans="1:36" ht="31.5" x14ac:dyDescent="0.25">
      <c r="X751" s="520" t="s">
        <v>1343</v>
      </c>
      <c r="Y751" s="246" t="s">
        <v>1038</v>
      </c>
      <c r="Z751" s="235" t="s">
        <v>205</v>
      </c>
      <c r="AA751" s="235" t="s">
        <v>567</v>
      </c>
      <c r="AB751" s="249" t="str">
        <f>AB752</f>
        <v>03 2 03 62230</v>
      </c>
      <c r="AC751" s="577">
        <v>600</v>
      </c>
      <c r="AD751" s="292">
        <f t="shared" si="181"/>
        <v>69</v>
      </c>
      <c r="AE751" s="476">
        <f t="shared" si="181"/>
        <v>69</v>
      </c>
      <c r="AF751" s="476">
        <f t="shared" si="181"/>
        <v>69</v>
      </c>
      <c r="AG751" s="554"/>
      <c r="AH751" s="554"/>
      <c r="AI751" s="456"/>
    </row>
    <row r="752" spans="1:36" x14ac:dyDescent="0.25">
      <c r="X752" s="520" t="s">
        <v>1344</v>
      </c>
      <c r="Y752" s="246" t="s">
        <v>1038</v>
      </c>
      <c r="Z752" s="235" t="s">
        <v>205</v>
      </c>
      <c r="AA752" s="235" t="s">
        <v>567</v>
      </c>
      <c r="AB752" s="249" t="s">
        <v>1796</v>
      </c>
      <c r="AC752" s="577">
        <v>610</v>
      </c>
      <c r="AD752" s="292">
        <v>69</v>
      </c>
      <c r="AE752" s="476">
        <v>69</v>
      </c>
      <c r="AF752" s="476">
        <v>69</v>
      </c>
      <c r="AG752" s="554"/>
      <c r="AH752" s="554"/>
      <c r="AI752" s="456"/>
    </row>
    <row r="753" spans="1:35" ht="31.5" x14ac:dyDescent="0.25">
      <c r="X753" s="520" t="s">
        <v>2285</v>
      </c>
      <c r="Y753" s="246" t="s">
        <v>1038</v>
      </c>
      <c r="Z753" s="235" t="s">
        <v>205</v>
      </c>
      <c r="AA753" s="235" t="s">
        <v>567</v>
      </c>
      <c r="AB753" s="249" t="s">
        <v>2286</v>
      </c>
      <c r="AC753" s="238"/>
      <c r="AD753" s="292">
        <f t="shared" ref="AD753:AF754" si="182">AD754</f>
        <v>29567.4</v>
      </c>
      <c r="AE753" s="476">
        <f t="shared" si="182"/>
        <v>31549.699999999997</v>
      </c>
      <c r="AF753" s="476">
        <f t="shared" si="182"/>
        <v>31588.899999999998</v>
      </c>
      <c r="AG753" s="554"/>
      <c r="AH753" s="554"/>
      <c r="AI753" s="456"/>
    </row>
    <row r="754" spans="1:35" x14ac:dyDescent="0.25">
      <c r="X754" s="515" t="s">
        <v>1782</v>
      </c>
      <c r="Y754" s="246" t="s">
        <v>1038</v>
      </c>
      <c r="Z754" s="235" t="s">
        <v>205</v>
      </c>
      <c r="AA754" s="235" t="s">
        <v>567</v>
      </c>
      <c r="AB754" s="249" t="s">
        <v>2286</v>
      </c>
      <c r="AC754" s="238">
        <v>200</v>
      </c>
      <c r="AD754" s="292">
        <f t="shared" si="182"/>
        <v>29567.4</v>
      </c>
      <c r="AE754" s="476">
        <f t="shared" si="182"/>
        <v>31549.699999999997</v>
      </c>
      <c r="AF754" s="476">
        <f t="shared" si="182"/>
        <v>31588.899999999998</v>
      </c>
      <c r="AG754" s="554"/>
      <c r="AH754" s="554"/>
      <c r="AI754" s="456"/>
    </row>
    <row r="755" spans="1:35" ht="31.5" x14ac:dyDescent="0.25">
      <c r="X755" s="515" t="s">
        <v>1274</v>
      </c>
      <c r="Y755" s="246" t="s">
        <v>1038</v>
      </c>
      <c r="Z755" s="235" t="s">
        <v>205</v>
      </c>
      <c r="AA755" s="235" t="s">
        <v>567</v>
      </c>
      <c r="AB755" s="249" t="s">
        <v>2286</v>
      </c>
      <c r="AC755" s="238">
        <v>240</v>
      </c>
      <c r="AD755" s="292">
        <f>27120+2448.2-724.2+723.4</f>
        <v>29567.4</v>
      </c>
      <c r="AE755" s="476">
        <f>29051+2498.8-793.7+793.6</f>
        <v>31549.699999999997</v>
      </c>
      <c r="AF755" s="476">
        <f>25871+5679+3216-3177.2-1292.9+1293</f>
        <v>31588.899999999998</v>
      </c>
      <c r="AG755" s="554"/>
      <c r="AH755" s="554"/>
      <c r="AI755" s="456"/>
    </row>
    <row r="756" spans="1:35" ht="47.25" x14ac:dyDescent="0.25">
      <c r="X756" s="522" t="s">
        <v>2373</v>
      </c>
      <c r="Y756" s="246" t="s">
        <v>1038</v>
      </c>
      <c r="Z756" s="235" t="s">
        <v>205</v>
      </c>
      <c r="AA756" s="235" t="s">
        <v>567</v>
      </c>
      <c r="AB756" s="443" t="s">
        <v>2325</v>
      </c>
      <c r="AC756" s="576"/>
      <c r="AD756" s="292">
        <f t="shared" ref="AD756:AF757" si="183">AD757</f>
        <v>17696</v>
      </c>
      <c r="AE756" s="476">
        <f t="shared" si="183"/>
        <v>17696</v>
      </c>
      <c r="AF756" s="476">
        <f t="shared" si="183"/>
        <v>17696</v>
      </c>
      <c r="AG756" s="554"/>
      <c r="AH756" s="554"/>
      <c r="AI756" s="456"/>
    </row>
    <row r="757" spans="1:35" x14ac:dyDescent="0.25">
      <c r="X757" s="515" t="s">
        <v>1782</v>
      </c>
      <c r="Y757" s="246" t="s">
        <v>1038</v>
      </c>
      <c r="Z757" s="235" t="s">
        <v>205</v>
      </c>
      <c r="AA757" s="235" t="s">
        <v>567</v>
      </c>
      <c r="AB757" s="443" t="s">
        <v>2325</v>
      </c>
      <c r="AC757" s="584">
        <v>200</v>
      </c>
      <c r="AD757" s="292">
        <f t="shared" si="183"/>
        <v>17696</v>
      </c>
      <c r="AE757" s="476">
        <f t="shared" si="183"/>
        <v>17696</v>
      </c>
      <c r="AF757" s="476">
        <f t="shared" si="183"/>
        <v>17696</v>
      </c>
      <c r="AG757" s="554"/>
      <c r="AH757" s="554"/>
      <c r="AI757" s="456"/>
    </row>
    <row r="758" spans="1:35" ht="31.5" x14ac:dyDescent="0.25">
      <c r="X758" s="515" t="s">
        <v>1274</v>
      </c>
      <c r="Y758" s="246" t="s">
        <v>1038</v>
      </c>
      <c r="Z758" s="235" t="s">
        <v>205</v>
      </c>
      <c r="AA758" s="235" t="s">
        <v>567</v>
      </c>
      <c r="AB758" s="443" t="s">
        <v>2325</v>
      </c>
      <c r="AC758" s="584">
        <v>240</v>
      </c>
      <c r="AD758" s="292">
        <f>15926+1770</f>
        <v>17696</v>
      </c>
      <c r="AE758" s="476">
        <f>14511+3185</f>
        <v>17696</v>
      </c>
      <c r="AF758" s="476">
        <f>14511+3185</f>
        <v>17696</v>
      </c>
      <c r="AG758" s="554"/>
      <c r="AH758" s="554"/>
      <c r="AI758" s="456"/>
    </row>
    <row r="759" spans="1:35" ht="47.25" x14ac:dyDescent="0.25">
      <c r="A759" s="237"/>
      <c r="B759" s="237"/>
      <c r="C759" s="237"/>
      <c r="D759" s="237"/>
      <c r="E759" s="237"/>
      <c r="F759" s="237"/>
      <c r="G759" s="237"/>
      <c r="H759" s="237"/>
      <c r="I759" s="237"/>
      <c r="J759" s="237"/>
      <c r="K759" s="237"/>
      <c r="L759" s="237"/>
      <c r="M759" s="237"/>
      <c r="N759" s="237"/>
      <c r="O759" s="237"/>
      <c r="P759" s="237"/>
      <c r="R759" s="237"/>
      <c r="S759" s="237"/>
      <c r="W759" s="237"/>
      <c r="X759" s="521" t="s">
        <v>2129</v>
      </c>
      <c r="Y759" s="246" t="s">
        <v>1038</v>
      </c>
      <c r="Z759" s="235" t="s">
        <v>205</v>
      </c>
      <c r="AA759" s="235" t="s">
        <v>567</v>
      </c>
      <c r="AB759" s="443" t="s">
        <v>2168</v>
      </c>
      <c r="AC759" s="577"/>
      <c r="AD759" s="292">
        <f t="shared" ref="AD759:AF761" si="184">AD760</f>
        <v>1018.8</v>
      </c>
      <c r="AE759" s="476">
        <f t="shared" si="184"/>
        <v>1026.3</v>
      </c>
      <c r="AF759" s="476">
        <f t="shared" si="184"/>
        <v>1026.3</v>
      </c>
      <c r="AG759" s="554"/>
      <c r="AH759" s="554"/>
      <c r="AI759" s="456"/>
    </row>
    <row r="760" spans="1:35" ht="31.5" x14ac:dyDescent="0.25">
      <c r="A760" s="237"/>
      <c r="B760" s="237"/>
      <c r="C760" s="237"/>
      <c r="D760" s="237"/>
      <c r="E760" s="237"/>
      <c r="F760" s="237"/>
      <c r="G760" s="237"/>
      <c r="H760" s="237"/>
      <c r="I760" s="237"/>
      <c r="J760" s="237"/>
      <c r="K760" s="237"/>
      <c r="L760" s="237"/>
      <c r="M760" s="237"/>
      <c r="N760" s="237"/>
      <c r="O760" s="237"/>
      <c r="P760" s="237"/>
      <c r="R760" s="237"/>
      <c r="S760" s="237"/>
      <c r="W760" s="237"/>
      <c r="X760" s="521" t="s">
        <v>2031</v>
      </c>
      <c r="Y760" s="246" t="s">
        <v>1038</v>
      </c>
      <c r="Z760" s="235" t="s">
        <v>205</v>
      </c>
      <c r="AA760" s="235" t="s">
        <v>567</v>
      </c>
      <c r="AB760" s="443" t="s">
        <v>2169</v>
      </c>
      <c r="AC760" s="577"/>
      <c r="AD760" s="292">
        <f t="shared" si="184"/>
        <v>1018.8</v>
      </c>
      <c r="AE760" s="476">
        <f t="shared" si="184"/>
        <v>1026.3</v>
      </c>
      <c r="AF760" s="476">
        <f t="shared" si="184"/>
        <v>1026.3</v>
      </c>
      <c r="AG760" s="554"/>
      <c r="AH760" s="554"/>
      <c r="AI760" s="456"/>
    </row>
    <row r="761" spans="1:35" ht="31.5" x14ac:dyDescent="0.25">
      <c r="A761" s="237"/>
      <c r="B761" s="237"/>
      <c r="C761" s="237"/>
      <c r="D761" s="237"/>
      <c r="E761" s="237"/>
      <c r="F761" s="237"/>
      <c r="G761" s="237"/>
      <c r="H761" s="237"/>
      <c r="I761" s="237"/>
      <c r="J761" s="237"/>
      <c r="K761" s="237"/>
      <c r="L761" s="237"/>
      <c r="M761" s="237"/>
      <c r="N761" s="237"/>
      <c r="O761" s="237"/>
      <c r="P761" s="237"/>
      <c r="R761" s="237"/>
      <c r="S761" s="237"/>
      <c r="W761" s="237"/>
      <c r="X761" s="520" t="s">
        <v>1343</v>
      </c>
      <c r="Y761" s="246" t="s">
        <v>1038</v>
      </c>
      <c r="Z761" s="235" t="s">
        <v>205</v>
      </c>
      <c r="AA761" s="235" t="s">
        <v>567</v>
      </c>
      <c r="AB761" s="443" t="s">
        <v>2169</v>
      </c>
      <c r="AC761" s="577">
        <v>600</v>
      </c>
      <c r="AD761" s="292">
        <f t="shared" si="184"/>
        <v>1018.8</v>
      </c>
      <c r="AE761" s="476">
        <f t="shared" si="184"/>
        <v>1026.3</v>
      </c>
      <c r="AF761" s="476">
        <f t="shared" si="184"/>
        <v>1026.3</v>
      </c>
      <c r="AG761" s="554"/>
      <c r="AH761" s="554"/>
      <c r="AI761" s="456"/>
    </row>
    <row r="762" spans="1:35" x14ac:dyDescent="0.25">
      <c r="A762" s="237"/>
      <c r="B762" s="237"/>
      <c r="C762" s="237"/>
      <c r="D762" s="237"/>
      <c r="E762" s="237"/>
      <c r="F762" s="237"/>
      <c r="G762" s="237"/>
      <c r="H762" s="237"/>
      <c r="I762" s="237"/>
      <c r="J762" s="237"/>
      <c r="K762" s="237"/>
      <c r="L762" s="237"/>
      <c r="M762" s="237"/>
      <c r="N762" s="237"/>
      <c r="O762" s="237"/>
      <c r="P762" s="237"/>
      <c r="R762" s="237"/>
      <c r="S762" s="237"/>
      <c r="W762" s="237"/>
      <c r="X762" s="520" t="s">
        <v>1344</v>
      </c>
      <c r="Y762" s="246" t="s">
        <v>1038</v>
      </c>
      <c r="Z762" s="235" t="s">
        <v>205</v>
      </c>
      <c r="AA762" s="235" t="s">
        <v>567</v>
      </c>
      <c r="AB762" s="443" t="s">
        <v>2169</v>
      </c>
      <c r="AC762" s="577">
        <v>610</v>
      </c>
      <c r="AD762" s="292">
        <f>1026.3-7.5</f>
        <v>1018.8</v>
      </c>
      <c r="AE762" s="476">
        <v>1026.3</v>
      </c>
      <c r="AF762" s="476">
        <v>1026.3</v>
      </c>
      <c r="AG762" s="554"/>
      <c r="AH762" s="554"/>
      <c r="AI762" s="456"/>
    </row>
    <row r="763" spans="1:35" x14ac:dyDescent="0.25">
      <c r="X763" s="549" t="s">
        <v>2075</v>
      </c>
      <c r="Y763" s="246" t="s">
        <v>1038</v>
      </c>
      <c r="Z763" s="235" t="s">
        <v>205</v>
      </c>
      <c r="AA763" s="235" t="s">
        <v>567</v>
      </c>
      <c r="AB763" s="464" t="s">
        <v>1769</v>
      </c>
      <c r="AC763" s="577"/>
      <c r="AD763" s="292">
        <f>AD764</f>
        <v>950</v>
      </c>
      <c r="AE763" s="476">
        <f>AE764</f>
        <v>950</v>
      </c>
      <c r="AF763" s="476">
        <f>AF764</f>
        <v>950</v>
      </c>
      <c r="AG763" s="554"/>
      <c r="AH763" s="554"/>
      <c r="AI763" s="456"/>
    </row>
    <row r="764" spans="1:35" x14ac:dyDescent="0.25">
      <c r="X764" s="564" t="s">
        <v>2086</v>
      </c>
      <c r="Y764" s="246" t="s">
        <v>1038</v>
      </c>
      <c r="Z764" s="235" t="s">
        <v>205</v>
      </c>
      <c r="AA764" s="235" t="s">
        <v>567</v>
      </c>
      <c r="AB764" s="443" t="s">
        <v>1770</v>
      </c>
      <c r="AC764" s="238"/>
      <c r="AD764" s="292">
        <f t="shared" ref="AD764:AF767" si="185">AD765</f>
        <v>950</v>
      </c>
      <c r="AE764" s="476">
        <f t="shared" si="185"/>
        <v>950</v>
      </c>
      <c r="AF764" s="476">
        <f t="shared" si="185"/>
        <v>950</v>
      </c>
      <c r="AG764" s="554"/>
      <c r="AH764" s="554"/>
      <c r="AI764" s="456"/>
    </row>
    <row r="765" spans="1:35" ht="31.5" x14ac:dyDescent="0.25">
      <c r="X765" s="551" t="s">
        <v>2261</v>
      </c>
      <c r="Y765" s="246" t="s">
        <v>1038</v>
      </c>
      <c r="Z765" s="235" t="s">
        <v>205</v>
      </c>
      <c r="AA765" s="235" t="s">
        <v>567</v>
      </c>
      <c r="AB765" s="443" t="s">
        <v>2103</v>
      </c>
      <c r="AC765" s="238"/>
      <c r="AD765" s="292">
        <f t="shared" si="185"/>
        <v>950</v>
      </c>
      <c r="AE765" s="476">
        <f t="shared" si="185"/>
        <v>950</v>
      </c>
      <c r="AF765" s="476">
        <f t="shared" si="185"/>
        <v>950</v>
      </c>
      <c r="AG765" s="554"/>
      <c r="AH765" s="554"/>
      <c r="AI765" s="456"/>
    </row>
    <row r="766" spans="1:35" ht="31.5" x14ac:dyDescent="0.25">
      <c r="X766" s="565" t="s">
        <v>2088</v>
      </c>
      <c r="Y766" s="246" t="s">
        <v>1038</v>
      </c>
      <c r="Z766" s="235" t="s">
        <v>205</v>
      </c>
      <c r="AA766" s="235" t="s">
        <v>567</v>
      </c>
      <c r="AB766" s="443" t="s">
        <v>2089</v>
      </c>
      <c r="AC766" s="238"/>
      <c r="AD766" s="292">
        <f t="shared" si="185"/>
        <v>950</v>
      </c>
      <c r="AE766" s="476">
        <f t="shared" si="185"/>
        <v>950</v>
      </c>
      <c r="AF766" s="476">
        <f t="shared" si="185"/>
        <v>950</v>
      </c>
      <c r="AG766" s="554"/>
      <c r="AH766" s="554"/>
      <c r="AI766" s="456"/>
    </row>
    <row r="767" spans="1:35" ht="31.5" x14ac:dyDescent="0.25">
      <c r="X767" s="520" t="s">
        <v>1343</v>
      </c>
      <c r="Y767" s="246" t="s">
        <v>1038</v>
      </c>
      <c r="Z767" s="235" t="s">
        <v>205</v>
      </c>
      <c r="AA767" s="235" t="s">
        <v>567</v>
      </c>
      <c r="AB767" s="443" t="s">
        <v>2089</v>
      </c>
      <c r="AC767" s="577">
        <v>600</v>
      </c>
      <c r="AD767" s="292">
        <f t="shared" si="185"/>
        <v>950</v>
      </c>
      <c r="AE767" s="476">
        <f t="shared" si="185"/>
        <v>950</v>
      </c>
      <c r="AF767" s="476">
        <f t="shared" si="185"/>
        <v>950</v>
      </c>
      <c r="AG767" s="554"/>
      <c r="AH767" s="554"/>
      <c r="AI767" s="456"/>
    </row>
    <row r="768" spans="1:35" x14ac:dyDescent="0.25">
      <c r="X768" s="520" t="s">
        <v>1344</v>
      </c>
      <c r="Y768" s="246" t="s">
        <v>1038</v>
      </c>
      <c r="Z768" s="235" t="s">
        <v>205</v>
      </c>
      <c r="AA768" s="235" t="s">
        <v>567</v>
      </c>
      <c r="AB768" s="443" t="s">
        <v>2089</v>
      </c>
      <c r="AC768" s="577">
        <v>610</v>
      </c>
      <c r="AD768" s="292">
        <v>950</v>
      </c>
      <c r="AE768" s="476">
        <v>950</v>
      </c>
      <c r="AF768" s="476">
        <v>950</v>
      </c>
      <c r="AG768" s="554"/>
      <c r="AH768" s="554"/>
      <c r="AI768" s="456"/>
    </row>
    <row r="769" spans="24:35" ht="31.5" x14ac:dyDescent="0.25">
      <c r="X769" s="549" t="s">
        <v>1854</v>
      </c>
      <c r="Y769" s="246" t="s">
        <v>1038</v>
      </c>
      <c r="Z769" s="235" t="s">
        <v>205</v>
      </c>
      <c r="AA769" s="235" t="s">
        <v>567</v>
      </c>
      <c r="AB769" s="249" t="s">
        <v>1762</v>
      </c>
      <c r="AC769" s="580"/>
      <c r="AD769" s="292">
        <f t="shared" ref="AD769:AD774" si="186">AD770</f>
        <v>883.8</v>
      </c>
      <c r="AE769" s="292">
        <f t="shared" ref="AE769:AF769" si="187">AE770</f>
        <v>0</v>
      </c>
      <c r="AF769" s="292">
        <f t="shared" si="187"/>
        <v>0</v>
      </c>
      <c r="AG769" s="554"/>
      <c r="AH769" s="554"/>
      <c r="AI769" s="456"/>
    </row>
    <row r="770" spans="24:35" x14ac:dyDescent="0.25">
      <c r="X770" s="549" t="s">
        <v>1855</v>
      </c>
      <c r="Y770" s="246" t="s">
        <v>1038</v>
      </c>
      <c r="Z770" s="235" t="s">
        <v>205</v>
      </c>
      <c r="AA770" s="235" t="s">
        <v>567</v>
      </c>
      <c r="AB770" s="249" t="s">
        <v>1766</v>
      </c>
      <c r="AC770" s="580"/>
      <c r="AD770" s="292">
        <f t="shared" si="186"/>
        <v>883.8</v>
      </c>
      <c r="AE770" s="292">
        <f t="shared" ref="AE770:AF770" si="188">AE771</f>
        <v>0</v>
      </c>
      <c r="AF770" s="292">
        <f t="shared" si="188"/>
        <v>0</v>
      </c>
      <c r="AG770" s="554"/>
      <c r="AH770" s="554"/>
      <c r="AI770" s="456"/>
    </row>
    <row r="771" spans="24:35" ht="47.25" x14ac:dyDescent="0.25">
      <c r="X771" s="515" t="s">
        <v>2255</v>
      </c>
      <c r="Y771" s="246" t="s">
        <v>1038</v>
      </c>
      <c r="Z771" s="235" t="s">
        <v>205</v>
      </c>
      <c r="AA771" s="235" t="s">
        <v>567</v>
      </c>
      <c r="AB771" s="443" t="s">
        <v>1786</v>
      </c>
      <c r="AC771" s="580"/>
      <c r="AD771" s="292">
        <f t="shared" si="186"/>
        <v>883.8</v>
      </c>
      <c r="AE771" s="292">
        <f t="shared" ref="AE771:AF771" si="189">AE772</f>
        <v>0</v>
      </c>
      <c r="AF771" s="292">
        <f t="shared" si="189"/>
        <v>0</v>
      </c>
      <c r="AG771" s="554"/>
      <c r="AH771" s="554"/>
      <c r="AI771" s="456"/>
    </row>
    <row r="772" spans="24:35" ht="47.25" x14ac:dyDescent="0.25">
      <c r="X772" s="549" t="s">
        <v>1856</v>
      </c>
      <c r="Y772" s="246" t="s">
        <v>1038</v>
      </c>
      <c r="Z772" s="235" t="s">
        <v>205</v>
      </c>
      <c r="AA772" s="235" t="s">
        <v>567</v>
      </c>
      <c r="AB772" s="443" t="s">
        <v>1857</v>
      </c>
      <c r="AC772" s="580"/>
      <c r="AD772" s="292">
        <f t="shared" si="186"/>
        <v>883.8</v>
      </c>
      <c r="AE772" s="292">
        <f t="shared" ref="AE772:AF772" si="190">AE773</f>
        <v>0</v>
      </c>
      <c r="AF772" s="292">
        <f t="shared" si="190"/>
        <v>0</v>
      </c>
      <c r="AG772" s="554"/>
      <c r="AH772" s="554"/>
      <c r="AI772" s="456"/>
    </row>
    <row r="773" spans="24:35" ht="63" x14ac:dyDescent="0.25">
      <c r="X773" s="525" t="s">
        <v>2250</v>
      </c>
      <c r="Y773" s="246" t="s">
        <v>1038</v>
      </c>
      <c r="Z773" s="235" t="s">
        <v>205</v>
      </c>
      <c r="AA773" s="235" t="s">
        <v>567</v>
      </c>
      <c r="AB773" s="443" t="s">
        <v>1858</v>
      </c>
      <c r="AC773" s="580"/>
      <c r="AD773" s="292">
        <f t="shared" si="186"/>
        <v>883.8</v>
      </c>
      <c r="AE773" s="292">
        <f t="shared" ref="AE773:AF773" si="191">AE774</f>
        <v>0</v>
      </c>
      <c r="AF773" s="292">
        <f t="shared" si="191"/>
        <v>0</v>
      </c>
      <c r="AG773" s="554"/>
      <c r="AH773" s="554"/>
      <c r="AI773" s="456"/>
    </row>
    <row r="774" spans="24:35" ht="31.5" x14ac:dyDescent="0.25">
      <c r="X774" s="520" t="s">
        <v>1343</v>
      </c>
      <c r="Y774" s="246">
        <v>901</v>
      </c>
      <c r="Z774" s="235" t="s">
        <v>205</v>
      </c>
      <c r="AA774" s="235" t="s">
        <v>567</v>
      </c>
      <c r="AB774" s="443" t="s">
        <v>1858</v>
      </c>
      <c r="AC774" s="577">
        <v>600</v>
      </c>
      <c r="AD774" s="292">
        <f t="shared" si="186"/>
        <v>883.8</v>
      </c>
      <c r="AE774" s="292">
        <f t="shared" ref="AE774:AF774" si="192">AE775</f>
        <v>0</v>
      </c>
      <c r="AF774" s="292">
        <f t="shared" si="192"/>
        <v>0</v>
      </c>
      <c r="AG774" s="554"/>
      <c r="AH774" s="554"/>
      <c r="AI774" s="456"/>
    </row>
    <row r="775" spans="24:35" x14ac:dyDescent="0.25">
      <c r="X775" s="520" t="s">
        <v>1344</v>
      </c>
      <c r="Y775" s="246">
        <v>901</v>
      </c>
      <c r="Z775" s="235" t="s">
        <v>205</v>
      </c>
      <c r="AA775" s="235" t="s">
        <v>567</v>
      </c>
      <c r="AB775" s="443" t="s">
        <v>1858</v>
      </c>
      <c r="AC775" s="577">
        <v>610</v>
      </c>
      <c r="AD775" s="292">
        <f>403.8+480</f>
        <v>883.8</v>
      </c>
      <c r="AE775" s="476">
        <v>0</v>
      </c>
      <c r="AF775" s="476">
        <v>0</v>
      </c>
      <c r="AG775" s="554"/>
      <c r="AH775" s="554"/>
      <c r="AI775" s="456"/>
    </row>
    <row r="776" spans="24:35" x14ac:dyDescent="0.25">
      <c r="X776" s="515" t="s">
        <v>2196</v>
      </c>
      <c r="Y776" s="246" t="s">
        <v>1038</v>
      </c>
      <c r="Z776" s="235" t="s">
        <v>205</v>
      </c>
      <c r="AA776" s="235" t="s">
        <v>567</v>
      </c>
      <c r="AB776" s="284" t="s">
        <v>1816</v>
      </c>
      <c r="AC776" s="580"/>
      <c r="AD776" s="292">
        <f t="shared" ref="AD776:AF779" si="193">AD777</f>
        <v>99.1</v>
      </c>
      <c r="AE776" s="476">
        <f t="shared" ref="AE776:AF778" si="194">AE777</f>
        <v>0</v>
      </c>
      <c r="AF776" s="476">
        <f t="shared" si="194"/>
        <v>0</v>
      </c>
      <c r="AG776" s="554"/>
      <c r="AH776" s="554"/>
      <c r="AI776" s="456"/>
    </row>
    <row r="777" spans="24:35" x14ac:dyDescent="0.25">
      <c r="X777" s="547" t="s">
        <v>2259</v>
      </c>
      <c r="Y777" s="246" t="s">
        <v>1038</v>
      </c>
      <c r="Z777" s="235" t="s">
        <v>205</v>
      </c>
      <c r="AA777" s="235" t="s">
        <v>567</v>
      </c>
      <c r="AB777" s="550" t="s">
        <v>2260</v>
      </c>
      <c r="AC777" s="580"/>
      <c r="AD777" s="292">
        <f t="shared" si="193"/>
        <v>99.1</v>
      </c>
      <c r="AE777" s="476">
        <f t="shared" si="194"/>
        <v>0</v>
      </c>
      <c r="AF777" s="476">
        <f t="shared" si="194"/>
        <v>0</v>
      </c>
      <c r="AG777" s="554"/>
      <c r="AH777" s="554"/>
      <c r="AI777" s="456"/>
    </row>
    <row r="778" spans="24:35" ht="112.9" customHeight="1" x14ac:dyDescent="0.25">
      <c r="X778" s="520" t="s">
        <v>2413</v>
      </c>
      <c r="Y778" s="246" t="s">
        <v>1038</v>
      </c>
      <c r="Z778" s="235" t="s">
        <v>205</v>
      </c>
      <c r="AA778" s="235" t="s">
        <v>567</v>
      </c>
      <c r="AB778" s="550" t="s">
        <v>2412</v>
      </c>
      <c r="AC778" s="580"/>
      <c r="AD778" s="292">
        <f t="shared" si="193"/>
        <v>99.1</v>
      </c>
      <c r="AE778" s="476">
        <f t="shared" si="194"/>
        <v>0</v>
      </c>
      <c r="AF778" s="476">
        <f t="shared" si="194"/>
        <v>0</v>
      </c>
      <c r="AG778" s="554"/>
      <c r="AH778" s="554"/>
      <c r="AI778" s="456"/>
    </row>
    <row r="779" spans="24:35" x14ac:dyDescent="0.25">
      <c r="X779" s="623" t="s">
        <v>924</v>
      </c>
      <c r="Y779" s="246" t="s">
        <v>1038</v>
      </c>
      <c r="Z779" s="235" t="s">
        <v>205</v>
      </c>
      <c r="AA779" s="235" t="s">
        <v>567</v>
      </c>
      <c r="AB779" s="550" t="s">
        <v>2412</v>
      </c>
      <c r="AC779" s="580" t="s">
        <v>2242</v>
      </c>
      <c r="AD779" s="292">
        <f t="shared" si="193"/>
        <v>99.1</v>
      </c>
      <c r="AE779" s="476">
        <f t="shared" si="193"/>
        <v>0</v>
      </c>
      <c r="AF779" s="476">
        <f t="shared" si="193"/>
        <v>0</v>
      </c>
      <c r="AG779" s="554"/>
      <c r="AH779" s="554"/>
      <c r="AI779" s="456"/>
    </row>
    <row r="780" spans="24:35" x14ac:dyDescent="0.25">
      <c r="X780" s="623" t="s">
        <v>1320</v>
      </c>
      <c r="Y780" s="246" t="s">
        <v>1038</v>
      </c>
      <c r="Z780" s="235" t="s">
        <v>205</v>
      </c>
      <c r="AA780" s="235" t="s">
        <v>567</v>
      </c>
      <c r="AB780" s="550" t="s">
        <v>2412</v>
      </c>
      <c r="AC780" s="580" t="s">
        <v>2394</v>
      </c>
      <c r="AD780" s="292">
        <v>99.1</v>
      </c>
      <c r="AE780" s="476">
        <v>0</v>
      </c>
      <c r="AF780" s="476">
        <v>0</v>
      </c>
      <c r="AG780" s="554"/>
      <c r="AH780" s="554"/>
      <c r="AI780" s="456"/>
    </row>
    <row r="781" spans="24:35" x14ac:dyDescent="0.25">
      <c r="X781" s="520" t="s">
        <v>1813</v>
      </c>
      <c r="Y781" s="246">
        <v>901</v>
      </c>
      <c r="Z781" s="236" t="s">
        <v>205</v>
      </c>
      <c r="AA781" s="235" t="s">
        <v>193</v>
      </c>
      <c r="AB781" s="249"/>
      <c r="AC781" s="238"/>
      <c r="AD781" s="292">
        <f t="shared" ref="AD781:AF782" si="195">AD782</f>
        <v>72099.899999999994</v>
      </c>
      <c r="AE781" s="476">
        <f t="shared" si="195"/>
        <v>72169.899999999994</v>
      </c>
      <c r="AF781" s="476">
        <f t="shared" si="195"/>
        <v>72169.899999999994</v>
      </c>
      <c r="AG781" s="554"/>
      <c r="AH781" s="554"/>
      <c r="AI781" s="456"/>
    </row>
    <row r="782" spans="24:35" x14ac:dyDescent="0.25">
      <c r="X782" s="521" t="s">
        <v>2022</v>
      </c>
      <c r="Y782" s="246">
        <v>901</v>
      </c>
      <c r="Z782" s="236" t="s">
        <v>205</v>
      </c>
      <c r="AA782" s="235" t="s">
        <v>193</v>
      </c>
      <c r="AB782" s="249" t="s">
        <v>1760</v>
      </c>
      <c r="AC782" s="238"/>
      <c r="AD782" s="292">
        <f t="shared" si="195"/>
        <v>72099.899999999994</v>
      </c>
      <c r="AE782" s="476">
        <f t="shared" si="195"/>
        <v>72169.899999999994</v>
      </c>
      <c r="AF782" s="476">
        <f t="shared" si="195"/>
        <v>72169.899999999994</v>
      </c>
      <c r="AG782" s="554"/>
      <c r="AH782" s="554"/>
      <c r="AI782" s="456"/>
    </row>
    <row r="783" spans="24:35" ht="31.5" x14ac:dyDescent="0.25">
      <c r="X783" s="521" t="s">
        <v>2039</v>
      </c>
      <c r="Y783" s="246">
        <v>901</v>
      </c>
      <c r="Z783" s="236" t="s">
        <v>205</v>
      </c>
      <c r="AA783" s="235" t="s">
        <v>193</v>
      </c>
      <c r="AB783" s="443" t="s">
        <v>1779</v>
      </c>
      <c r="AC783" s="581"/>
      <c r="AD783" s="746">
        <f>AD784+AD792</f>
        <v>72099.899999999994</v>
      </c>
      <c r="AE783" s="489">
        <f>AE784+AE792</f>
        <v>72169.899999999994</v>
      </c>
      <c r="AF783" s="489">
        <f>AF784+AF792</f>
        <v>72169.899999999994</v>
      </c>
      <c r="AG783" s="648"/>
      <c r="AH783" s="648"/>
      <c r="AI783" s="456"/>
    </row>
    <row r="784" spans="24:35" ht="31.5" x14ac:dyDescent="0.25">
      <c r="X784" s="521" t="s">
        <v>2040</v>
      </c>
      <c r="Y784" s="246">
        <v>901</v>
      </c>
      <c r="Z784" s="236" t="s">
        <v>205</v>
      </c>
      <c r="AA784" s="235" t="s">
        <v>193</v>
      </c>
      <c r="AB784" s="443" t="s">
        <v>2185</v>
      </c>
      <c r="AC784" s="581"/>
      <c r="AD784" s="746">
        <f>AD785</f>
        <v>59907.5</v>
      </c>
      <c r="AE784" s="489">
        <f>AE785</f>
        <v>37392.800000000003</v>
      </c>
      <c r="AF784" s="489">
        <f>AF785</f>
        <v>37392.800000000003</v>
      </c>
      <c r="AG784" s="648"/>
      <c r="AH784" s="648"/>
      <c r="AI784" s="456"/>
    </row>
    <row r="785" spans="24:35" ht="31.5" x14ac:dyDescent="0.25">
      <c r="X785" s="521" t="s">
        <v>2041</v>
      </c>
      <c r="Y785" s="246">
        <v>901</v>
      </c>
      <c r="Z785" s="236" t="s">
        <v>205</v>
      </c>
      <c r="AA785" s="235" t="s">
        <v>193</v>
      </c>
      <c r="AB785" s="443" t="s">
        <v>2186</v>
      </c>
      <c r="AC785" s="598"/>
      <c r="AD785" s="746">
        <f>AD786+AD789</f>
        <v>59907.5</v>
      </c>
      <c r="AE785" s="489">
        <f>AE786+AE789</f>
        <v>37392.800000000003</v>
      </c>
      <c r="AF785" s="489">
        <f>AF786+AF789</f>
        <v>37392.800000000003</v>
      </c>
      <c r="AG785" s="648"/>
      <c r="AH785" s="648"/>
      <c r="AI785" s="456"/>
    </row>
    <row r="786" spans="24:35" ht="31.5" x14ac:dyDescent="0.25">
      <c r="X786" s="520" t="s">
        <v>2187</v>
      </c>
      <c r="Y786" s="246">
        <v>901</v>
      </c>
      <c r="Z786" s="236" t="s">
        <v>205</v>
      </c>
      <c r="AA786" s="235" t="s">
        <v>193</v>
      </c>
      <c r="AB786" s="443" t="s">
        <v>2189</v>
      </c>
      <c r="AC786" s="599"/>
      <c r="AD786" s="746">
        <f t="shared" ref="AD786:AF787" si="196">AD787</f>
        <v>59737.5</v>
      </c>
      <c r="AE786" s="489">
        <f t="shared" si="196"/>
        <v>37152.800000000003</v>
      </c>
      <c r="AF786" s="489">
        <f t="shared" si="196"/>
        <v>37152.800000000003</v>
      </c>
      <c r="AG786" s="648"/>
      <c r="AH786" s="648"/>
      <c r="AI786" s="456"/>
    </row>
    <row r="787" spans="24:35" ht="31.5" x14ac:dyDescent="0.25">
      <c r="X787" s="520" t="s">
        <v>1343</v>
      </c>
      <c r="Y787" s="246">
        <v>901</v>
      </c>
      <c r="Z787" s="236" t="s">
        <v>205</v>
      </c>
      <c r="AA787" s="235" t="s">
        <v>193</v>
      </c>
      <c r="AB787" s="443" t="s">
        <v>2189</v>
      </c>
      <c r="AC787" s="238">
        <v>600</v>
      </c>
      <c r="AD787" s="746">
        <f t="shared" si="196"/>
        <v>59737.5</v>
      </c>
      <c r="AE787" s="489">
        <f t="shared" si="196"/>
        <v>37152.800000000003</v>
      </c>
      <c r="AF787" s="489">
        <f t="shared" si="196"/>
        <v>37152.800000000003</v>
      </c>
      <c r="AG787" s="648"/>
      <c r="AH787" s="648"/>
      <c r="AI787" s="456"/>
    </row>
    <row r="788" spans="24:35" x14ac:dyDescent="0.25">
      <c r="X788" s="520" t="s">
        <v>1344</v>
      </c>
      <c r="Y788" s="246">
        <v>901</v>
      </c>
      <c r="Z788" s="236" t="s">
        <v>205</v>
      </c>
      <c r="AA788" s="235" t="s">
        <v>193</v>
      </c>
      <c r="AB788" s="443" t="s">
        <v>2189</v>
      </c>
      <c r="AC788" s="238">
        <v>610</v>
      </c>
      <c r="AD788" s="292">
        <f>37152.8+5469.2+17115.5</f>
        <v>59737.5</v>
      </c>
      <c r="AE788" s="476">
        <v>37152.800000000003</v>
      </c>
      <c r="AF788" s="476">
        <v>37152.800000000003</v>
      </c>
      <c r="AG788" s="648"/>
      <c r="AH788" s="648"/>
      <c r="AI788" s="456"/>
    </row>
    <row r="789" spans="24:35" ht="31.5" x14ac:dyDescent="0.25">
      <c r="X789" s="520" t="s">
        <v>2188</v>
      </c>
      <c r="Y789" s="246">
        <v>901</v>
      </c>
      <c r="Z789" s="236" t="s">
        <v>205</v>
      </c>
      <c r="AA789" s="235" t="s">
        <v>193</v>
      </c>
      <c r="AB789" s="443" t="s">
        <v>2190</v>
      </c>
      <c r="AC789" s="238"/>
      <c r="AD789" s="292">
        <f t="shared" ref="AD789:AF790" si="197">AD790</f>
        <v>170</v>
      </c>
      <c r="AE789" s="476">
        <f t="shared" si="197"/>
        <v>240</v>
      </c>
      <c r="AF789" s="476">
        <f t="shared" si="197"/>
        <v>240</v>
      </c>
      <c r="AG789" s="554"/>
      <c r="AH789" s="554"/>
      <c r="AI789" s="456"/>
    </row>
    <row r="790" spans="24:35" ht="31.5" x14ac:dyDescent="0.25">
      <c r="X790" s="520" t="s">
        <v>1343</v>
      </c>
      <c r="Y790" s="246">
        <v>901</v>
      </c>
      <c r="Z790" s="236" t="s">
        <v>205</v>
      </c>
      <c r="AA790" s="235" t="s">
        <v>193</v>
      </c>
      <c r="AB790" s="443" t="s">
        <v>2190</v>
      </c>
      <c r="AC790" s="238">
        <v>600</v>
      </c>
      <c r="AD790" s="292">
        <f t="shared" si="197"/>
        <v>170</v>
      </c>
      <c r="AE790" s="476">
        <f t="shared" si="197"/>
        <v>240</v>
      </c>
      <c r="AF790" s="476">
        <f t="shared" si="197"/>
        <v>240</v>
      </c>
      <c r="AG790" s="554"/>
      <c r="AH790" s="554"/>
      <c r="AI790" s="456"/>
    </row>
    <row r="791" spans="24:35" x14ac:dyDescent="0.25">
      <c r="X791" s="520" t="s">
        <v>1344</v>
      </c>
      <c r="Y791" s="246">
        <v>901</v>
      </c>
      <c r="Z791" s="236" t="s">
        <v>205</v>
      </c>
      <c r="AA791" s="235" t="s">
        <v>193</v>
      </c>
      <c r="AB791" s="443" t="s">
        <v>2190</v>
      </c>
      <c r="AC791" s="238">
        <v>610</v>
      </c>
      <c r="AD791" s="292">
        <f>240-70</f>
        <v>170</v>
      </c>
      <c r="AE791" s="476">
        <v>240</v>
      </c>
      <c r="AF791" s="476">
        <v>240</v>
      </c>
      <c r="AG791" s="554"/>
      <c r="AH791" s="554"/>
      <c r="AI791" s="456"/>
    </row>
    <row r="792" spans="24:35" ht="31.5" x14ac:dyDescent="0.25">
      <c r="X792" s="521" t="s">
        <v>2042</v>
      </c>
      <c r="Y792" s="246">
        <v>901</v>
      </c>
      <c r="Z792" s="236" t="s">
        <v>205</v>
      </c>
      <c r="AA792" s="235" t="s">
        <v>193</v>
      </c>
      <c r="AB792" s="443" t="s">
        <v>2287</v>
      </c>
      <c r="AC792" s="238"/>
      <c r="AD792" s="292">
        <f>AD793</f>
        <v>12192.399999999998</v>
      </c>
      <c r="AE792" s="476">
        <f>AE793</f>
        <v>34777.1</v>
      </c>
      <c r="AF792" s="476">
        <f>AF793</f>
        <v>34777.1</v>
      </c>
      <c r="AG792" s="554"/>
      <c r="AH792" s="554"/>
      <c r="AI792" s="456"/>
    </row>
    <row r="793" spans="24:35" ht="31.5" x14ac:dyDescent="0.25">
      <c r="X793" s="522" t="s">
        <v>1840</v>
      </c>
      <c r="Y793" s="246">
        <v>901</v>
      </c>
      <c r="Z793" s="236" t="s">
        <v>205</v>
      </c>
      <c r="AA793" s="235" t="s">
        <v>193</v>
      </c>
      <c r="AB793" s="443" t="s">
        <v>2288</v>
      </c>
      <c r="AC793" s="238"/>
      <c r="AD793" s="292">
        <f>AD794+AD798</f>
        <v>12192.399999999998</v>
      </c>
      <c r="AE793" s="476">
        <f>AE794+AE798</f>
        <v>34777.1</v>
      </c>
      <c r="AF793" s="476">
        <f>AF794+AF798</f>
        <v>34777.1</v>
      </c>
      <c r="AG793" s="554"/>
      <c r="AH793" s="554"/>
      <c r="AI793" s="456"/>
    </row>
    <row r="794" spans="24:35" ht="31.5" x14ac:dyDescent="0.25">
      <c r="X794" s="520" t="s">
        <v>1343</v>
      </c>
      <c r="Y794" s="246">
        <v>901</v>
      </c>
      <c r="Z794" s="236" t="s">
        <v>205</v>
      </c>
      <c r="AA794" s="235" t="s">
        <v>193</v>
      </c>
      <c r="AB794" s="443" t="s">
        <v>2288</v>
      </c>
      <c r="AC794" s="238">
        <v>600</v>
      </c>
      <c r="AD794" s="292">
        <f>AD795+AD796+AD797</f>
        <v>11792.399999999998</v>
      </c>
      <c r="AE794" s="476">
        <f>AE795+AE796+AE797</f>
        <v>34377.1</v>
      </c>
      <c r="AF794" s="476">
        <f>AF795+AF796+AF797</f>
        <v>34377.1</v>
      </c>
      <c r="AG794" s="554"/>
      <c r="AH794" s="554"/>
      <c r="AI794" s="456"/>
    </row>
    <row r="795" spans="24:35" x14ac:dyDescent="0.25">
      <c r="X795" s="520" t="s">
        <v>1344</v>
      </c>
      <c r="Y795" s="246">
        <v>901</v>
      </c>
      <c r="Z795" s="236" t="s">
        <v>205</v>
      </c>
      <c r="AA795" s="235" t="s">
        <v>193</v>
      </c>
      <c r="AB795" s="443" t="s">
        <v>2288</v>
      </c>
      <c r="AC795" s="238">
        <v>610</v>
      </c>
      <c r="AD795" s="292">
        <f>33877.1-5469.2-723.4+723.4-17115.5</f>
        <v>11292.399999999998</v>
      </c>
      <c r="AE795" s="476">
        <f>33877.1-793.6+793.6</f>
        <v>33877.1</v>
      </c>
      <c r="AF795" s="476">
        <f>33877.1-1293+1293</f>
        <v>33877.1</v>
      </c>
      <c r="AG795" s="554"/>
      <c r="AH795" s="554"/>
      <c r="AI795" s="456"/>
    </row>
    <row r="796" spans="24:35" x14ac:dyDescent="0.25">
      <c r="X796" s="520" t="s">
        <v>1801</v>
      </c>
      <c r="Y796" s="246">
        <v>901</v>
      </c>
      <c r="Z796" s="236" t="s">
        <v>205</v>
      </c>
      <c r="AA796" s="235" t="s">
        <v>193</v>
      </c>
      <c r="AB796" s="443" t="s">
        <v>2288</v>
      </c>
      <c r="AC796" s="238">
        <v>620</v>
      </c>
      <c r="AD796" s="292">
        <v>250</v>
      </c>
      <c r="AE796" s="476">
        <v>250</v>
      </c>
      <c r="AF796" s="476">
        <v>250</v>
      </c>
      <c r="AG796" s="554"/>
      <c r="AH796" s="554"/>
      <c r="AI796" s="456"/>
    </row>
    <row r="797" spans="24:35" ht="47.25" x14ac:dyDescent="0.25">
      <c r="X797" s="638" t="s">
        <v>2301</v>
      </c>
      <c r="Y797" s="246">
        <v>901</v>
      </c>
      <c r="Z797" s="236" t="s">
        <v>205</v>
      </c>
      <c r="AA797" s="235" t="s">
        <v>193</v>
      </c>
      <c r="AB797" s="443" t="s">
        <v>2288</v>
      </c>
      <c r="AC797" s="238">
        <v>630</v>
      </c>
      <c r="AD797" s="292">
        <v>250</v>
      </c>
      <c r="AE797" s="476">
        <v>250</v>
      </c>
      <c r="AF797" s="476">
        <v>250</v>
      </c>
      <c r="AG797" s="554"/>
      <c r="AH797" s="554"/>
      <c r="AI797" s="456"/>
    </row>
    <row r="798" spans="24:35" x14ac:dyDescent="0.25">
      <c r="X798" s="520" t="s">
        <v>924</v>
      </c>
      <c r="Y798" s="246">
        <v>901</v>
      </c>
      <c r="Z798" s="236" t="s">
        <v>205</v>
      </c>
      <c r="AA798" s="235" t="s">
        <v>193</v>
      </c>
      <c r="AB798" s="443" t="s">
        <v>2288</v>
      </c>
      <c r="AC798" s="238">
        <v>800</v>
      </c>
      <c r="AD798" s="292">
        <f>AD799</f>
        <v>400</v>
      </c>
      <c r="AE798" s="476">
        <f>AE799</f>
        <v>400</v>
      </c>
      <c r="AF798" s="476">
        <f>AF799</f>
        <v>400</v>
      </c>
      <c r="AG798" s="554"/>
      <c r="AH798" s="554"/>
      <c r="AI798" s="456"/>
    </row>
    <row r="799" spans="24:35" ht="31.5" x14ac:dyDescent="0.25">
      <c r="X799" s="638" t="s">
        <v>1783</v>
      </c>
      <c r="Y799" s="246">
        <v>901</v>
      </c>
      <c r="Z799" s="236" t="s">
        <v>205</v>
      </c>
      <c r="AA799" s="235" t="s">
        <v>193</v>
      </c>
      <c r="AB799" s="443" t="s">
        <v>2288</v>
      </c>
      <c r="AC799" s="238">
        <v>810</v>
      </c>
      <c r="AD799" s="292">
        <v>400</v>
      </c>
      <c r="AE799" s="476">
        <v>400</v>
      </c>
      <c r="AF799" s="476">
        <v>400</v>
      </c>
      <c r="AG799" s="554"/>
      <c r="AH799" s="554"/>
      <c r="AI799" s="456"/>
    </row>
    <row r="800" spans="24:35" x14ac:dyDescent="0.25">
      <c r="X800" s="520" t="s">
        <v>1814</v>
      </c>
      <c r="Y800" s="246">
        <v>901</v>
      </c>
      <c r="Z800" s="235" t="s">
        <v>205</v>
      </c>
      <c r="AA800" s="235" t="s">
        <v>205</v>
      </c>
      <c r="AB800" s="249"/>
      <c r="AC800" s="238"/>
      <c r="AD800" s="292">
        <f t="shared" ref="AD800:AF802" si="198">AD801</f>
        <v>738</v>
      </c>
      <c r="AE800" s="476">
        <f t="shared" si="198"/>
        <v>490</v>
      </c>
      <c r="AF800" s="476">
        <f t="shared" si="198"/>
        <v>490</v>
      </c>
      <c r="AG800" s="554"/>
      <c r="AH800" s="554"/>
      <c r="AI800" s="456"/>
    </row>
    <row r="801" spans="24:35" ht="31.5" x14ac:dyDescent="0.25">
      <c r="X801" s="521" t="s">
        <v>2104</v>
      </c>
      <c r="Y801" s="246">
        <v>901</v>
      </c>
      <c r="Z801" s="235" t="s">
        <v>205</v>
      </c>
      <c r="AA801" s="235" t="s">
        <v>205</v>
      </c>
      <c r="AB801" s="443" t="s">
        <v>1806</v>
      </c>
      <c r="AC801" s="238"/>
      <c r="AD801" s="292">
        <f t="shared" si="198"/>
        <v>738</v>
      </c>
      <c r="AE801" s="476">
        <f t="shared" si="198"/>
        <v>490</v>
      </c>
      <c r="AF801" s="476">
        <f t="shared" si="198"/>
        <v>490</v>
      </c>
      <c r="AG801" s="554"/>
      <c r="AH801" s="554"/>
      <c r="AI801" s="456"/>
    </row>
    <row r="802" spans="24:35" x14ac:dyDescent="0.25">
      <c r="X802" s="521" t="s">
        <v>2113</v>
      </c>
      <c r="Y802" s="246">
        <v>901</v>
      </c>
      <c r="Z802" s="255" t="s">
        <v>205</v>
      </c>
      <c r="AA802" s="255" t="s">
        <v>205</v>
      </c>
      <c r="AB802" s="443" t="s">
        <v>2114</v>
      </c>
      <c r="AC802" s="238"/>
      <c r="AD802" s="292">
        <f t="shared" si="198"/>
        <v>738</v>
      </c>
      <c r="AE802" s="476">
        <f t="shared" si="198"/>
        <v>490</v>
      </c>
      <c r="AF802" s="476">
        <f t="shared" si="198"/>
        <v>490</v>
      </c>
      <c r="AG802" s="554"/>
      <c r="AH802" s="554"/>
      <c r="AI802" s="456"/>
    </row>
    <row r="803" spans="24:35" ht="63" x14ac:dyDescent="0.25">
      <c r="X803" s="529" t="s">
        <v>2115</v>
      </c>
      <c r="Y803" s="246">
        <v>901</v>
      </c>
      <c r="Z803" s="255" t="s">
        <v>205</v>
      </c>
      <c r="AA803" s="255" t="s">
        <v>205</v>
      </c>
      <c r="AB803" s="443" t="s">
        <v>2116</v>
      </c>
      <c r="AC803" s="238"/>
      <c r="AD803" s="292">
        <f t="shared" ref="AD803:AF805" si="199">AD804</f>
        <v>738</v>
      </c>
      <c r="AE803" s="476">
        <f t="shared" si="199"/>
        <v>490</v>
      </c>
      <c r="AF803" s="476">
        <f t="shared" si="199"/>
        <v>490</v>
      </c>
      <c r="AG803" s="554"/>
      <c r="AH803" s="554"/>
      <c r="AI803" s="456"/>
    </row>
    <row r="804" spans="24:35" ht="31.5" x14ac:dyDescent="0.25">
      <c r="X804" s="529" t="s">
        <v>2117</v>
      </c>
      <c r="Y804" s="246">
        <v>901</v>
      </c>
      <c r="Z804" s="235" t="s">
        <v>205</v>
      </c>
      <c r="AA804" s="235" t="s">
        <v>205</v>
      </c>
      <c r="AB804" s="443" t="s">
        <v>2118</v>
      </c>
      <c r="AC804" s="238"/>
      <c r="AD804" s="292">
        <f t="shared" si="199"/>
        <v>738</v>
      </c>
      <c r="AE804" s="476">
        <f t="shared" si="199"/>
        <v>490</v>
      </c>
      <c r="AF804" s="476">
        <f t="shared" si="199"/>
        <v>490</v>
      </c>
      <c r="AG804" s="554"/>
      <c r="AH804" s="554"/>
      <c r="AI804" s="456"/>
    </row>
    <row r="805" spans="24:35" ht="31.5" x14ac:dyDescent="0.25">
      <c r="X805" s="520" t="s">
        <v>1343</v>
      </c>
      <c r="Y805" s="246">
        <v>901</v>
      </c>
      <c r="Z805" s="255" t="s">
        <v>205</v>
      </c>
      <c r="AA805" s="255" t="s">
        <v>205</v>
      </c>
      <c r="AB805" s="443" t="s">
        <v>2118</v>
      </c>
      <c r="AC805" s="238">
        <v>600</v>
      </c>
      <c r="AD805" s="292">
        <f t="shared" si="199"/>
        <v>738</v>
      </c>
      <c r="AE805" s="476">
        <f t="shared" si="199"/>
        <v>490</v>
      </c>
      <c r="AF805" s="476">
        <f t="shared" si="199"/>
        <v>490</v>
      </c>
      <c r="AG805" s="554"/>
      <c r="AH805" s="554"/>
      <c r="AI805" s="456"/>
    </row>
    <row r="806" spans="24:35" x14ac:dyDescent="0.25">
      <c r="X806" s="520" t="s">
        <v>1344</v>
      </c>
      <c r="Y806" s="246">
        <v>901</v>
      </c>
      <c r="Z806" s="255" t="s">
        <v>205</v>
      </c>
      <c r="AA806" s="255" t="s">
        <v>205</v>
      </c>
      <c r="AB806" s="443" t="s">
        <v>2118</v>
      </c>
      <c r="AC806" s="238">
        <v>610</v>
      </c>
      <c r="AD806" s="292">
        <f>490+248</f>
        <v>738</v>
      </c>
      <c r="AE806" s="476">
        <v>490</v>
      </c>
      <c r="AF806" s="476">
        <v>490</v>
      </c>
      <c r="AG806" s="554"/>
      <c r="AH806" s="554"/>
      <c r="AI806" s="456"/>
    </row>
    <row r="807" spans="24:35" x14ac:dyDescent="0.25">
      <c r="X807" s="520" t="s">
        <v>840</v>
      </c>
      <c r="Y807" s="246">
        <v>901</v>
      </c>
      <c r="Z807" s="235" t="s">
        <v>205</v>
      </c>
      <c r="AA807" s="235" t="s">
        <v>406</v>
      </c>
      <c r="AB807" s="249"/>
      <c r="AC807" s="238"/>
      <c r="AD807" s="292">
        <f>AD808+AD831+AD841+AD847</f>
        <v>23266.600000000002</v>
      </c>
      <c r="AE807" s="476">
        <f>AE808+AE831+AE841+AE847</f>
        <v>38072.300000000003</v>
      </c>
      <c r="AF807" s="476">
        <f>AF808+AF831+AF841+AF847</f>
        <v>18303.900000000001</v>
      </c>
      <c r="AG807" s="554"/>
      <c r="AH807" s="554"/>
      <c r="AI807" s="456"/>
    </row>
    <row r="808" spans="24:35" x14ac:dyDescent="0.25">
      <c r="X808" s="521" t="s">
        <v>2022</v>
      </c>
      <c r="Y808" s="246">
        <v>901</v>
      </c>
      <c r="Z808" s="235" t="s">
        <v>205</v>
      </c>
      <c r="AA808" s="235" t="s">
        <v>406</v>
      </c>
      <c r="AB808" s="249" t="s">
        <v>1760</v>
      </c>
      <c r="AC808" s="577"/>
      <c r="AD808" s="292">
        <f>AD809+AD814</f>
        <v>17489.400000000001</v>
      </c>
      <c r="AE808" s="476">
        <f>AE809+AE814</f>
        <v>16889.400000000001</v>
      </c>
      <c r="AF808" s="476">
        <f>AF809+AF814</f>
        <v>16889.400000000001</v>
      </c>
      <c r="AG808" s="554"/>
      <c r="AH808" s="554"/>
      <c r="AI808" s="456"/>
    </row>
    <row r="809" spans="24:35" x14ac:dyDescent="0.25">
      <c r="X809" s="521" t="s">
        <v>2023</v>
      </c>
      <c r="Y809" s="246">
        <v>901</v>
      </c>
      <c r="Z809" s="235" t="s">
        <v>205</v>
      </c>
      <c r="AA809" s="235" t="s">
        <v>406</v>
      </c>
      <c r="AB809" s="249" t="s">
        <v>1778</v>
      </c>
      <c r="AC809" s="577"/>
      <c r="AD809" s="292">
        <f t="shared" ref="AD809:AF810" si="200">AD810</f>
        <v>857</v>
      </c>
      <c r="AE809" s="476">
        <f t="shared" si="200"/>
        <v>857</v>
      </c>
      <c r="AF809" s="476">
        <f t="shared" si="200"/>
        <v>857</v>
      </c>
      <c r="AG809" s="554"/>
      <c r="AH809" s="554"/>
      <c r="AI809" s="456"/>
    </row>
    <row r="810" spans="24:35" ht="31.5" x14ac:dyDescent="0.25">
      <c r="X810" s="521" t="s">
        <v>2024</v>
      </c>
      <c r="Y810" s="246">
        <v>901</v>
      </c>
      <c r="Z810" s="235" t="s">
        <v>205</v>
      </c>
      <c r="AA810" s="235" t="s">
        <v>406</v>
      </c>
      <c r="AB810" s="443" t="s">
        <v>1792</v>
      </c>
      <c r="AC810" s="577"/>
      <c r="AD810" s="292">
        <f t="shared" si="200"/>
        <v>857</v>
      </c>
      <c r="AE810" s="476">
        <f t="shared" si="200"/>
        <v>857</v>
      </c>
      <c r="AF810" s="476">
        <f t="shared" si="200"/>
        <v>857</v>
      </c>
      <c r="AG810" s="554"/>
      <c r="AH810" s="554"/>
      <c r="AI810" s="456"/>
    </row>
    <row r="811" spans="24:35" ht="47.25" x14ac:dyDescent="0.25">
      <c r="X811" s="520" t="s">
        <v>1785</v>
      </c>
      <c r="Y811" s="246">
        <v>901</v>
      </c>
      <c r="Z811" s="235" t="s">
        <v>205</v>
      </c>
      <c r="AA811" s="235" t="s">
        <v>406</v>
      </c>
      <c r="AB811" s="443" t="s">
        <v>2167</v>
      </c>
      <c r="AC811" s="238"/>
      <c r="AD811" s="292">
        <f t="shared" ref="AD811:AF812" si="201">AD812</f>
        <v>857</v>
      </c>
      <c r="AE811" s="476">
        <f t="shared" si="201"/>
        <v>857</v>
      </c>
      <c r="AF811" s="476">
        <f t="shared" si="201"/>
        <v>857</v>
      </c>
      <c r="AG811" s="554"/>
      <c r="AH811" s="554"/>
      <c r="AI811" s="456"/>
    </row>
    <row r="812" spans="24:35" ht="31.5" x14ac:dyDescent="0.25">
      <c r="X812" s="520" t="s">
        <v>1343</v>
      </c>
      <c r="Y812" s="246" t="s">
        <v>1038</v>
      </c>
      <c r="Z812" s="235" t="s">
        <v>205</v>
      </c>
      <c r="AA812" s="235" t="s">
        <v>406</v>
      </c>
      <c r="AB812" s="443" t="s">
        <v>2167</v>
      </c>
      <c r="AC812" s="238">
        <v>600</v>
      </c>
      <c r="AD812" s="292">
        <f t="shared" si="201"/>
        <v>857</v>
      </c>
      <c r="AE812" s="476">
        <f t="shared" si="201"/>
        <v>857</v>
      </c>
      <c r="AF812" s="476">
        <f t="shared" si="201"/>
        <v>857</v>
      </c>
      <c r="AG812" s="554"/>
      <c r="AH812" s="554"/>
      <c r="AI812" s="456"/>
    </row>
    <row r="813" spans="24:35" x14ac:dyDescent="0.25">
      <c r="X813" s="520" t="s">
        <v>1344</v>
      </c>
      <c r="Y813" s="246" t="s">
        <v>1038</v>
      </c>
      <c r="Z813" s="235" t="s">
        <v>205</v>
      </c>
      <c r="AA813" s="235" t="s">
        <v>406</v>
      </c>
      <c r="AB813" s="443" t="s">
        <v>2167</v>
      </c>
      <c r="AC813" s="238">
        <v>610</v>
      </c>
      <c r="AD813" s="292">
        <v>857</v>
      </c>
      <c r="AE813" s="476">
        <v>857</v>
      </c>
      <c r="AF813" s="476">
        <v>857</v>
      </c>
      <c r="AG813" s="554"/>
      <c r="AH813" s="554"/>
      <c r="AI813" s="456"/>
    </row>
    <row r="814" spans="24:35" x14ac:dyDescent="0.25">
      <c r="X814" s="521" t="s">
        <v>2292</v>
      </c>
      <c r="Y814" s="246" t="s">
        <v>1038</v>
      </c>
      <c r="Z814" s="235" t="s">
        <v>205</v>
      </c>
      <c r="AA814" s="235" t="s">
        <v>406</v>
      </c>
      <c r="AB814" s="443" t="s">
        <v>2128</v>
      </c>
      <c r="AC814" s="238"/>
      <c r="AD814" s="292">
        <f>AD815</f>
        <v>16632.400000000001</v>
      </c>
      <c r="AE814" s="476">
        <f>AE815</f>
        <v>16032.4</v>
      </c>
      <c r="AF814" s="476">
        <f>AF815</f>
        <v>16032.4</v>
      </c>
      <c r="AG814" s="554"/>
      <c r="AH814" s="554"/>
      <c r="AI814" s="456"/>
    </row>
    <row r="815" spans="24:35" ht="31.5" x14ac:dyDescent="0.25">
      <c r="X815" s="521" t="s">
        <v>2043</v>
      </c>
      <c r="Y815" s="246" t="s">
        <v>1038</v>
      </c>
      <c r="Z815" s="235" t="s">
        <v>205</v>
      </c>
      <c r="AA815" s="235" t="s">
        <v>406</v>
      </c>
      <c r="AB815" s="443" t="s">
        <v>2127</v>
      </c>
      <c r="AC815" s="238"/>
      <c r="AD815" s="292">
        <f>AD816+AD828</f>
        <v>16632.400000000001</v>
      </c>
      <c r="AE815" s="476">
        <f>AE816+AE828</f>
        <v>16032.4</v>
      </c>
      <c r="AF815" s="476">
        <f>AF816+AF828</f>
        <v>16032.4</v>
      </c>
      <c r="AG815" s="554"/>
      <c r="AH815" s="554"/>
      <c r="AI815" s="456"/>
    </row>
    <row r="816" spans="24:35" x14ac:dyDescent="0.25">
      <c r="X816" s="522" t="s">
        <v>1924</v>
      </c>
      <c r="Y816" s="246" t="s">
        <v>1038</v>
      </c>
      <c r="Z816" s="235" t="s">
        <v>205</v>
      </c>
      <c r="AA816" s="235" t="s">
        <v>406</v>
      </c>
      <c r="AB816" s="443" t="s">
        <v>2191</v>
      </c>
      <c r="AC816" s="238"/>
      <c r="AD816" s="292">
        <f>AD817+AD822+AD825</f>
        <v>16444.5</v>
      </c>
      <c r="AE816" s="476">
        <f>AE817+AE822+AE825</f>
        <v>15844.5</v>
      </c>
      <c r="AF816" s="476">
        <f>AF817+AF822+AF825</f>
        <v>15844.5</v>
      </c>
      <c r="AG816" s="554"/>
      <c r="AH816" s="554"/>
      <c r="AI816" s="456"/>
    </row>
    <row r="817" spans="24:35" ht="31.5" x14ac:dyDescent="0.25">
      <c r="X817" s="520" t="s">
        <v>1925</v>
      </c>
      <c r="Y817" s="246" t="s">
        <v>1038</v>
      </c>
      <c r="Z817" s="235" t="s">
        <v>205</v>
      </c>
      <c r="AA817" s="235" t="s">
        <v>406</v>
      </c>
      <c r="AB817" s="443" t="s">
        <v>2192</v>
      </c>
      <c r="AC817" s="238"/>
      <c r="AD817" s="292">
        <f>AD818+AD820</f>
        <v>1830.1</v>
      </c>
      <c r="AE817" s="476">
        <f>AE818+AE820</f>
        <v>1230.0999999999999</v>
      </c>
      <c r="AF817" s="476">
        <f>AF818+AF820</f>
        <v>1230.0999999999999</v>
      </c>
      <c r="AG817" s="554"/>
      <c r="AH817" s="554"/>
      <c r="AI817" s="456"/>
    </row>
    <row r="818" spans="24:35" x14ac:dyDescent="0.25">
      <c r="X818" s="520" t="s">
        <v>1782</v>
      </c>
      <c r="Y818" s="246" t="s">
        <v>1038</v>
      </c>
      <c r="Z818" s="235" t="s">
        <v>205</v>
      </c>
      <c r="AA818" s="235" t="s">
        <v>406</v>
      </c>
      <c r="AB818" s="443" t="s">
        <v>2192</v>
      </c>
      <c r="AC818" s="238">
        <v>200</v>
      </c>
      <c r="AD818" s="292">
        <f>AD819</f>
        <v>1818.1</v>
      </c>
      <c r="AE818" s="476">
        <f>AE819</f>
        <v>1230.0999999999999</v>
      </c>
      <c r="AF818" s="476">
        <f>AF819</f>
        <v>1230.0999999999999</v>
      </c>
      <c r="AG818" s="554"/>
      <c r="AH818" s="554"/>
      <c r="AI818" s="456"/>
    </row>
    <row r="819" spans="24:35" ht="31.5" x14ac:dyDescent="0.25">
      <c r="X819" s="520" t="s">
        <v>1274</v>
      </c>
      <c r="Y819" s="246" t="s">
        <v>1038</v>
      </c>
      <c r="Z819" s="235" t="s">
        <v>205</v>
      </c>
      <c r="AA819" s="235" t="s">
        <v>406</v>
      </c>
      <c r="AB819" s="443" t="s">
        <v>2192</v>
      </c>
      <c r="AC819" s="238">
        <v>240</v>
      </c>
      <c r="AD819" s="292">
        <f>1230.1-12+600</f>
        <v>1818.1</v>
      </c>
      <c r="AE819" s="476">
        <v>1230.0999999999999</v>
      </c>
      <c r="AF819" s="476">
        <v>1230.0999999999999</v>
      </c>
      <c r="AG819" s="554"/>
      <c r="AH819" s="554"/>
      <c r="AI819" s="456"/>
    </row>
    <row r="820" spans="24:35" x14ac:dyDescent="0.25">
      <c r="X820" s="520" t="s">
        <v>924</v>
      </c>
      <c r="Y820" s="246" t="s">
        <v>1038</v>
      </c>
      <c r="Z820" s="235" t="s">
        <v>205</v>
      </c>
      <c r="AA820" s="235" t="s">
        <v>406</v>
      </c>
      <c r="AB820" s="443" t="s">
        <v>2192</v>
      </c>
      <c r="AC820" s="238">
        <v>800</v>
      </c>
      <c r="AD820" s="292">
        <f>AD821</f>
        <v>12</v>
      </c>
      <c r="AE820" s="476">
        <f>AE821</f>
        <v>0</v>
      </c>
      <c r="AF820" s="476">
        <f>AF821</f>
        <v>0</v>
      </c>
      <c r="AG820" s="554"/>
      <c r="AH820" s="554"/>
      <c r="AI820" s="456"/>
    </row>
    <row r="821" spans="24:35" x14ac:dyDescent="0.25">
      <c r="X821" s="520" t="s">
        <v>1320</v>
      </c>
      <c r="Y821" s="246" t="s">
        <v>1038</v>
      </c>
      <c r="Z821" s="235" t="s">
        <v>205</v>
      </c>
      <c r="AA821" s="235" t="s">
        <v>406</v>
      </c>
      <c r="AB821" s="443" t="s">
        <v>2192</v>
      </c>
      <c r="AC821" s="238">
        <v>850</v>
      </c>
      <c r="AD821" s="292">
        <v>12</v>
      </c>
      <c r="AE821" s="476">
        <v>0</v>
      </c>
      <c r="AF821" s="476">
        <v>0</v>
      </c>
      <c r="AG821" s="554"/>
      <c r="AH821" s="554"/>
      <c r="AI821" s="456"/>
    </row>
    <row r="822" spans="24:35" ht="31.5" x14ac:dyDescent="0.25">
      <c r="X822" s="515" t="s">
        <v>2247</v>
      </c>
      <c r="Y822" s="246" t="s">
        <v>1038</v>
      </c>
      <c r="Z822" s="235" t="s">
        <v>205</v>
      </c>
      <c r="AA822" s="235" t="s">
        <v>406</v>
      </c>
      <c r="AB822" s="443" t="s">
        <v>2193</v>
      </c>
      <c r="AC822" s="238"/>
      <c r="AD822" s="292">
        <f t="shared" ref="AD822:AF823" si="202">AD823</f>
        <v>5977.5</v>
      </c>
      <c r="AE822" s="476">
        <f t="shared" si="202"/>
        <v>5977.5</v>
      </c>
      <c r="AF822" s="476">
        <f t="shared" si="202"/>
        <v>5977.5</v>
      </c>
      <c r="AG822" s="554"/>
      <c r="AH822" s="554"/>
      <c r="AI822" s="456"/>
    </row>
    <row r="823" spans="24:35" ht="47.25" x14ac:dyDescent="0.25">
      <c r="X823" s="520" t="s">
        <v>922</v>
      </c>
      <c r="Y823" s="246" t="s">
        <v>1038</v>
      </c>
      <c r="Z823" s="235" t="s">
        <v>205</v>
      </c>
      <c r="AA823" s="235" t="s">
        <v>406</v>
      </c>
      <c r="AB823" s="443" t="s">
        <v>2193</v>
      </c>
      <c r="AC823" s="238">
        <v>100</v>
      </c>
      <c r="AD823" s="292">
        <f t="shared" si="202"/>
        <v>5977.5</v>
      </c>
      <c r="AE823" s="476">
        <f t="shared" si="202"/>
        <v>5977.5</v>
      </c>
      <c r="AF823" s="476">
        <f t="shared" si="202"/>
        <v>5977.5</v>
      </c>
      <c r="AG823" s="554"/>
      <c r="AH823" s="554"/>
      <c r="AI823" s="456"/>
    </row>
    <row r="824" spans="24:35" x14ac:dyDescent="0.25">
      <c r="X824" s="520" t="s">
        <v>1748</v>
      </c>
      <c r="Y824" s="246" t="s">
        <v>1038</v>
      </c>
      <c r="Z824" s="235" t="s">
        <v>205</v>
      </c>
      <c r="AA824" s="235" t="s">
        <v>406</v>
      </c>
      <c r="AB824" s="443" t="s">
        <v>2193</v>
      </c>
      <c r="AC824" s="238">
        <v>120</v>
      </c>
      <c r="AD824" s="292">
        <v>5977.5</v>
      </c>
      <c r="AE824" s="476">
        <v>5977.5</v>
      </c>
      <c r="AF824" s="476">
        <v>5977.5</v>
      </c>
      <c r="AG824" s="554"/>
      <c r="AH824" s="554"/>
      <c r="AI824" s="456"/>
    </row>
    <row r="825" spans="24:35" ht="31.5" x14ac:dyDescent="0.25">
      <c r="X825" s="520" t="s">
        <v>2044</v>
      </c>
      <c r="Y825" s="246" t="s">
        <v>1038</v>
      </c>
      <c r="Z825" s="235" t="s">
        <v>205</v>
      </c>
      <c r="AA825" s="235" t="s">
        <v>406</v>
      </c>
      <c r="AB825" s="443" t="s">
        <v>2194</v>
      </c>
      <c r="AC825" s="238"/>
      <c r="AD825" s="292">
        <f t="shared" ref="AD825:AF826" si="203">AD826</f>
        <v>8636.9</v>
      </c>
      <c r="AE825" s="476">
        <f t="shared" si="203"/>
        <v>8636.9</v>
      </c>
      <c r="AF825" s="476">
        <f t="shared" si="203"/>
        <v>8636.9</v>
      </c>
      <c r="AG825" s="554"/>
      <c r="AH825" s="554"/>
      <c r="AI825" s="456"/>
    </row>
    <row r="826" spans="24:35" ht="47.25" x14ac:dyDescent="0.25">
      <c r="X826" s="520" t="s">
        <v>922</v>
      </c>
      <c r="Y826" s="246" t="s">
        <v>1038</v>
      </c>
      <c r="Z826" s="235" t="s">
        <v>205</v>
      </c>
      <c r="AA826" s="235" t="s">
        <v>406</v>
      </c>
      <c r="AB826" s="443" t="s">
        <v>2194</v>
      </c>
      <c r="AC826" s="238">
        <v>100</v>
      </c>
      <c r="AD826" s="292">
        <f t="shared" si="203"/>
        <v>8636.9</v>
      </c>
      <c r="AE826" s="476">
        <f t="shared" si="203"/>
        <v>8636.9</v>
      </c>
      <c r="AF826" s="476">
        <f t="shared" si="203"/>
        <v>8636.9</v>
      </c>
      <c r="AG826" s="554"/>
      <c r="AH826" s="554"/>
      <c r="AI826" s="456"/>
    </row>
    <row r="827" spans="24:35" x14ac:dyDescent="0.25">
      <c r="X827" s="520" t="s">
        <v>1748</v>
      </c>
      <c r="Y827" s="246" t="s">
        <v>1038</v>
      </c>
      <c r="Z827" s="235" t="s">
        <v>205</v>
      </c>
      <c r="AA827" s="235" t="s">
        <v>406</v>
      </c>
      <c r="AB827" s="443" t="s">
        <v>2194</v>
      </c>
      <c r="AC827" s="238">
        <v>120</v>
      </c>
      <c r="AD827" s="292">
        <v>8636.9</v>
      </c>
      <c r="AE827" s="476">
        <v>8636.9</v>
      </c>
      <c r="AF827" s="476">
        <v>8636.9</v>
      </c>
      <c r="AG827" s="554"/>
      <c r="AH827" s="554"/>
      <c r="AI827" s="456"/>
    </row>
    <row r="828" spans="24:35" x14ac:dyDescent="0.25">
      <c r="X828" s="520" t="s">
        <v>2045</v>
      </c>
      <c r="Y828" s="246" t="s">
        <v>1038</v>
      </c>
      <c r="Z828" s="235" t="s">
        <v>205</v>
      </c>
      <c r="AA828" s="235" t="s">
        <v>406</v>
      </c>
      <c r="AB828" s="443" t="s">
        <v>2195</v>
      </c>
      <c r="AC828" s="238"/>
      <c r="AD828" s="292">
        <f t="shared" ref="AD828:AF829" si="204">AD829</f>
        <v>187.9</v>
      </c>
      <c r="AE828" s="476">
        <f t="shared" si="204"/>
        <v>187.9</v>
      </c>
      <c r="AF828" s="476">
        <f t="shared" si="204"/>
        <v>187.9</v>
      </c>
      <c r="AG828" s="554"/>
      <c r="AH828" s="554"/>
      <c r="AI828" s="456"/>
    </row>
    <row r="829" spans="24:35" x14ac:dyDescent="0.25">
      <c r="X829" s="520" t="s">
        <v>1782</v>
      </c>
      <c r="Y829" s="246" t="s">
        <v>1038</v>
      </c>
      <c r="Z829" s="235" t="s">
        <v>205</v>
      </c>
      <c r="AA829" s="235" t="s">
        <v>406</v>
      </c>
      <c r="AB829" s="443" t="s">
        <v>2195</v>
      </c>
      <c r="AC829" s="238">
        <v>200</v>
      </c>
      <c r="AD829" s="292">
        <f t="shared" si="204"/>
        <v>187.9</v>
      </c>
      <c r="AE829" s="476">
        <f t="shared" si="204"/>
        <v>187.9</v>
      </c>
      <c r="AF829" s="476">
        <f t="shared" si="204"/>
        <v>187.9</v>
      </c>
      <c r="AG829" s="554"/>
      <c r="AH829" s="554"/>
      <c r="AI829" s="456"/>
    </row>
    <row r="830" spans="24:35" ht="31.5" x14ac:dyDescent="0.25">
      <c r="X830" s="520" t="s">
        <v>1274</v>
      </c>
      <c r="Y830" s="246" t="s">
        <v>1038</v>
      </c>
      <c r="Z830" s="235" t="s">
        <v>205</v>
      </c>
      <c r="AA830" s="235" t="s">
        <v>406</v>
      </c>
      <c r="AB830" s="443" t="s">
        <v>2195</v>
      </c>
      <c r="AC830" s="238">
        <v>240</v>
      </c>
      <c r="AD830" s="292">
        <v>187.9</v>
      </c>
      <c r="AE830" s="476">
        <v>187.9</v>
      </c>
      <c r="AF830" s="476">
        <v>187.9</v>
      </c>
      <c r="AG830" s="554"/>
      <c r="AH830" s="554"/>
      <c r="AI830" s="456"/>
    </row>
    <row r="831" spans="24:35" x14ac:dyDescent="0.25">
      <c r="X831" s="549" t="s">
        <v>2075</v>
      </c>
      <c r="Y831" s="246" t="s">
        <v>1038</v>
      </c>
      <c r="Z831" s="235" t="s">
        <v>205</v>
      </c>
      <c r="AA831" s="235" t="s">
        <v>406</v>
      </c>
      <c r="AB831" s="443" t="s">
        <v>1769</v>
      </c>
      <c r="AC831" s="238"/>
      <c r="AD831" s="292">
        <f t="shared" ref="AD831:AF833" si="205">AD832</f>
        <v>2790</v>
      </c>
      <c r="AE831" s="476">
        <f t="shared" si="205"/>
        <v>1410</v>
      </c>
      <c r="AF831" s="476">
        <f t="shared" si="205"/>
        <v>1410</v>
      </c>
      <c r="AG831" s="554"/>
      <c r="AH831" s="554"/>
      <c r="AI831" s="456"/>
    </row>
    <row r="832" spans="24:35" x14ac:dyDescent="0.25">
      <c r="X832" s="549" t="s">
        <v>2090</v>
      </c>
      <c r="Y832" s="246" t="s">
        <v>1038</v>
      </c>
      <c r="Z832" s="235" t="s">
        <v>205</v>
      </c>
      <c r="AA832" s="235" t="s">
        <v>406</v>
      </c>
      <c r="AB832" s="443" t="s">
        <v>2091</v>
      </c>
      <c r="AC832" s="238"/>
      <c r="AD832" s="292">
        <f t="shared" si="205"/>
        <v>2790</v>
      </c>
      <c r="AE832" s="476">
        <f t="shared" si="205"/>
        <v>1410</v>
      </c>
      <c r="AF832" s="476">
        <f t="shared" si="205"/>
        <v>1410</v>
      </c>
      <c r="AG832" s="554"/>
      <c r="AH832" s="554"/>
      <c r="AI832" s="456"/>
    </row>
    <row r="833" spans="24:35" ht="31.5" x14ac:dyDescent="0.25">
      <c r="X833" s="532" t="s">
        <v>2092</v>
      </c>
      <c r="Y833" s="246" t="s">
        <v>1038</v>
      </c>
      <c r="Z833" s="235" t="s">
        <v>205</v>
      </c>
      <c r="AA833" s="235" t="s">
        <v>406</v>
      </c>
      <c r="AB833" s="443" t="s">
        <v>2093</v>
      </c>
      <c r="AC833" s="238"/>
      <c r="AD833" s="292">
        <f t="shared" si="205"/>
        <v>2790</v>
      </c>
      <c r="AE833" s="476">
        <f t="shared" si="205"/>
        <v>1410</v>
      </c>
      <c r="AF833" s="476">
        <f t="shared" si="205"/>
        <v>1410</v>
      </c>
      <c r="AG833" s="554"/>
      <c r="AH833" s="554"/>
      <c r="AI833" s="456"/>
    </row>
    <row r="834" spans="24:35" x14ac:dyDescent="0.25">
      <c r="X834" s="532" t="s">
        <v>2094</v>
      </c>
      <c r="Y834" s="246" t="s">
        <v>1038</v>
      </c>
      <c r="Z834" s="235" t="s">
        <v>205</v>
      </c>
      <c r="AA834" s="235" t="s">
        <v>406</v>
      </c>
      <c r="AB834" s="443" t="s">
        <v>2095</v>
      </c>
      <c r="AC834" s="238"/>
      <c r="AD834" s="292">
        <f>AD838+AD835</f>
        <v>2790</v>
      </c>
      <c r="AE834" s="292">
        <f t="shared" ref="AE834:AF834" si="206">AE838+AE835</f>
        <v>1410</v>
      </c>
      <c r="AF834" s="292">
        <f t="shared" si="206"/>
        <v>1410</v>
      </c>
      <c r="AG834" s="554"/>
      <c r="AH834" s="554"/>
      <c r="AI834" s="456"/>
    </row>
    <row r="835" spans="24:35" ht="31.9" customHeight="1" x14ac:dyDescent="0.25">
      <c r="X835" s="532" t="s">
        <v>2136</v>
      </c>
      <c r="Y835" s="246" t="s">
        <v>1038</v>
      </c>
      <c r="Z835" s="235" t="s">
        <v>205</v>
      </c>
      <c r="AA835" s="235" t="s">
        <v>406</v>
      </c>
      <c r="AB835" s="443" t="s">
        <v>2137</v>
      </c>
      <c r="AC835" s="238"/>
      <c r="AD835" s="292">
        <f>AD836</f>
        <v>1380</v>
      </c>
      <c r="AE835" s="292">
        <f t="shared" ref="AE835:AF835" si="207">AE836</f>
        <v>0</v>
      </c>
      <c r="AF835" s="292">
        <f t="shared" si="207"/>
        <v>0</v>
      </c>
      <c r="AG835" s="554"/>
      <c r="AH835" s="554"/>
      <c r="AI835" s="456"/>
    </row>
    <row r="836" spans="24:35" ht="31.5" x14ac:dyDescent="0.25">
      <c r="X836" s="520" t="s">
        <v>1343</v>
      </c>
      <c r="Y836" s="246" t="s">
        <v>1038</v>
      </c>
      <c r="Z836" s="235" t="s">
        <v>205</v>
      </c>
      <c r="AA836" s="235" t="s">
        <v>406</v>
      </c>
      <c r="AB836" s="443" t="s">
        <v>2137</v>
      </c>
      <c r="AC836" s="238">
        <v>600</v>
      </c>
      <c r="AD836" s="292">
        <f>AD837</f>
        <v>1380</v>
      </c>
      <c r="AE836" s="292">
        <f t="shared" ref="AE836:AF836" si="208">AE837</f>
        <v>0</v>
      </c>
      <c r="AF836" s="292">
        <f t="shared" si="208"/>
        <v>0</v>
      </c>
      <c r="AG836" s="554"/>
      <c r="AH836" s="554"/>
      <c r="AI836" s="456"/>
    </row>
    <row r="837" spans="24:35" x14ac:dyDescent="0.25">
      <c r="X837" s="520" t="s">
        <v>1344</v>
      </c>
      <c r="Y837" s="246" t="s">
        <v>1038</v>
      </c>
      <c r="Z837" s="235" t="s">
        <v>205</v>
      </c>
      <c r="AA837" s="235" t="s">
        <v>406</v>
      </c>
      <c r="AB837" s="443" t="s">
        <v>2137</v>
      </c>
      <c r="AC837" s="238">
        <v>610</v>
      </c>
      <c r="AD837" s="292">
        <f>1337.6+2.4+40</f>
        <v>1380</v>
      </c>
      <c r="AE837" s="476">
        <v>0</v>
      </c>
      <c r="AF837" s="476">
        <v>0</v>
      </c>
      <c r="AG837" s="554"/>
      <c r="AH837" s="554"/>
      <c r="AI837" s="456"/>
    </row>
    <row r="838" spans="24:35" ht="31.5" x14ac:dyDescent="0.25">
      <c r="X838" s="520" t="s">
        <v>2138</v>
      </c>
      <c r="Y838" s="246" t="s">
        <v>1038</v>
      </c>
      <c r="Z838" s="235" t="s">
        <v>205</v>
      </c>
      <c r="AA838" s="235" t="s">
        <v>406</v>
      </c>
      <c r="AB838" s="443" t="s">
        <v>2139</v>
      </c>
      <c r="AC838" s="238"/>
      <c r="AD838" s="292">
        <f t="shared" ref="AD838:AF839" si="209">AD839</f>
        <v>1410</v>
      </c>
      <c r="AE838" s="476">
        <f t="shared" si="209"/>
        <v>1410</v>
      </c>
      <c r="AF838" s="476">
        <f t="shared" si="209"/>
        <v>1410</v>
      </c>
      <c r="AG838" s="554"/>
      <c r="AH838" s="554"/>
      <c r="AI838" s="456"/>
    </row>
    <row r="839" spans="24:35" ht="31.5" x14ac:dyDescent="0.25">
      <c r="X839" s="520" t="s">
        <v>1343</v>
      </c>
      <c r="Y839" s="246" t="s">
        <v>1038</v>
      </c>
      <c r="Z839" s="235" t="s">
        <v>205</v>
      </c>
      <c r="AA839" s="235" t="s">
        <v>406</v>
      </c>
      <c r="AB839" s="443" t="s">
        <v>2139</v>
      </c>
      <c r="AC839" s="238">
        <v>600</v>
      </c>
      <c r="AD839" s="292">
        <f t="shared" si="209"/>
        <v>1410</v>
      </c>
      <c r="AE839" s="476">
        <f t="shared" si="209"/>
        <v>1410</v>
      </c>
      <c r="AF839" s="476">
        <f t="shared" si="209"/>
        <v>1410</v>
      </c>
      <c r="AG839" s="554"/>
      <c r="AH839" s="554"/>
      <c r="AI839" s="456"/>
    </row>
    <row r="840" spans="24:35" x14ac:dyDescent="0.25">
      <c r="X840" s="520" t="s">
        <v>1344</v>
      </c>
      <c r="Y840" s="246" t="s">
        <v>1038</v>
      </c>
      <c r="Z840" s="235" t="s">
        <v>205</v>
      </c>
      <c r="AA840" s="235" t="s">
        <v>406</v>
      </c>
      <c r="AB840" s="443" t="s">
        <v>2139</v>
      </c>
      <c r="AC840" s="238">
        <v>610</v>
      </c>
      <c r="AD840" s="292">
        <f>540+870-2.4+2.4</f>
        <v>1410</v>
      </c>
      <c r="AE840" s="476">
        <f>540+870</f>
        <v>1410</v>
      </c>
      <c r="AF840" s="476">
        <f>540+870</f>
        <v>1410</v>
      </c>
      <c r="AG840" s="554"/>
      <c r="AH840" s="554"/>
      <c r="AI840" s="456"/>
    </row>
    <row r="841" spans="24:35" ht="31.5" x14ac:dyDescent="0.25">
      <c r="X841" s="521" t="s">
        <v>2104</v>
      </c>
      <c r="Y841" s="246" t="s">
        <v>1038</v>
      </c>
      <c r="Z841" s="235" t="s">
        <v>205</v>
      </c>
      <c r="AA841" s="235" t="s">
        <v>406</v>
      </c>
      <c r="AB841" s="443" t="s">
        <v>1806</v>
      </c>
      <c r="AC841" s="238"/>
      <c r="AD841" s="292">
        <f t="shared" ref="AD841:AF845" si="210">AD842</f>
        <v>4.5</v>
      </c>
      <c r="AE841" s="476">
        <f t="shared" si="210"/>
        <v>4.5</v>
      </c>
      <c r="AF841" s="476">
        <f t="shared" si="210"/>
        <v>4.5</v>
      </c>
      <c r="AG841" s="554"/>
      <c r="AH841" s="554"/>
      <c r="AI841" s="456"/>
    </row>
    <row r="842" spans="24:35" ht="47.25" x14ac:dyDescent="0.25">
      <c r="X842" s="521" t="s">
        <v>2105</v>
      </c>
      <c r="Y842" s="246" t="s">
        <v>1038</v>
      </c>
      <c r="Z842" s="235" t="s">
        <v>205</v>
      </c>
      <c r="AA842" s="235" t="s">
        <v>406</v>
      </c>
      <c r="AB842" s="443" t="s">
        <v>2106</v>
      </c>
      <c r="AC842" s="238"/>
      <c r="AD842" s="292">
        <f t="shared" si="210"/>
        <v>4.5</v>
      </c>
      <c r="AE842" s="476">
        <f t="shared" si="210"/>
        <v>4.5</v>
      </c>
      <c r="AF842" s="476">
        <f t="shared" si="210"/>
        <v>4.5</v>
      </c>
      <c r="AG842" s="554"/>
      <c r="AH842" s="554"/>
      <c r="AI842" s="456"/>
    </row>
    <row r="843" spans="24:35" ht="31.5" x14ac:dyDescent="0.25">
      <c r="X843" s="529" t="s">
        <v>2107</v>
      </c>
      <c r="Y843" s="246" t="s">
        <v>1038</v>
      </c>
      <c r="Z843" s="235" t="s">
        <v>205</v>
      </c>
      <c r="AA843" s="235" t="s">
        <v>406</v>
      </c>
      <c r="AB843" s="443" t="s">
        <v>2108</v>
      </c>
      <c r="AC843" s="238"/>
      <c r="AD843" s="292">
        <f t="shared" si="210"/>
        <v>4.5</v>
      </c>
      <c r="AE843" s="476">
        <f t="shared" si="210"/>
        <v>4.5</v>
      </c>
      <c r="AF843" s="476">
        <f t="shared" si="210"/>
        <v>4.5</v>
      </c>
      <c r="AG843" s="554"/>
      <c r="AH843" s="554"/>
      <c r="AI843" s="456"/>
    </row>
    <row r="844" spans="24:35" ht="94.5" x14ac:dyDescent="0.25">
      <c r="X844" s="529" t="s">
        <v>2244</v>
      </c>
      <c r="Y844" s="246" t="s">
        <v>1038</v>
      </c>
      <c r="Z844" s="235" t="s">
        <v>205</v>
      </c>
      <c r="AA844" s="235" t="s">
        <v>406</v>
      </c>
      <c r="AB844" s="472" t="s">
        <v>2109</v>
      </c>
      <c r="AC844" s="238"/>
      <c r="AD844" s="292">
        <f t="shared" si="210"/>
        <v>4.5</v>
      </c>
      <c r="AE844" s="476">
        <f t="shared" si="210"/>
        <v>4.5</v>
      </c>
      <c r="AF844" s="476">
        <f t="shared" si="210"/>
        <v>4.5</v>
      </c>
      <c r="AG844" s="554"/>
      <c r="AH844" s="554"/>
      <c r="AI844" s="456"/>
    </row>
    <row r="845" spans="24:35" x14ac:dyDescent="0.25">
      <c r="X845" s="520" t="s">
        <v>1782</v>
      </c>
      <c r="Y845" s="246" t="s">
        <v>1038</v>
      </c>
      <c r="Z845" s="235" t="s">
        <v>205</v>
      </c>
      <c r="AA845" s="235" t="s">
        <v>406</v>
      </c>
      <c r="AB845" s="472" t="s">
        <v>2109</v>
      </c>
      <c r="AC845" s="238">
        <v>200</v>
      </c>
      <c r="AD845" s="292">
        <f t="shared" si="210"/>
        <v>4.5</v>
      </c>
      <c r="AE845" s="476">
        <f t="shared" si="210"/>
        <v>4.5</v>
      </c>
      <c r="AF845" s="476">
        <f t="shared" si="210"/>
        <v>4.5</v>
      </c>
      <c r="AG845" s="554"/>
      <c r="AH845" s="554"/>
      <c r="AI845" s="456"/>
    </row>
    <row r="846" spans="24:35" ht="31.5" x14ac:dyDescent="0.25">
      <c r="X846" s="520" t="s">
        <v>1274</v>
      </c>
      <c r="Y846" s="246" t="s">
        <v>1038</v>
      </c>
      <c r="Z846" s="235" t="s">
        <v>205</v>
      </c>
      <c r="AA846" s="235" t="s">
        <v>406</v>
      </c>
      <c r="AB846" s="472" t="s">
        <v>2109</v>
      </c>
      <c r="AC846" s="238">
        <v>240</v>
      </c>
      <c r="AD846" s="292">
        <v>4.5</v>
      </c>
      <c r="AE846" s="476">
        <v>4.5</v>
      </c>
      <c r="AF846" s="476">
        <v>4.5</v>
      </c>
      <c r="AG846" s="554"/>
      <c r="AH846" s="554"/>
      <c r="AI846" s="456"/>
    </row>
    <row r="847" spans="24:35" x14ac:dyDescent="0.25">
      <c r="X847" s="549" t="s">
        <v>1958</v>
      </c>
      <c r="Y847" s="246" t="s">
        <v>1038</v>
      </c>
      <c r="Z847" s="235" t="s">
        <v>205</v>
      </c>
      <c r="AA847" s="235" t="s">
        <v>406</v>
      </c>
      <c r="AB847" s="443" t="s">
        <v>1959</v>
      </c>
      <c r="AC847" s="597"/>
      <c r="AD847" s="292">
        <f t="shared" ref="AD847:AF848" si="211">AD848</f>
        <v>2982.7</v>
      </c>
      <c r="AE847" s="476">
        <f t="shared" si="211"/>
        <v>19768.400000000001</v>
      </c>
      <c r="AF847" s="476">
        <f t="shared" si="211"/>
        <v>0</v>
      </c>
      <c r="AG847" s="554"/>
      <c r="AH847" s="554"/>
      <c r="AI847" s="456"/>
    </row>
    <row r="848" spans="24:35" ht="31.5" x14ac:dyDescent="0.25">
      <c r="X848" s="549" t="s">
        <v>1965</v>
      </c>
      <c r="Y848" s="246" t="s">
        <v>1038</v>
      </c>
      <c r="Z848" s="235" t="s">
        <v>205</v>
      </c>
      <c r="AA848" s="235" t="s">
        <v>406</v>
      </c>
      <c r="AB848" s="443" t="s">
        <v>1966</v>
      </c>
      <c r="AC848" s="597"/>
      <c r="AD848" s="292">
        <f>AD849</f>
        <v>2982.7</v>
      </c>
      <c r="AE848" s="476">
        <f t="shared" si="211"/>
        <v>19768.400000000001</v>
      </c>
      <c r="AF848" s="476">
        <f t="shared" si="211"/>
        <v>0</v>
      </c>
      <c r="AG848" s="554"/>
      <c r="AH848" s="554"/>
      <c r="AI848" s="456"/>
    </row>
    <row r="849" spans="24:35" x14ac:dyDescent="0.25">
      <c r="X849" s="520" t="s">
        <v>2224</v>
      </c>
      <c r="Y849" s="246" t="s">
        <v>1038</v>
      </c>
      <c r="Z849" s="235" t="s">
        <v>205</v>
      </c>
      <c r="AA849" s="235" t="s">
        <v>406</v>
      </c>
      <c r="AB849" s="443" t="s">
        <v>2225</v>
      </c>
      <c r="AC849" s="577"/>
      <c r="AD849" s="292">
        <f>AD850+AD853+AD856+AD859</f>
        <v>2982.7</v>
      </c>
      <c r="AE849" s="292">
        <f t="shared" ref="AE849:AF849" si="212">AE850+AE853+AE856+AE859</f>
        <v>19768.400000000001</v>
      </c>
      <c r="AF849" s="292">
        <f t="shared" si="212"/>
        <v>0</v>
      </c>
      <c r="AG849" s="554"/>
      <c r="AH849" s="554"/>
      <c r="AI849" s="456"/>
    </row>
    <row r="850" spans="24:35" ht="63" x14ac:dyDescent="0.25">
      <c r="X850" s="524" t="s">
        <v>2350</v>
      </c>
      <c r="Y850" s="246" t="s">
        <v>1038</v>
      </c>
      <c r="Z850" s="235" t="s">
        <v>205</v>
      </c>
      <c r="AA850" s="235" t="s">
        <v>406</v>
      </c>
      <c r="AB850" s="443" t="s">
        <v>2351</v>
      </c>
      <c r="AC850" s="577"/>
      <c r="AD850" s="292">
        <f t="shared" ref="AD850:AF851" si="213">AD851</f>
        <v>2907.7</v>
      </c>
      <c r="AE850" s="476">
        <f t="shared" si="213"/>
        <v>15783.4</v>
      </c>
      <c r="AF850" s="476">
        <f t="shared" si="213"/>
        <v>0</v>
      </c>
      <c r="AG850" s="554"/>
      <c r="AH850" s="554"/>
      <c r="AI850" s="456"/>
    </row>
    <row r="851" spans="24:35" x14ac:dyDescent="0.25">
      <c r="X851" s="520" t="s">
        <v>1782</v>
      </c>
      <c r="Y851" s="246" t="s">
        <v>1038</v>
      </c>
      <c r="Z851" s="235" t="s">
        <v>205</v>
      </c>
      <c r="AA851" s="235" t="s">
        <v>406</v>
      </c>
      <c r="AB851" s="443" t="s">
        <v>2351</v>
      </c>
      <c r="AC851" s="577">
        <v>200</v>
      </c>
      <c r="AD851" s="292">
        <f t="shared" si="213"/>
        <v>2907.7</v>
      </c>
      <c r="AE851" s="476">
        <f t="shared" si="213"/>
        <v>15783.4</v>
      </c>
      <c r="AF851" s="476">
        <f t="shared" si="213"/>
        <v>0</v>
      </c>
      <c r="AG851" s="554"/>
      <c r="AH851" s="554"/>
      <c r="AI851" s="456"/>
    </row>
    <row r="852" spans="24:35" ht="31.5" x14ac:dyDescent="0.25">
      <c r="X852" s="520" t="s">
        <v>1274</v>
      </c>
      <c r="Y852" s="246" t="s">
        <v>1038</v>
      </c>
      <c r="Z852" s="235" t="s">
        <v>205</v>
      </c>
      <c r="AA852" s="235" t="s">
        <v>406</v>
      </c>
      <c r="AB852" s="443" t="s">
        <v>2351</v>
      </c>
      <c r="AC852" s="577">
        <v>240</v>
      </c>
      <c r="AD852" s="292">
        <f>3265.2+81.6-428.4-10.7</f>
        <v>2907.7</v>
      </c>
      <c r="AE852" s="476">
        <f>16326.3+408.2-928-23.2+0.1</f>
        <v>15783.4</v>
      </c>
      <c r="AF852" s="476">
        <v>0</v>
      </c>
      <c r="AG852" s="554"/>
      <c r="AH852" s="554"/>
      <c r="AI852" s="456"/>
    </row>
    <row r="853" spans="24:35" ht="94.5" x14ac:dyDescent="0.25">
      <c r="X853" s="520" t="s">
        <v>2352</v>
      </c>
      <c r="Y853" s="246" t="s">
        <v>1038</v>
      </c>
      <c r="Z853" s="235" t="s">
        <v>205</v>
      </c>
      <c r="AA853" s="235" t="s">
        <v>406</v>
      </c>
      <c r="AB853" s="443" t="s">
        <v>2353</v>
      </c>
      <c r="AC853" s="577"/>
      <c r="AD853" s="292">
        <f t="shared" ref="AD853:AF854" si="214">AD854</f>
        <v>0</v>
      </c>
      <c r="AE853" s="476">
        <f t="shared" si="214"/>
        <v>492</v>
      </c>
      <c r="AF853" s="476">
        <f t="shared" si="214"/>
        <v>0</v>
      </c>
      <c r="AG853" s="554"/>
      <c r="AH853" s="554"/>
      <c r="AI853" s="456"/>
    </row>
    <row r="854" spans="24:35" ht="31.5" x14ac:dyDescent="0.25">
      <c r="X854" s="520" t="s">
        <v>1343</v>
      </c>
      <c r="Y854" s="246" t="s">
        <v>1038</v>
      </c>
      <c r="Z854" s="235" t="s">
        <v>205</v>
      </c>
      <c r="AA854" s="235" t="s">
        <v>406</v>
      </c>
      <c r="AB854" s="443" t="s">
        <v>2353</v>
      </c>
      <c r="AC854" s="577">
        <v>600</v>
      </c>
      <c r="AD854" s="292">
        <f t="shared" si="214"/>
        <v>0</v>
      </c>
      <c r="AE854" s="476">
        <f t="shared" si="214"/>
        <v>492</v>
      </c>
      <c r="AF854" s="476">
        <f t="shared" si="214"/>
        <v>0</v>
      </c>
      <c r="AG854" s="554"/>
      <c r="AH854" s="554"/>
      <c r="AI854" s="456"/>
    </row>
    <row r="855" spans="24:35" x14ac:dyDescent="0.25">
      <c r="X855" s="520" t="s">
        <v>1344</v>
      </c>
      <c r="Y855" s="246" t="s">
        <v>1038</v>
      </c>
      <c r="Z855" s="235" t="s">
        <v>205</v>
      </c>
      <c r="AA855" s="235" t="s">
        <v>406</v>
      </c>
      <c r="AB855" s="443" t="s">
        <v>2353</v>
      </c>
      <c r="AC855" s="577">
        <v>610</v>
      </c>
      <c r="AD855" s="292">
        <v>0</v>
      </c>
      <c r="AE855" s="476">
        <f>442.8+49.2</f>
        <v>492</v>
      </c>
      <c r="AF855" s="476">
        <v>0</v>
      </c>
      <c r="AG855" s="554"/>
      <c r="AH855" s="554"/>
      <c r="AI855" s="456"/>
    </row>
    <row r="856" spans="24:35" ht="31.5" x14ac:dyDescent="0.25">
      <c r="X856" s="520" t="s">
        <v>2226</v>
      </c>
      <c r="Y856" s="246" t="s">
        <v>1038</v>
      </c>
      <c r="Z856" s="235" t="s">
        <v>205</v>
      </c>
      <c r="AA856" s="235" t="s">
        <v>406</v>
      </c>
      <c r="AB856" s="443" t="s">
        <v>2227</v>
      </c>
      <c r="AC856" s="577"/>
      <c r="AD856" s="292">
        <f t="shared" ref="AD856:AF857" si="215">AD857</f>
        <v>0</v>
      </c>
      <c r="AE856" s="476">
        <f t="shared" si="215"/>
        <v>3493</v>
      </c>
      <c r="AF856" s="476">
        <f t="shared" si="215"/>
        <v>0</v>
      </c>
      <c r="AG856" s="554"/>
      <c r="AH856" s="554"/>
      <c r="AI856" s="456"/>
    </row>
    <row r="857" spans="24:35" ht="31.5" x14ac:dyDescent="0.25">
      <c r="X857" s="520" t="s">
        <v>1343</v>
      </c>
      <c r="Y857" s="246" t="s">
        <v>1038</v>
      </c>
      <c r="Z857" s="235" t="s">
        <v>205</v>
      </c>
      <c r="AA857" s="235" t="s">
        <v>406</v>
      </c>
      <c r="AB857" s="443" t="s">
        <v>2227</v>
      </c>
      <c r="AC857" s="577">
        <v>600</v>
      </c>
      <c r="AD857" s="292">
        <f t="shared" si="215"/>
        <v>0</v>
      </c>
      <c r="AE857" s="476">
        <f t="shared" si="215"/>
        <v>3493</v>
      </c>
      <c r="AF857" s="476">
        <f t="shared" si="215"/>
        <v>0</v>
      </c>
      <c r="AG857" s="554"/>
      <c r="AH857" s="554"/>
      <c r="AI857" s="456"/>
    </row>
    <row r="858" spans="24:35" x14ac:dyDescent="0.25">
      <c r="X858" s="520" t="s">
        <v>1344</v>
      </c>
      <c r="Y858" s="246" t="s">
        <v>1038</v>
      </c>
      <c r="Z858" s="235" t="s">
        <v>205</v>
      </c>
      <c r="AA858" s="235" t="s">
        <v>406</v>
      </c>
      <c r="AB858" s="443" t="s">
        <v>2227</v>
      </c>
      <c r="AC858" s="577">
        <v>610</v>
      </c>
      <c r="AD858" s="292">
        <v>0</v>
      </c>
      <c r="AE858" s="476">
        <f>2864+629</f>
        <v>3493</v>
      </c>
      <c r="AF858" s="476">
        <v>0</v>
      </c>
      <c r="AG858" s="554"/>
      <c r="AH858" s="554"/>
      <c r="AI858" s="456"/>
    </row>
    <row r="859" spans="24:35" ht="78.75" x14ac:dyDescent="0.25">
      <c r="X859" s="520" t="s">
        <v>2447</v>
      </c>
      <c r="Y859" s="246" t="s">
        <v>1038</v>
      </c>
      <c r="Z859" s="235" t="s">
        <v>205</v>
      </c>
      <c r="AA859" s="235" t="s">
        <v>406</v>
      </c>
      <c r="AB859" s="443" t="s">
        <v>2446</v>
      </c>
      <c r="AC859" s="577"/>
      <c r="AD859" s="292">
        <f>AD860</f>
        <v>75</v>
      </c>
      <c r="AE859" s="292">
        <f t="shared" ref="AE859:AF859" si="216">AE860</f>
        <v>0</v>
      </c>
      <c r="AF859" s="292">
        <f t="shared" si="216"/>
        <v>0</v>
      </c>
      <c r="AG859" s="554"/>
      <c r="AH859" s="554"/>
      <c r="AI859" s="456"/>
    </row>
    <row r="860" spans="24:35" x14ac:dyDescent="0.25">
      <c r="X860" s="520" t="s">
        <v>1782</v>
      </c>
      <c r="Y860" s="246" t="s">
        <v>1038</v>
      </c>
      <c r="Z860" s="235" t="s">
        <v>205</v>
      </c>
      <c r="AA860" s="235" t="s">
        <v>406</v>
      </c>
      <c r="AB860" s="443" t="s">
        <v>2446</v>
      </c>
      <c r="AC860" s="577">
        <v>200</v>
      </c>
      <c r="AD860" s="292">
        <f>AD861</f>
        <v>75</v>
      </c>
      <c r="AE860" s="292">
        <f t="shared" ref="AE860:AF860" si="217">AE861</f>
        <v>0</v>
      </c>
      <c r="AF860" s="292">
        <f t="shared" si="217"/>
        <v>0</v>
      </c>
      <c r="AG860" s="554"/>
      <c r="AH860" s="554"/>
      <c r="AI860" s="456"/>
    </row>
    <row r="861" spans="24:35" ht="31.5" x14ac:dyDescent="0.25">
      <c r="X861" s="520" t="s">
        <v>1274</v>
      </c>
      <c r="Y861" s="246" t="s">
        <v>1038</v>
      </c>
      <c r="Z861" s="235" t="s">
        <v>205</v>
      </c>
      <c r="AA861" s="235" t="s">
        <v>406</v>
      </c>
      <c r="AB861" s="443" t="s">
        <v>2446</v>
      </c>
      <c r="AC861" s="577">
        <v>240</v>
      </c>
      <c r="AD861" s="292">
        <f>67.5+7.5</f>
        <v>75</v>
      </c>
      <c r="AE861" s="476">
        <v>0</v>
      </c>
      <c r="AF861" s="476">
        <v>0</v>
      </c>
      <c r="AG861" s="554"/>
      <c r="AH861" s="554"/>
      <c r="AI861" s="456"/>
    </row>
    <row r="862" spans="24:35" x14ac:dyDescent="0.25">
      <c r="X862" s="559" t="s">
        <v>1746</v>
      </c>
      <c r="Y862" s="575" t="s">
        <v>1038</v>
      </c>
      <c r="Z862" s="247" t="s">
        <v>768</v>
      </c>
      <c r="AA862" s="248"/>
      <c r="AB862" s="271"/>
      <c r="AC862" s="576"/>
      <c r="AD862" s="745">
        <f>AD863+AD870</f>
        <v>18625.599999999999</v>
      </c>
      <c r="AE862" s="479">
        <f>AE863+AE870</f>
        <v>18625.599999999999</v>
      </c>
      <c r="AF862" s="479">
        <f>AF863+AF870</f>
        <v>18625.599999999999</v>
      </c>
      <c r="AG862" s="647"/>
      <c r="AH862" s="647"/>
      <c r="AI862" s="456"/>
    </row>
    <row r="863" spans="24:35" x14ac:dyDescent="0.25">
      <c r="X863" s="520" t="s">
        <v>1313</v>
      </c>
      <c r="Y863" s="246" t="s">
        <v>1038</v>
      </c>
      <c r="Z863" s="235">
        <v>10</v>
      </c>
      <c r="AA863" s="235" t="s">
        <v>566</v>
      </c>
      <c r="AB863" s="249"/>
      <c r="AC863" s="589"/>
      <c r="AD863" s="292">
        <f t="shared" ref="AD863:AF865" si="218">AD864</f>
        <v>807.6</v>
      </c>
      <c r="AE863" s="476">
        <f t="shared" si="218"/>
        <v>807.6</v>
      </c>
      <c r="AF863" s="476">
        <f t="shared" si="218"/>
        <v>807.6</v>
      </c>
      <c r="AG863" s="554"/>
      <c r="AH863" s="554"/>
      <c r="AI863" s="456"/>
    </row>
    <row r="864" spans="24:35" x14ac:dyDescent="0.25">
      <c r="X864" s="549" t="s">
        <v>2075</v>
      </c>
      <c r="Y864" s="246" t="s">
        <v>1038</v>
      </c>
      <c r="Z864" s="235">
        <v>10</v>
      </c>
      <c r="AA864" s="235" t="s">
        <v>566</v>
      </c>
      <c r="AB864" s="443" t="s">
        <v>1769</v>
      </c>
      <c r="AC864" s="589"/>
      <c r="AD864" s="292">
        <f t="shared" si="218"/>
        <v>807.6</v>
      </c>
      <c r="AE864" s="476">
        <f t="shared" si="218"/>
        <v>807.6</v>
      </c>
      <c r="AF864" s="476">
        <f t="shared" si="218"/>
        <v>807.6</v>
      </c>
      <c r="AG864" s="554"/>
      <c r="AH864" s="554"/>
      <c r="AI864" s="456"/>
    </row>
    <row r="865" spans="1:35" x14ac:dyDescent="0.25">
      <c r="X865" s="625" t="s">
        <v>2076</v>
      </c>
      <c r="Y865" s="246" t="s">
        <v>1038</v>
      </c>
      <c r="Z865" s="235">
        <v>10</v>
      </c>
      <c r="AA865" s="235" t="s">
        <v>566</v>
      </c>
      <c r="AB865" s="443" t="s">
        <v>1780</v>
      </c>
      <c r="AC865" s="589"/>
      <c r="AD865" s="292">
        <f t="shared" si="218"/>
        <v>807.6</v>
      </c>
      <c r="AE865" s="476">
        <f t="shared" si="218"/>
        <v>807.6</v>
      </c>
      <c r="AF865" s="476">
        <f t="shared" si="218"/>
        <v>807.6</v>
      </c>
      <c r="AG865" s="554"/>
      <c r="AH865" s="554"/>
      <c r="AI865" s="456"/>
    </row>
    <row r="866" spans="1:35" ht="31.5" x14ac:dyDescent="0.25">
      <c r="X866" s="549" t="s">
        <v>2082</v>
      </c>
      <c r="Y866" s="246" t="s">
        <v>1038</v>
      </c>
      <c r="Z866" s="235">
        <v>10</v>
      </c>
      <c r="AA866" s="235" t="s">
        <v>566</v>
      </c>
      <c r="AB866" s="443" t="s">
        <v>2083</v>
      </c>
      <c r="AC866" s="589"/>
      <c r="AD866" s="292">
        <f t="shared" ref="AD866:AF868" si="219">AD867</f>
        <v>807.6</v>
      </c>
      <c r="AE866" s="476">
        <f t="shared" si="219"/>
        <v>807.6</v>
      </c>
      <c r="AF866" s="476">
        <f t="shared" si="219"/>
        <v>807.6</v>
      </c>
      <c r="AG866" s="554"/>
      <c r="AH866" s="554"/>
      <c r="AI866" s="456"/>
    </row>
    <row r="867" spans="1:35" ht="31.5" x14ac:dyDescent="0.25">
      <c r="X867" s="530" t="s">
        <v>2084</v>
      </c>
      <c r="Y867" s="246" t="s">
        <v>1038</v>
      </c>
      <c r="Z867" s="235">
        <v>10</v>
      </c>
      <c r="AA867" s="235" t="s">
        <v>566</v>
      </c>
      <c r="AB867" s="443" t="s">
        <v>2085</v>
      </c>
      <c r="AC867" s="589"/>
      <c r="AD867" s="292">
        <f t="shared" si="219"/>
        <v>807.6</v>
      </c>
      <c r="AE867" s="476">
        <f t="shared" si="219"/>
        <v>807.6</v>
      </c>
      <c r="AF867" s="476">
        <f t="shared" si="219"/>
        <v>807.6</v>
      </c>
      <c r="AG867" s="554"/>
      <c r="AH867" s="554"/>
      <c r="AI867" s="456"/>
    </row>
    <row r="868" spans="1:35" x14ac:dyDescent="0.25">
      <c r="X868" s="520" t="s">
        <v>1755</v>
      </c>
      <c r="Y868" s="246" t="s">
        <v>1038</v>
      </c>
      <c r="Z868" s="235">
        <v>10</v>
      </c>
      <c r="AA868" s="235" t="s">
        <v>566</v>
      </c>
      <c r="AB868" s="443" t="s">
        <v>2085</v>
      </c>
      <c r="AC868" s="238">
        <v>300</v>
      </c>
      <c r="AD868" s="292">
        <f t="shared" si="219"/>
        <v>807.6</v>
      </c>
      <c r="AE868" s="476">
        <f t="shared" si="219"/>
        <v>807.6</v>
      </c>
      <c r="AF868" s="476">
        <f t="shared" si="219"/>
        <v>807.6</v>
      </c>
      <c r="AG868" s="554"/>
      <c r="AH868" s="554"/>
      <c r="AI868" s="456"/>
    </row>
    <row r="869" spans="1:35" x14ac:dyDescent="0.25">
      <c r="X869" s="520" t="s">
        <v>868</v>
      </c>
      <c r="Y869" s="246" t="s">
        <v>1038</v>
      </c>
      <c r="Z869" s="235">
        <v>10</v>
      </c>
      <c r="AA869" s="235" t="s">
        <v>566</v>
      </c>
      <c r="AB869" s="443" t="s">
        <v>2085</v>
      </c>
      <c r="AC869" s="238">
        <v>320</v>
      </c>
      <c r="AD869" s="292">
        <v>807.6</v>
      </c>
      <c r="AE869" s="476">
        <v>807.6</v>
      </c>
      <c r="AF869" s="476">
        <v>807.6</v>
      </c>
      <c r="AG869" s="554"/>
      <c r="AH869" s="554"/>
      <c r="AI869" s="456"/>
    </row>
    <row r="870" spans="1:35" x14ac:dyDescent="0.25">
      <c r="X870" s="520" t="s">
        <v>605</v>
      </c>
      <c r="Y870" s="246" t="s">
        <v>1038</v>
      </c>
      <c r="Z870" s="235">
        <v>10</v>
      </c>
      <c r="AA870" s="235" t="s">
        <v>1182</v>
      </c>
      <c r="AB870" s="443"/>
      <c r="AC870" s="238"/>
      <c r="AD870" s="292">
        <f>AD871</f>
        <v>17818</v>
      </c>
      <c r="AE870" s="476">
        <f>AE871</f>
        <v>17818</v>
      </c>
      <c r="AF870" s="476">
        <f>AF871</f>
        <v>17818</v>
      </c>
      <c r="AG870" s="554"/>
      <c r="AH870" s="554"/>
      <c r="AI870" s="456"/>
    </row>
    <row r="871" spans="1:35" x14ac:dyDescent="0.25">
      <c r="X871" s="521" t="s">
        <v>2022</v>
      </c>
      <c r="Y871" s="246" t="s">
        <v>1038</v>
      </c>
      <c r="Z871" s="235">
        <v>10</v>
      </c>
      <c r="AA871" s="235" t="s">
        <v>1182</v>
      </c>
      <c r="AB871" s="249" t="s">
        <v>1760</v>
      </c>
      <c r="AC871" s="238"/>
      <c r="AD871" s="292">
        <f t="shared" ref="AD871:AF873" si="220">AD872</f>
        <v>17818</v>
      </c>
      <c r="AE871" s="476">
        <f t="shared" si="220"/>
        <v>17818</v>
      </c>
      <c r="AF871" s="476">
        <f t="shared" si="220"/>
        <v>17818</v>
      </c>
      <c r="AG871" s="554"/>
      <c r="AH871" s="554"/>
      <c r="AI871" s="456"/>
    </row>
    <row r="872" spans="1:35" x14ac:dyDescent="0.25">
      <c r="X872" s="521" t="s">
        <v>2023</v>
      </c>
      <c r="Y872" s="246" t="s">
        <v>1038</v>
      </c>
      <c r="Z872" s="235">
        <v>10</v>
      </c>
      <c r="AA872" s="235" t="s">
        <v>1182</v>
      </c>
      <c r="AB872" s="249" t="s">
        <v>1778</v>
      </c>
      <c r="AC872" s="238"/>
      <c r="AD872" s="292">
        <f>AD873</f>
        <v>17818</v>
      </c>
      <c r="AE872" s="476">
        <f>AE873</f>
        <v>17818</v>
      </c>
      <c r="AF872" s="476">
        <f>AF873</f>
        <v>17818</v>
      </c>
      <c r="AG872" s="554"/>
      <c r="AH872" s="554"/>
      <c r="AI872" s="456"/>
    </row>
    <row r="873" spans="1:35" ht="31.5" x14ac:dyDescent="0.25">
      <c r="X873" s="521" t="s">
        <v>2024</v>
      </c>
      <c r="Y873" s="246" t="s">
        <v>1038</v>
      </c>
      <c r="Z873" s="235">
        <v>10</v>
      </c>
      <c r="AA873" s="235" t="s">
        <v>1182</v>
      </c>
      <c r="AB873" s="443" t="s">
        <v>1792</v>
      </c>
      <c r="AC873" s="238"/>
      <c r="AD873" s="292">
        <f t="shared" si="220"/>
        <v>17818</v>
      </c>
      <c r="AE873" s="476">
        <f t="shared" si="220"/>
        <v>17818</v>
      </c>
      <c r="AF873" s="476">
        <f t="shared" si="220"/>
        <v>17818</v>
      </c>
      <c r="AG873" s="554"/>
      <c r="AH873" s="554"/>
      <c r="AI873" s="456"/>
    </row>
    <row r="874" spans="1:35" ht="47.25" x14ac:dyDescent="0.25">
      <c r="X874" s="522" t="s">
        <v>2026</v>
      </c>
      <c r="Y874" s="246" t="s">
        <v>1038</v>
      </c>
      <c r="Z874" s="235">
        <v>10</v>
      </c>
      <c r="AA874" s="235" t="s">
        <v>1182</v>
      </c>
      <c r="AB874" s="443" t="s">
        <v>2167</v>
      </c>
      <c r="AC874" s="238"/>
      <c r="AD874" s="292">
        <f>AD877+AD875</f>
        <v>17818</v>
      </c>
      <c r="AE874" s="476">
        <f>AE877+AE875</f>
        <v>17818</v>
      </c>
      <c r="AF874" s="476">
        <f>AF877+AF875</f>
        <v>17818</v>
      </c>
      <c r="AG874" s="554"/>
      <c r="AH874" s="554"/>
      <c r="AI874" s="456"/>
    </row>
    <row r="875" spans="1:35" x14ac:dyDescent="0.25">
      <c r="X875" s="520" t="s">
        <v>1782</v>
      </c>
      <c r="Y875" s="246" t="s">
        <v>1038</v>
      </c>
      <c r="Z875" s="235">
        <v>10</v>
      </c>
      <c r="AA875" s="235" t="s">
        <v>1182</v>
      </c>
      <c r="AB875" s="443" t="s">
        <v>2167</v>
      </c>
      <c r="AC875" s="238">
        <v>200</v>
      </c>
      <c r="AD875" s="292">
        <f>AD876</f>
        <v>176</v>
      </c>
      <c r="AE875" s="476">
        <f>AE876</f>
        <v>176</v>
      </c>
      <c r="AF875" s="476">
        <f>AF876</f>
        <v>176</v>
      </c>
      <c r="AG875" s="554"/>
      <c r="AH875" s="554"/>
      <c r="AI875" s="456"/>
    </row>
    <row r="876" spans="1:35" ht="31.5" x14ac:dyDescent="0.25">
      <c r="X876" s="520" t="s">
        <v>1274</v>
      </c>
      <c r="Y876" s="246" t="s">
        <v>1038</v>
      </c>
      <c r="Z876" s="235">
        <v>10</v>
      </c>
      <c r="AA876" s="235" t="s">
        <v>1182</v>
      </c>
      <c r="AB876" s="443" t="s">
        <v>2167</v>
      </c>
      <c r="AC876" s="238">
        <v>240</v>
      </c>
      <c r="AD876" s="292">
        <v>176</v>
      </c>
      <c r="AE876" s="476">
        <v>176</v>
      </c>
      <c r="AF876" s="476">
        <v>176</v>
      </c>
      <c r="AG876" s="554"/>
      <c r="AH876" s="554"/>
      <c r="AI876" s="456"/>
    </row>
    <row r="877" spans="1:35" x14ac:dyDescent="0.25">
      <c r="X877" s="520" t="s">
        <v>1755</v>
      </c>
      <c r="Y877" s="246" t="s">
        <v>1038</v>
      </c>
      <c r="Z877" s="235">
        <v>10</v>
      </c>
      <c r="AA877" s="235" t="s">
        <v>1182</v>
      </c>
      <c r="AB877" s="443" t="s">
        <v>2167</v>
      </c>
      <c r="AC877" s="238">
        <v>300</v>
      </c>
      <c r="AD877" s="292">
        <f>AD878</f>
        <v>17642</v>
      </c>
      <c r="AE877" s="476">
        <f>AE878</f>
        <v>17642</v>
      </c>
      <c r="AF877" s="476">
        <f>AF878</f>
        <v>17642</v>
      </c>
      <c r="AG877" s="554"/>
      <c r="AH877" s="554"/>
      <c r="AI877" s="456"/>
    </row>
    <row r="878" spans="1:35" x14ac:dyDescent="0.25">
      <c r="X878" s="520" t="s">
        <v>1805</v>
      </c>
      <c r="Y878" s="246" t="s">
        <v>1038</v>
      </c>
      <c r="Z878" s="235">
        <v>10</v>
      </c>
      <c r="AA878" s="235" t="s">
        <v>1182</v>
      </c>
      <c r="AB878" s="443" t="s">
        <v>2167</v>
      </c>
      <c r="AC878" s="238">
        <v>310</v>
      </c>
      <c r="AD878" s="292">
        <v>17642</v>
      </c>
      <c r="AE878" s="476">
        <v>17642</v>
      </c>
      <c r="AF878" s="476">
        <v>17642</v>
      </c>
      <c r="AG878" s="554"/>
      <c r="AH878" s="554"/>
      <c r="AI878" s="456"/>
    </row>
    <row r="879" spans="1:35" ht="32.25" x14ac:dyDescent="0.3">
      <c r="A879" s="286" t="s">
        <v>1807</v>
      </c>
      <c r="B879" s="283" t="s">
        <v>1327</v>
      </c>
      <c r="C879" s="235" t="s">
        <v>566</v>
      </c>
      <c r="D879" s="281">
        <v>13</v>
      </c>
      <c r="E879" s="236" t="s">
        <v>1774</v>
      </c>
      <c r="X879" s="559" t="s">
        <v>1184</v>
      </c>
      <c r="Y879" s="575">
        <v>902</v>
      </c>
      <c r="Z879" s="265"/>
      <c r="AA879" s="265"/>
      <c r="AB879" s="277"/>
      <c r="AC879" s="586"/>
      <c r="AD879" s="745">
        <f>AD888+AD922+AD1068+AD1077+AD1055+AD1104+AD880</f>
        <v>1953685.0000000002</v>
      </c>
      <c r="AE879" s="745">
        <f>AE888+AE922+AE1068+AE1077+AE1055+AE1104+AE880</f>
        <v>724901.6</v>
      </c>
      <c r="AF879" s="745">
        <f>AF888+AF922+AF1068+AF1077+AF1055+AF1104+AF880</f>
        <v>80937.3</v>
      </c>
      <c r="AG879" s="647"/>
      <c r="AH879" s="647"/>
      <c r="AI879" s="456"/>
    </row>
    <row r="880" spans="1:35" ht="18.75" x14ac:dyDescent="0.3">
      <c r="A880" s="352"/>
      <c r="B880" s="345"/>
      <c r="C880" s="346"/>
      <c r="D880" s="346"/>
      <c r="E880" s="347"/>
      <c r="X880" s="559" t="s">
        <v>482</v>
      </c>
      <c r="Y880" s="575">
        <v>902</v>
      </c>
      <c r="Z880" s="262" t="s">
        <v>566</v>
      </c>
      <c r="AA880" s="248"/>
      <c r="AB880" s="277"/>
      <c r="AC880" s="586"/>
      <c r="AD880" s="745">
        <f t="shared" ref="AD880:AD886" si="221">AD881</f>
        <v>19730</v>
      </c>
      <c r="AE880" s="745">
        <f t="shared" ref="AE880:AF880" si="222">AE881</f>
        <v>0</v>
      </c>
      <c r="AF880" s="745">
        <f t="shared" si="222"/>
        <v>0</v>
      </c>
      <c r="AG880" s="647"/>
      <c r="AH880" s="647"/>
      <c r="AI880" s="456"/>
    </row>
    <row r="881" spans="1:35" ht="18.75" x14ac:dyDescent="0.3">
      <c r="A881" s="352"/>
      <c r="B881" s="345"/>
      <c r="C881" s="346"/>
      <c r="D881" s="346"/>
      <c r="E881" s="347"/>
      <c r="X881" s="520" t="s">
        <v>287</v>
      </c>
      <c r="Y881" s="246">
        <v>902</v>
      </c>
      <c r="Z881" s="235" t="s">
        <v>566</v>
      </c>
      <c r="AA881" s="235">
        <v>13</v>
      </c>
      <c r="AB881" s="277"/>
      <c r="AC881" s="586"/>
      <c r="AD881" s="292">
        <f t="shared" si="221"/>
        <v>19730</v>
      </c>
      <c r="AE881" s="292">
        <f t="shared" ref="AE881:AF881" si="223">AE882</f>
        <v>0</v>
      </c>
      <c r="AF881" s="292">
        <f t="shared" si="223"/>
        <v>0</v>
      </c>
      <c r="AG881" s="647"/>
      <c r="AH881" s="647"/>
      <c r="AI881" s="456"/>
    </row>
    <row r="882" spans="1:35" x14ac:dyDescent="0.25">
      <c r="A882" s="352"/>
      <c r="B882" s="345"/>
      <c r="C882" s="346"/>
      <c r="D882" s="346"/>
      <c r="E882" s="347"/>
      <c r="X882" s="549" t="s">
        <v>1899</v>
      </c>
      <c r="Y882" s="246">
        <v>902</v>
      </c>
      <c r="Z882" s="235" t="s">
        <v>566</v>
      </c>
      <c r="AA882" s="235">
        <v>13</v>
      </c>
      <c r="AB882" s="443" t="s">
        <v>1772</v>
      </c>
      <c r="AC882" s="238"/>
      <c r="AD882" s="292">
        <f t="shared" si="221"/>
        <v>19730</v>
      </c>
      <c r="AE882" s="292">
        <f t="shared" ref="AE882:AF882" si="224">AE883</f>
        <v>0</v>
      </c>
      <c r="AF882" s="292">
        <f t="shared" si="224"/>
        <v>0</v>
      </c>
      <c r="AG882" s="647"/>
      <c r="AH882" s="647"/>
      <c r="AI882" s="456"/>
    </row>
    <row r="883" spans="1:35" x14ac:dyDescent="0.25">
      <c r="A883" s="352"/>
      <c r="B883" s="345"/>
      <c r="C883" s="346"/>
      <c r="D883" s="346"/>
      <c r="E883" s="347"/>
      <c r="X883" s="549" t="s">
        <v>1894</v>
      </c>
      <c r="Y883" s="246">
        <v>902</v>
      </c>
      <c r="Z883" s="235" t="s">
        <v>566</v>
      </c>
      <c r="AA883" s="235">
        <v>13</v>
      </c>
      <c r="AB883" s="443" t="s">
        <v>1773</v>
      </c>
      <c r="AC883" s="238"/>
      <c r="AD883" s="292">
        <f t="shared" si="221"/>
        <v>19730</v>
      </c>
      <c r="AE883" s="292">
        <f t="shared" ref="AE883:AF883" si="225">AE884</f>
        <v>0</v>
      </c>
      <c r="AF883" s="292">
        <f t="shared" si="225"/>
        <v>0</v>
      </c>
      <c r="AG883" s="647"/>
      <c r="AH883" s="647"/>
      <c r="AI883" s="456"/>
    </row>
    <row r="884" spans="1:35" ht="31.5" x14ac:dyDescent="0.25">
      <c r="A884" s="352"/>
      <c r="B884" s="345"/>
      <c r="C884" s="346"/>
      <c r="D884" s="346"/>
      <c r="E884" s="347"/>
      <c r="X884" s="530" t="s">
        <v>1895</v>
      </c>
      <c r="Y884" s="246">
        <v>902</v>
      </c>
      <c r="Z884" s="235" t="s">
        <v>566</v>
      </c>
      <c r="AA884" s="235">
        <v>13</v>
      </c>
      <c r="AB884" s="443" t="s">
        <v>1896</v>
      </c>
      <c r="AC884" s="238"/>
      <c r="AD884" s="292">
        <f t="shared" si="221"/>
        <v>19730</v>
      </c>
      <c r="AE884" s="292">
        <f t="shared" ref="AE884:AF884" si="226">AE885</f>
        <v>0</v>
      </c>
      <c r="AF884" s="292">
        <f t="shared" si="226"/>
        <v>0</v>
      </c>
      <c r="AG884" s="647"/>
      <c r="AH884" s="647"/>
      <c r="AI884" s="456"/>
    </row>
    <row r="885" spans="1:35" ht="31.5" x14ac:dyDescent="0.25">
      <c r="A885" s="352"/>
      <c r="B885" s="345"/>
      <c r="C885" s="346"/>
      <c r="D885" s="346"/>
      <c r="E885" s="347"/>
      <c r="X885" s="532" t="s">
        <v>1897</v>
      </c>
      <c r="Y885" s="246">
        <v>902</v>
      </c>
      <c r="Z885" s="235" t="s">
        <v>566</v>
      </c>
      <c r="AA885" s="235">
        <v>13</v>
      </c>
      <c r="AB885" s="443" t="s">
        <v>1898</v>
      </c>
      <c r="AC885" s="577"/>
      <c r="AD885" s="292">
        <f t="shared" si="221"/>
        <v>19730</v>
      </c>
      <c r="AE885" s="292">
        <f t="shared" ref="AE885:AF885" si="227">AE886</f>
        <v>0</v>
      </c>
      <c r="AF885" s="292">
        <f t="shared" si="227"/>
        <v>0</v>
      </c>
      <c r="AG885" s="647"/>
      <c r="AH885" s="647"/>
      <c r="AI885" s="456"/>
    </row>
    <row r="886" spans="1:35" x14ac:dyDescent="0.25">
      <c r="A886" s="352"/>
      <c r="B886" s="345"/>
      <c r="C886" s="346"/>
      <c r="D886" s="346"/>
      <c r="E886" s="347"/>
      <c r="X886" s="520" t="s">
        <v>1782</v>
      </c>
      <c r="Y886" s="246">
        <v>902</v>
      </c>
      <c r="Z886" s="235" t="s">
        <v>566</v>
      </c>
      <c r="AA886" s="235">
        <v>13</v>
      </c>
      <c r="AB886" s="443" t="s">
        <v>1898</v>
      </c>
      <c r="AC886" s="238">
        <v>200</v>
      </c>
      <c r="AD886" s="292">
        <f t="shared" si="221"/>
        <v>19730</v>
      </c>
      <c r="AE886" s="292">
        <f t="shared" ref="AE886:AF886" si="228">AE887</f>
        <v>0</v>
      </c>
      <c r="AF886" s="292">
        <f t="shared" si="228"/>
        <v>0</v>
      </c>
      <c r="AG886" s="647"/>
      <c r="AH886" s="647"/>
      <c r="AI886" s="456"/>
    </row>
    <row r="887" spans="1:35" ht="21.6" customHeight="1" x14ac:dyDescent="0.25">
      <c r="A887" s="352"/>
      <c r="B887" s="345"/>
      <c r="C887" s="346"/>
      <c r="D887" s="346"/>
      <c r="E887" s="347"/>
      <c r="X887" s="520" t="s">
        <v>1274</v>
      </c>
      <c r="Y887" s="246">
        <v>902</v>
      </c>
      <c r="Z887" s="235" t="s">
        <v>566</v>
      </c>
      <c r="AA887" s="235">
        <v>13</v>
      </c>
      <c r="AB887" s="443" t="s">
        <v>1898</v>
      </c>
      <c r="AC887" s="238">
        <v>240</v>
      </c>
      <c r="AD887" s="292">
        <f>16000+3730</f>
        <v>19730</v>
      </c>
      <c r="AE887" s="476">
        <v>0</v>
      </c>
      <c r="AF887" s="476">
        <v>0</v>
      </c>
      <c r="AG887" s="647"/>
      <c r="AH887" s="647"/>
      <c r="AI887" s="456"/>
    </row>
    <row r="888" spans="1:35" ht="18.75" x14ac:dyDescent="0.3">
      <c r="X888" s="559" t="s">
        <v>994</v>
      </c>
      <c r="Y888" s="575" t="s">
        <v>1741</v>
      </c>
      <c r="Z888" s="247" t="s">
        <v>1182</v>
      </c>
      <c r="AA888" s="266"/>
      <c r="AB888" s="278"/>
      <c r="AC888" s="596"/>
      <c r="AD888" s="745">
        <f>AD889+AD896</f>
        <v>55416.4</v>
      </c>
      <c r="AE888" s="479">
        <f>AE889+AE896</f>
        <v>7982.9</v>
      </c>
      <c r="AF888" s="479">
        <f>AF889+AF896</f>
        <v>10049.9</v>
      </c>
      <c r="AG888" s="647"/>
      <c r="AH888" s="647"/>
      <c r="AI888" s="456"/>
    </row>
    <row r="889" spans="1:35" ht="18.75" x14ac:dyDescent="0.3">
      <c r="X889" s="520" t="s">
        <v>289</v>
      </c>
      <c r="Y889" s="246" t="s">
        <v>1741</v>
      </c>
      <c r="Z889" s="255" t="s">
        <v>1182</v>
      </c>
      <c r="AA889" s="235" t="s">
        <v>175</v>
      </c>
      <c r="AB889" s="278"/>
      <c r="AC889" s="596"/>
      <c r="AD889" s="292">
        <f t="shared" ref="AD889:AF892" si="229">AD890</f>
        <v>1070</v>
      </c>
      <c r="AE889" s="476">
        <f t="shared" si="229"/>
        <v>655</v>
      </c>
      <c r="AF889" s="476">
        <f t="shared" si="229"/>
        <v>655</v>
      </c>
      <c r="AG889" s="554"/>
      <c r="AH889" s="554"/>
      <c r="AI889" s="456"/>
    </row>
    <row r="890" spans="1:35" ht="18.75" x14ac:dyDescent="0.3">
      <c r="X890" s="521" t="s">
        <v>1967</v>
      </c>
      <c r="Y890" s="246" t="s">
        <v>1741</v>
      </c>
      <c r="Z890" s="255" t="s">
        <v>1182</v>
      </c>
      <c r="AA890" s="235" t="s">
        <v>175</v>
      </c>
      <c r="AB890" s="443" t="s">
        <v>1817</v>
      </c>
      <c r="AC890" s="596"/>
      <c r="AD890" s="292">
        <f t="shared" si="229"/>
        <v>1070</v>
      </c>
      <c r="AE890" s="476">
        <f t="shared" si="229"/>
        <v>655</v>
      </c>
      <c r="AF890" s="476">
        <f t="shared" si="229"/>
        <v>655</v>
      </c>
      <c r="AG890" s="554"/>
      <c r="AH890" s="554"/>
      <c r="AI890" s="456"/>
    </row>
    <row r="891" spans="1:35" ht="18.75" x14ac:dyDescent="0.3">
      <c r="X891" s="521" t="s">
        <v>1968</v>
      </c>
      <c r="Y891" s="246" t="s">
        <v>1741</v>
      </c>
      <c r="Z891" s="255" t="s">
        <v>1182</v>
      </c>
      <c r="AA891" s="235" t="s">
        <v>175</v>
      </c>
      <c r="AB891" s="443" t="s">
        <v>1969</v>
      </c>
      <c r="AC891" s="596"/>
      <c r="AD891" s="292">
        <f t="shared" si="229"/>
        <v>1070</v>
      </c>
      <c r="AE891" s="476">
        <f t="shared" si="229"/>
        <v>655</v>
      </c>
      <c r="AF891" s="476">
        <f t="shared" si="229"/>
        <v>655</v>
      </c>
      <c r="AG891" s="554"/>
      <c r="AH891" s="554"/>
      <c r="AI891" s="456"/>
    </row>
    <row r="892" spans="1:35" ht="48" x14ac:dyDescent="0.3">
      <c r="X892" s="521" t="s">
        <v>1970</v>
      </c>
      <c r="Y892" s="246" t="s">
        <v>1741</v>
      </c>
      <c r="Z892" s="255" t="s">
        <v>1182</v>
      </c>
      <c r="AA892" s="235" t="s">
        <v>175</v>
      </c>
      <c r="AB892" s="443" t="s">
        <v>1971</v>
      </c>
      <c r="AC892" s="596"/>
      <c r="AD892" s="292">
        <f t="shared" si="229"/>
        <v>1070</v>
      </c>
      <c r="AE892" s="476">
        <f t="shared" si="229"/>
        <v>655</v>
      </c>
      <c r="AF892" s="476">
        <f t="shared" si="229"/>
        <v>655</v>
      </c>
      <c r="AG892" s="554"/>
      <c r="AH892" s="554"/>
      <c r="AI892" s="456"/>
    </row>
    <row r="893" spans="1:35" ht="47.25" x14ac:dyDescent="0.25">
      <c r="X893" s="521" t="s">
        <v>2281</v>
      </c>
      <c r="Y893" s="246" t="s">
        <v>1741</v>
      </c>
      <c r="Z893" s="255" t="s">
        <v>1182</v>
      </c>
      <c r="AA893" s="235" t="s">
        <v>175</v>
      </c>
      <c r="AB893" s="443" t="s">
        <v>1972</v>
      </c>
      <c r="AC893" s="238"/>
      <c r="AD893" s="292">
        <f t="shared" ref="AD893:AF894" si="230">AD894</f>
        <v>1070</v>
      </c>
      <c r="AE893" s="476">
        <f t="shared" si="230"/>
        <v>655</v>
      </c>
      <c r="AF893" s="476">
        <f t="shared" si="230"/>
        <v>655</v>
      </c>
      <c r="AG893" s="554"/>
      <c r="AH893" s="554"/>
      <c r="AI893" s="456"/>
    </row>
    <row r="894" spans="1:35" x14ac:dyDescent="0.25">
      <c r="X894" s="520" t="s">
        <v>1782</v>
      </c>
      <c r="Y894" s="246" t="s">
        <v>1741</v>
      </c>
      <c r="Z894" s="255" t="s">
        <v>1182</v>
      </c>
      <c r="AA894" s="235" t="s">
        <v>175</v>
      </c>
      <c r="AB894" s="443" t="s">
        <v>1972</v>
      </c>
      <c r="AC894" s="577">
        <v>200</v>
      </c>
      <c r="AD894" s="292">
        <f t="shared" si="230"/>
        <v>1070</v>
      </c>
      <c r="AE894" s="476">
        <f t="shared" si="230"/>
        <v>655</v>
      </c>
      <c r="AF894" s="476">
        <f t="shared" si="230"/>
        <v>655</v>
      </c>
      <c r="AG894" s="554"/>
      <c r="AH894" s="554"/>
      <c r="AI894" s="456"/>
    </row>
    <row r="895" spans="1:35" ht="31.5" x14ac:dyDescent="0.25">
      <c r="X895" s="520" t="s">
        <v>1274</v>
      </c>
      <c r="Y895" s="246" t="s">
        <v>1741</v>
      </c>
      <c r="Z895" s="255" t="s">
        <v>1182</v>
      </c>
      <c r="AA895" s="235" t="s">
        <v>175</v>
      </c>
      <c r="AB895" s="443" t="s">
        <v>1972</v>
      </c>
      <c r="AC895" s="238">
        <v>240</v>
      </c>
      <c r="AD895" s="292">
        <f>655+415</f>
        <v>1070</v>
      </c>
      <c r="AE895" s="476">
        <v>655</v>
      </c>
      <c r="AF895" s="476">
        <v>655</v>
      </c>
      <c r="AG895" s="554"/>
      <c r="AH895" s="554"/>
      <c r="AI895" s="456"/>
    </row>
    <row r="896" spans="1:35" ht="18.75" x14ac:dyDescent="0.3">
      <c r="X896" s="520" t="s">
        <v>1740</v>
      </c>
      <c r="Y896" s="246" t="s">
        <v>1741</v>
      </c>
      <c r="Z896" s="235" t="s">
        <v>1182</v>
      </c>
      <c r="AA896" s="235" t="s">
        <v>406</v>
      </c>
      <c r="AB896" s="277"/>
      <c r="AC896" s="586"/>
      <c r="AD896" s="292">
        <f>AD897+AD909</f>
        <v>54346.400000000001</v>
      </c>
      <c r="AE896" s="292">
        <f>AE897+AE909</f>
        <v>7327.9</v>
      </c>
      <c r="AF896" s="292">
        <f>AF897+AF909</f>
        <v>9394.9</v>
      </c>
      <c r="AG896" s="554"/>
      <c r="AH896" s="554"/>
      <c r="AI896" s="456"/>
    </row>
    <row r="897" spans="1:35" ht="31.5" x14ac:dyDescent="0.25">
      <c r="A897" s="237"/>
      <c r="B897" s="237"/>
      <c r="C897" s="237"/>
      <c r="D897" s="237"/>
      <c r="E897" s="237"/>
      <c r="F897" s="237"/>
      <c r="G897" s="237"/>
      <c r="H897" s="237"/>
      <c r="I897" s="237"/>
      <c r="J897" s="237"/>
      <c r="K897" s="237"/>
      <c r="L897" s="237"/>
      <c r="M897" s="237"/>
      <c r="N897" s="237"/>
      <c r="O897" s="237"/>
      <c r="P897" s="237"/>
      <c r="R897" s="237"/>
      <c r="S897" s="237"/>
      <c r="W897" s="237"/>
      <c r="X897" s="549" t="s">
        <v>1950</v>
      </c>
      <c r="Y897" s="246" t="s">
        <v>1741</v>
      </c>
      <c r="Z897" s="235" t="s">
        <v>1182</v>
      </c>
      <c r="AA897" s="235" t="s">
        <v>406</v>
      </c>
      <c r="AB897" s="443" t="s">
        <v>1951</v>
      </c>
      <c r="AC897" s="238"/>
      <c r="AD897" s="292">
        <f t="shared" ref="AD897:AF898" si="231">AD898</f>
        <v>31709.5</v>
      </c>
      <c r="AE897" s="476">
        <f t="shared" si="231"/>
        <v>7327.9</v>
      </c>
      <c r="AF897" s="476">
        <f t="shared" si="231"/>
        <v>9394.9</v>
      </c>
      <c r="AG897" s="554"/>
      <c r="AH897" s="554"/>
      <c r="AI897" s="456"/>
    </row>
    <row r="898" spans="1:35" x14ac:dyDescent="0.25">
      <c r="A898" s="237"/>
      <c r="B898" s="237"/>
      <c r="C898" s="237"/>
      <c r="D898" s="237"/>
      <c r="E898" s="237"/>
      <c r="F898" s="237"/>
      <c r="G898" s="237"/>
      <c r="H898" s="237"/>
      <c r="I898" s="237"/>
      <c r="J898" s="237"/>
      <c r="K898" s="237"/>
      <c r="L898" s="237"/>
      <c r="M898" s="237"/>
      <c r="N898" s="237"/>
      <c r="O898" s="237"/>
      <c r="P898" s="237"/>
      <c r="R898" s="237"/>
      <c r="S898" s="237"/>
      <c r="W898" s="237"/>
      <c r="X898" s="549" t="s">
        <v>1956</v>
      </c>
      <c r="Y898" s="246" t="s">
        <v>1741</v>
      </c>
      <c r="Z898" s="235" t="s">
        <v>1182</v>
      </c>
      <c r="AA898" s="235" t="s">
        <v>406</v>
      </c>
      <c r="AB898" s="443" t="s">
        <v>1957</v>
      </c>
      <c r="AC898" s="238"/>
      <c r="AD898" s="292">
        <f t="shared" si="231"/>
        <v>31709.5</v>
      </c>
      <c r="AE898" s="476">
        <f t="shared" si="231"/>
        <v>7327.9</v>
      </c>
      <c r="AF898" s="476">
        <f t="shared" si="231"/>
        <v>9394.9</v>
      </c>
      <c r="AG898" s="554"/>
      <c r="AH898" s="554"/>
      <c r="AI898" s="456"/>
    </row>
    <row r="899" spans="1:35" ht="31.5" x14ac:dyDescent="0.25">
      <c r="A899" s="237"/>
      <c r="B899" s="237"/>
      <c r="C899" s="237"/>
      <c r="D899" s="237"/>
      <c r="E899" s="237"/>
      <c r="F899" s="237"/>
      <c r="G899" s="237"/>
      <c r="H899" s="237"/>
      <c r="I899" s="237"/>
      <c r="J899" s="237"/>
      <c r="K899" s="237"/>
      <c r="L899" s="237"/>
      <c r="M899" s="237"/>
      <c r="N899" s="237"/>
      <c r="O899" s="237"/>
      <c r="P899" s="237"/>
      <c r="R899" s="237"/>
      <c r="S899" s="237"/>
      <c r="W899" s="237"/>
      <c r="X899" s="530" t="s">
        <v>1955</v>
      </c>
      <c r="Y899" s="246" t="s">
        <v>1741</v>
      </c>
      <c r="Z899" s="254" t="s">
        <v>1182</v>
      </c>
      <c r="AA899" s="254" t="s">
        <v>406</v>
      </c>
      <c r="AB899" s="443" t="s">
        <v>2213</v>
      </c>
      <c r="AC899" s="577"/>
      <c r="AD899" s="292">
        <f>AD903+AD906+AD900</f>
        <v>31709.5</v>
      </c>
      <c r="AE899" s="476">
        <f>AE903+AE906+AE900</f>
        <v>7327.9</v>
      </c>
      <c r="AF899" s="476">
        <f>AF903+AF906+AF900</f>
        <v>9394.9</v>
      </c>
      <c r="AG899" s="554"/>
      <c r="AH899" s="554"/>
      <c r="AI899" s="456"/>
    </row>
    <row r="900" spans="1:35" ht="31.5" x14ac:dyDescent="0.25">
      <c r="A900" s="237"/>
      <c r="B900" s="237"/>
      <c r="C900" s="237"/>
      <c r="D900" s="237"/>
      <c r="E900" s="237"/>
      <c r="F900" s="237"/>
      <c r="G900" s="237"/>
      <c r="H900" s="237"/>
      <c r="I900" s="237"/>
      <c r="J900" s="237"/>
      <c r="K900" s="237"/>
      <c r="L900" s="237"/>
      <c r="M900" s="237"/>
      <c r="N900" s="237"/>
      <c r="O900" s="237"/>
      <c r="P900" s="237"/>
      <c r="R900" s="237"/>
      <c r="S900" s="237"/>
      <c r="W900" s="237"/>
      <c r="X900" s="553" t="s">
        <v>2270</v>
      </c>
      <c r="Y900" s="246" t="s">
        <v>1741</v>
      </c>
      <c r="Z900" s="235" t="s">
        <v>1182</v>
      </c>
      <c r="AA900" s="235" t="s">
        <v>406</v>
      </c>
      <c r="AB900" s="443" t="s">
        <v>2271</v>
      </c>
      <c r="AC900" s="577"/>
      <c r="AD900" s="292">
        <f t="shared" ref="AD900:AF901" si="232">AD901</f>
        <v>2076.5000000000005</v>
      </c>
      <c r="AE900" s="476">
        <f t="shared" si="232"/>
        <v>728.9</v>
      </c>
      <c r="AF900" s="476">
        <f t="shared" si="232"/>
        <v>728.9</v>
      </c>
      <c r="AG900" s="554"/>
      <c r="AH900" s="554"/>
      <c r="AI900" s="456"/>
    </row>
    <row r="901" spans="1:35" x14ac:dyDescent="0.25">
      <c r="A901" s="237"/>
      <c r="B901" s="237"/>
      <c r="C901" s="237"/>
      <c r="D901" s="237"/>
      <c r="E901" s="237"/>
      <c r="F901" s="237"/>
      <c r="G901" s="237"/>
      <c r="H901" s="237"/>
      <c r="I901" s="237"/>
      <c r="J901" s="237"/>
      <c r="K901" s="237"/>
      <c r="L901" s="237"/>
      <c r="M901" s="237"/>
      <c r="N901" s="237"/>
      <c r="O901" s="237"/>
      <c r="P901" s="237"/>
      <c r="R901" s="237"/>
      <c r="S901" s="237"/>
      <c r="W901" s="237"/>
      <c r="X901" s="520" t="s">
        <v>1782</v>
      </c>
      <c r="Y901" s="246" t="s">
        <v>1741</v>
      </c>
      <c r="Z901" s="235" t="s">
        <v>1182</v>
      </c>
      <c r="AA901" s="235" t="s">
        <v>406</v>
      </c>
      <c r="AB901" s="443" t="s">
        <v>2271</v>
      </c>
      <c r="AC901" s="238">
        <v>200</v>
      </c>
      <c r="AD901" s="292">
        <f t="shared" si="232"/>
        <v>2076.5000000000005</v>
      </c>
      <c r="AE901" s="476">
        <f t="shared" si="232"/>
        <v>728.9</v>
      </c>
      <c r="AF901" s="476">
        <f t="shared" si="232"/>
        <v>728.9</v>
      </c>
      <c r="AG901" s="554"/>
      <c r="AH901" s="554"/>
      <c r="AI901" s="456"/>
    </row>
    <row r="902" spans="1:35" ht="31.5" x14ac:dyDescent="0.25">
      <c r="A902" s="237"/>
      <c r="B902" s="237"/>
      <c r="C902" s="237"/>
      <c r="D902" s="237"/>
      <c r="E902" s="237"/>
      <c r="F902" s="237"/>
      <c r="G902" s="237"/>
      <c r="H902" s="237"/>
      <c r="I902" s="237"/>
      <c r="J902" s="237"/>
      <c r="K902" s="237"/>
      <c r="L902" s="237"/>
      <c r="M902" s="237"/>
      <c r="N902" s="237"/>
      <c r="O902" s="237"/>
      <c r="P902" s="237"/>
      <c r="R902" s="237"/>
      <c r="S902" s="237"/>
      <c r="W902" s="237"/>
      <c r="X902" s="520" t="s">
        <v>1274</v>
      </c>
      <c r="Y902" s="246" t="s">
        <v>1741</v>
      </c>
      <c r="Z902" s="254" t="s">
        <v>1182</v>
      </c>
      <c r="AA902" s="254" t="s">
        <v>406</v>
      </c>
      <c r="AB902" s="443" t="s">
        <v>2271</v>
      </c>
      <c r="AC902" s="238">
        <v>240</v>
      </c>
      <c r="AD902" s="292">
        <f>728.9+500+500+350+73.3-75.7</f>
        <v>2076.5000000000005</v>
      </c>
      <c r="AE902" s="476">
        <v>728.9</v>
      </c>
      <c r="AF902" s="476">
        <v>728.9</v>
      </c>
      <c r="AG902" s="554"/>
      <c r="AH902" s="554"/>
      <c r="AI902" s="456"/>
    </row>
    <row r="903" spans="1:35" x14ac:dyDescent="0.25">
      <c r="A903" s="237"/>
      <c r="B903" s="237"/>
      <c r="C903" s="237"/>
      <c r="D903" s="237"/>
      <c r="E903" s="237"/>
      <c r="F903" s="237"/>
      <c r="G903" s="237"/>
      <c r="H903" s="237"/>
      <c r="I903" s="237"/>
      <c r="J903" s="237"/>
      <c r="K903" s="237"/>
      <c r="L903" s="237"/>
      <c r="M903" s="237"/>
      <c r="N903" s="237"/>
      <c r="O903" s="237"/>
      <c r="P903" s="237"/>
      <c r="R903" s="237"/>
      <c r="S903" s="237"/>
      <c r="W903" s="237"/>
      <c r="X903" s="532" t="s">
        <v>2236</v>
      </c>
      <c r="Y903" s="246" t="s">
        <v>1741</v>
      </c>
      <c r="Z903" s="254" t="s">
        <v>1182</v>
      </c>
      <c r="AA903" s="254" t="s">
        <v>406</v>
      </c>
      <c r="AB903" s="443" t="s">
        <v>2237</v>
      </c>
      <c r="AC903" s="238"/>
      <c r="AD903" s="292">
        <f t="shared" ref="AD903:AF904" si="233">AD904</f>
        <v>4649</v>
      </c>
      <c r="AE903" s="476">
        <f t="shared" si="233"/>
        <v>1000</v>
      </c>
      <c r="AF903" s="476">
        <f t="shared" si="233"/>
        <v>1000</v>
      </c>
      <c r="AG903" s="554"/>
      <c r="AH903" s="554"/>
      <c r="AI903" s="456"/>
    </row>
    <row r="904" spans="1:35" x14ac:dyDescent="0.25">
      <c r="X904" s="520" t="s">
        <v>1782</v>
      </c>
      <c r="Y904" s="246" t="s">
        <v>1741</v>
      </c>
      <c r="Z904" s="254" t="s">
        <v>1182</v>
      </c>
      <c r="AA904" s="254" t="s">
        <v>406</v>
      </c>
      <c r="AB904" s="443" t="s">
        <v>2237</v>
      </c>
      <c r="AC904" s="238">
        <v>200</v>
      </c>
      <c r="AD904" s="292">
        <f t="shared" si="233"/>
        <v>4649</v>
      </c>
      <c r="AE904" s="476">
        <f t="shared" si="233"/>
        <v>1000</v>
      </c>
      <c r="AF904" s="476">
        <f t="shared" si="233"/>
        <v>1000</v>
      </c>
      <c r="AG904" s="554"/>
      <c r="AH904" s="554"/>
      <c r="AI904" s="456"/>
    </row>
    <row r="905" spans="1:35" ht="31.5" x14ac:dyDescent="0.25">
      <c r="X905" s="520" t="s">
        <v>1274</v>
      </c>
      <c r="Y905" s="246" t="s">
        <v>1741</v>
      </c>
      <c r="Z905" s="254" t="s">
        <v>1182</v>
      </c>
      <c r="AA905" s="254" t="s">
        <v>406</v>
      </c>
      <c r="AB905" s="443" t="s">
        <v>2237</v>
      </c>
      <c r="AC905" s="238">
        <v>240</v>
      </c>
      <c r="AD905" s="292">
        <f>1000+3000+433+40+176</f>
        <v>4649</v>
      </c>
      <c r="AE905" s="476">
        <v>1000</v>
      </c>
      <c r="AF905" s="476">
        <v>1000</v>
      </c>
      <c r="AG905" s="554"/>
      <c r="AH905" s="554"/>
      <c r="AI905" s="456"/>
    </row>
    <row r="906" spans="1:35" ht="31.5" x14ac:dyDescent="0.25">
      <c r="X906" s="530" t="s">
        <v>2149</v>
      </c>
      <c r="Y906" s="246" t="s">
        <v>1741</v>
      </c>
      <c r="Z906" s="254" t="s">
        <v>1182</v>
      </c>
      <c r="AA906" s="254" t="s">
        <v>406</v>
      </c>
      <c r="AB906" s="443" t="s">
        <v>2214</v>
      </c>
      <c r="AC906" s="238"/>
      <c r="AD906" s="292">
        <f t="shared" ref="AD906:AF907" si="234">AD907</f>
        <v>24984</v>
      </c>
      <c r="AE906" s="476">
        <f t="shared" si="234"/>
        <v>5599</v>
      </c>
      <c r="AF906" s="476">
        <f t="shared" si="234"/>
        <v>7666</v>
      </c>
      <c r="AG906" s="554"/>
      <c r="AH906" s="554"/>
      <c r="AI906" s="456"/>
    </row>
    <row r="907" spans="1:35" x14ac:dyDescent="0.25">
      <c r="X907" s="520" t="s">
        <v>1782</v>
      </c>
      <c r="Y907" s="246" t="s">
        <v>1741</v>
      </c>
      <c r="Z907" s="254" t="s">
        <v>1182</v>
      </c>
      <c r="AA907" s="254" t="s">
        <v>406</v>
      </c>
      <c r="AB907" s="443" t="s">
        <v>2214</v>
      </c>
      <c r="AC907" s="238">
        <v>200</v>
      </c>
      <c r="AD907" s="292">
        <f t="shared" si="234"/>
        <v>24984</v>
      </c>
      <c r="AE907" s="476">
        <f t="shared" si="234"/>
        <v>5599</v>
      </c>
      <c r="AF907" s="476">
        <f t="shared" si="234"/>
        <v>7666</v>
      </c>
      <c r="AG907" s="554"/>
      <c r="AH907" s="554"/>
      <c r="AI907" s="456"/>
    </row>
    <row r="908" spans="1:35" ht="31.5" x14ac:dyDescent="0.25">
      <c r="X908" s="520" t="s">
        <v>1274</v>
      </c>
      <c r="Y908" s="246" t="s">
        <v>1741</v>
      </c>
      <c r="Z908" s="254" t="s">
        <v>1182</v>
      </c>
      <c r="AA908" s="254" t="s">
        <v>406</v>
      </c>
      <c r="AB908" s="443" t="s">
        <v>2214</v>
      </c>
      <c r="AC908" s="238">
        <v>240</v>
      </c>
      <c r="AD908" s="292">
        <f>25534+1344-1800-94</f>
        <v>24984</v>
      </c>
      <c r="AE908" s="476">
        <f>5319+280</f>
        <v>5599</v>
      </c>
      <c r="AF908" s="476">
        <f>13592+716-6310-332</f>
        <v>7666</v>
      </c>
      <c r="AG908" s="554"/>
      <c r="AH908" s="554"/>
      <c r="AI908" s="456"/>
    </row>
    <row r="909" spans="1:35" x14ac:dyDescent="0.25">
      <c r="X909" s="549" t="s">
        <v>1973</v>
      </c>
      <c r="Y909" s="246" t="s">
        <v>1741</v>
      </c>
      <c r="Z909" s="254" t="s">
        <v>1182</v>
      </c>
      <c r="AA909" s="254" t="s">
        <v>406</v>
      </c>
      <c r="AB909" s="443" t="s">
        <v>1974</v>
      </c>
      <c r="AC909" s="238"/>
      <c r="AD909" s="292">
        <f t="shared" ref="AD909:AF920" si="235">AD910</f>
        <v>22636.9</v>
      </c>
      <c r="AE909" s="292">
        <f t="shared" si="235"/>
        <v>0</v>
      </c>
      <c r="AF909" s="292">
        <f t="shared" si="235"/>
        <v>0</v>
      </c>
      <c r="AG909" s="554"/>
      <c r="AH909" s="554"/>
      <c r="AI909" s="456"/>
    </row>
    <row r="910" spans="1:35" x14ac:dyDescent="0.25">
      <c r="X910" s="549" t="s">
        <v>2343</v>
      </c>
      <c r="Y910" s="246" t="s">
        <v>1741</v>
      </c>
      <c r="Z910" s="254" t="s">
        <v>1182</v>
      </c>
      <c r="AA910" s="254" t="s">
        <v>406</v>
      </c>
      <c r="AB910" s="443" t="s">
        <v>2344</v>
      </c>
      <c r="AC910" s="238"/>
      <c r="AD910" s="292">
        <f>AD918+AD911</f>
        <v>22636.9</v>
      </c>
      <c r="AE910" s="292">
        <f t="shared" ref="AE910:AF910" si="236">AE918+AE911</f>
        <v>0</v>
      </c>
      <c r="AF910" s="292">
        <f t="shared" si="236"/>
        <v>0</v>
      </c>
      <c r="AG910" s="554"/>
      <c r="AH910" s="554"/>
      <c r="AI910" s="456"/>
    </row>
    <row r="911" spans="1:35" ht="37.15" customHeight="1" x14ac:dyDescent="0.25">
      <c r="X911" s="549" t="s">
        <v>2410</v>
      </c>
      <c r="Y911" s="246" t="s">
        <v>1741</v>
      </c>
      <c r="Z911" s="254" t="s">
        <v>1182</v>
      </c>
      <c r="AA911" s="254" t="s">
        <v>406</v>
      </c>
      <c r="AB911" s="443" t="s">
        <v>2411</v>
      </c>
      <c r="AC911" s="238"/>
      <c r="AD911" s="292">
        <f>AD912+AD915</f>
        <v>7888.2</v>
      </c>
      <c r="AE911" s="292">
        <f t="shared" ref="AE911:AF911" si="237">AE912+AE915</f>
        <v>0</v>
      </c>
      <c r="AF911" s="292">
        <f t="shared" si="237"/>
        <v>0</v>
      </c>
      <c r="AG911" s="554"/>
      <c r="AH911" s="554"/>
      <c r="AI911" s="456"/>
    </row>
    <row r="912" spans="1:35" x14ac:dyDescent="0.25">
      <c r="X912" s="520" t="s">
        <v>2437</v>
      </c>
      <c r="Y912" s="246" t="s">
        <v>1741</v>
      </c>
      <c r="Z912" s="254" t="s">
        <v>1182</v>
      </c>
      <c r="AA912" s="254" t="s">
        <v>406</v>
      </c>
      <c r="AB912" s="443" t="s">
        <v>2438</v>
      </c>
      <c r="AC912" s="580"/>
      <c r="AD912" s="292">
        <f>AD913</f>
        <v>7303.5</v>
      </c>
      <c r="AE912" s="292">
        <f t="shared" ref="AE912:AF913" si="238">AE913</f>
        <v>0</v>
      </c>
      <c r="AF912" s="292">
        <f t="shared" si="238"/>
        <v>0</v>
      </c>
      <c r="AG912" s="554"/>
      <c r="AH912" s="554"/>
      <c r="AI912" s="456"/>
    </row>
    <row r="913" spans="24:35" x14ac:dyDescent="0.25">
      <c r="X913" s="520" t="s">
        <v>1782</v>
      </c>
      <c r="Y913" s="246" t="s">
        <v>1741</v>
      </c>
      <c r="Z913" s="254" t="s">
        <v>1182</v>
      </c>
      <c r="AA913" s="254" t="s">
        <v>406</v>
      </c>
      <c r="AB913" s="443" t="s">
        <v>2438</v>
      </c>
      <c r="AC913" s="580" t="s">
        <v>821</v>
      </c>
      <c r="AD913" s="292">
        <f>AD914</f>
        <v>7303.5</v>
      </c>
      <c r="AE913" s="292">
        <f t="shared" si="238"/>
        <v>0</v>
      </c>
      <c r="AF913" s="292">
        <f t="shared" si="238"/>
        <v>0</v>
      </c>
      <c r="AG913" s="554"/>
      <c r="AH913" s="554"/>
      <c r="AI913" s="456"/>
    </row>
    <row r="914" spans="24:35" ht="31.5" x14ac:dyDescent="0.25">
      <c r="X914" s="520" t="s">
        <v>1274</v>
      </c>
      <c r="Y914" s="246" t="s">
        <v>1741</v>
      </c>
      <c r="Z914" s="254" t="s">
        <v>1182</v>
      </c>
      <c r="AA914" s="254" t="s">
        <v>406</v>
      </c>
      <c r="AB914" s="443" t="s">
        <v>2438</v>
      </c>
      <c r="AC914" s="580" t="s">
        <v>1480</v>
      </c>
      <c r="AD914" s="292">
        <f>2633.9+578.2+3354.9+736.5</f>
        <v>7303.5</v>
      </c>
      <c r="AE914" s="292">
        <v>0</v>
      </c>
      <c r="AF914" s="292">
        <v>0</v>
      </c>
      <c r="AG914" s="554"/>
      <c r="AH914" s="554"/>
      <c r="AI914" s="456"/>
    </row>
    <row r="915" spans="24:35" x14ac:dyDescent="0.25">
      <c r="X915" s="520" t="s">
        <v>2442</v>
      </c>
      <c r="Y915" s="246" t="s">
        <v>1741</v>
      </c>
      <c r="Z915" s="254" t="s">
        <v>1182</v>
      </c>
      <c r="AA915" s="254" t="s">
        <v>406</v>
      </c>
      <c r="AB915" s="443" t="s">
        <v>2441</v>
      </c>
      <c r="AC915" s="580"/>
      <c r="AD915" s="292">
        <f>AD916</f>
        <v>584.70000000000005</v>
      </c>
      <c r="AE915" s="292">
        <f t="shared" ref="AE915:AF916" si="239">AE916</f>
        <v>0</v>
      </c>
      <c r="AF915" s="292">
        <f t="shared" si="239"/>
        <v>0</v>
      </c>
      <c r="AG915" s="554"/>
      <c r="AH915" s="554"/>
      <c r="AI915" s="456"/>
    </row>
    <row r="916" spans="24:35" x14ac:dyDescent="0.25">
      <c r="X916" s="520" t="s">
        <v>1782</v>
      </c>
      <c r="Y916" s="246" t="s">
        <v>1741</v>
      </c>
      <c r="Z916" s="254" t="s">
        <v>1182</v>
      </c>
      <c r="AA916" s="254" t="s">
        <v>406</v>
      </c>
      <c r="AB916" s="443" t="s">
        <v>2441</v>
      </c>
      <c r="AC916" s="580" t="s">
        <v>821</v>
      </c>
      <c r="AD916" s="292">
        <f>AD917</f>
        <v>584.70000000000005</v>
      </c>
      <c r="AE916" s="292">
        <f t="shared" si="239"/>
        <v>0</v>
      </c>
      <c r="AF916" s="292">
        <f t="shared" si="239"/>
        <v>0</v>
      </c>
      <c r="AG916" s="554"/>
      <c r="AH916" s="554"/>
      <c r="AI916" s="456"/>
    </row>
    <row r="917" spans="24:35" ht="31.5" x14ac:dyDescent="0.25">
      <c r="X917" s="520" t="s">
        <v>1274</v>
      </c>
      <c r="Y917" s="246" t="s">
        <v>1741</v>
      </c>
      <c r="Z917" s="254" t="s">
        <v>1182</v>
      </c>
      <c r="AA917" s="254" t="s">
        <v>406</v>
      </c>
      <c r="AB917" s="443" t="s">
        <v>2441</v>
      </c>
      <c r="AC917" s="580" t="s">
        <v>1480</v>
      </c>
      <c r="AD917" s="292">
        <f>479.5+105.2</f>
        <v>584.70000000000005</v>
      </c>
      <c r="AE917" s="292">
        <v>0</v>
      </c>
      <c r="AF917" s="292">
        <v>0</v>
      </c>
      <c r="AG917" s="554"/>
      <c r="AH917" s="554"/>
      <c r="AI917" s="456"/>
    </row>
    <row r="918" spans="24:35" x14ac:dyDescent="0.25">
      <c r="X918" s="520" t="s">
        <v>2345</v>
      </c>
      <c r="Y918" s="246" t="s">
        <v>1741</v>
      </c>
      <c r="Z918" s="254" t="s">
        <v>1182</v>
      </c>
      <c r="AA918" s="254" t="s">
        <v>406</v>
      </c>
      <c r="AB918" s="443" t="s">
        <v>2348</v>
      </c>
      <c r="AC918" s="238"/>
      <c r="AD918" s="292">
        <f t="shared" si="235"/>
        <v>14748.7</v>
      </c>
      <c r="AE918" s="476">
        <f t="shared" si="235"/>
        <v>0</v>
      </c>
      <c r="AF918" s="476">
        <f t="shared" si="235"/>
        <v>0</v>
      </c>
      <c r="AG918" s="554"/>
      <c r="AH918" s="554"/>
      <c r="AI918" s="456"/>
    </row>
    <row r="919" spans="24:35" x14ac:dyDescent="0.25">
      <c r="X919" s="520" t="s">
        <v>2421</v>
      </c>
      <c r="Y919" s="246" t="s">
        <v>1741</v>
      </c>
      <c r="Z919" s="254" t="s">
        <v>1182</v>
      </c>
      <c r="AA919" s="254" t="s">
        <v>406</v>
      </c>
      <c r="AB919" s="759" t="s">
        <v>2422</v>
      </c>
      <c r="AC919" s="238"/>
      <c r="AD919" s="292">
        <f t="shared" si="235"/>
        <v>14748.7</v>
      </c>
      <c r="AE919" s="476">
        <f t="shared" si="235"/>
        <v>0</v>
      </c>
      <c r="AF919" s="476">
        <f t="shared" si="235"/>
        <v>0</v>
      </c>
      <c r="AG919" s="554"/>
      <c r="AH919" s="554"/>
      <c r="AI919" s="456"/>
    </row>
    <row r="920" spans="24:35" x14ac:dyDescent="0.25">
      <c r="X920" s="520" t="s">
        <v>1782</v>
      </c>
      <c r="Y920" s="246" t="s">
        <v>1741</v>
      </c>
      <c r="Z920" s="254" t="s">
        <v>1182</v>
      </c>
      <c r="AA920" s="254" t="s">
        <v>406</v>
      </c>
      <c r="AB920" s="759" t="s">
        <v>2422</v>
      </c>
      <c r="AC920" s="238">
        <v>200</v>
      </c>
      <c r="AD920" s="292">
        <f t="shared" si="235"/>
        <v>14748.7</v>
      </c>
      <c r="AE920" s="292">
        <f t="shared" si="235"/>
        <v>0</v>
      </c>
      <c r="AF920" s="292">
        <f t="shared" si="235"/>
        <v>0</v>
      </c>
      <c r="AG920" s="554"/>
      <c r="AH920" s="554"/>
      <c r="AI920" s="456"/>
    </row>
    <row r="921" spans="24:35" ht="31.5" x14ac:dyDescent="0.25">
      <c r="X921" s="520" t="s">
        <v>1274</v>
      </c>
      <c r="Y921" s="246" t="s">
        <v>1741</v>
      </c>
      <c r="Z921" s="254" t="s">
        <v>1182</v>
      </c>
      <c r="AA921" s="254" t="s">
        <v>406</v>
      </c>
      <c r="AB921" s="759" t="s">
        <v>2422</v>
      </c>
      <c r="AC921" s="238">
        <v>240</v>
      </c>
      <c r="AD921" s="292">
        <f>12093.9+2654.8</f>
        <v>14748.7</v>
      </c>
      <c r="AE921" s="476">
        <v>0</v>
      </c>
      <c r="AF921" s="476">
        <v>0</v>
      </c>
      <c r="AG921" s="554"/>
      <c r="AH921" s="554"/>
      <c r="AI921" s="456"/>
    </row>
    <row r="922" spans="24:35" x14ac:dyDescent="0.25">
      <c r="X922" s="559" t="s">
        <v>173</v>
      </c>
      <c r="Y922" s="575" t="s">
        <v>1741</v>
      </c>
      <c r="Z922" s="247" t="s">
        <v>175</v>
      </c>
      <c r="AA922" s="247"/>
      <c r="AB922" s="271"/>
      <c r="AC922" s="576"/>
      <c r="AD922" s="745">
        <f>AD923+AD941+AD1017+AD930</f>
        <v>129524.7</v>
      </c>
      <c r="AE922" s="479">
        <f>AE923+AE941+AE1017+AE930</f>
        <v>35345.4</v>
      </c>
      <c r="AF922" s="479">
        <f>AF923+AF941+AF1017+AF930</f>
        <v>31862.400000000001</v>
      </c>
      <c r="AG922" s="647"/>
      <c r="AH922" s="647"/>
      <c r="AI922" s="456"/>
    </row>
    <row r="923" spans="24:35" x14ac:dyDescent="0.25">
      <c r="X923" s="520" t="s">
        <v>1592</v>
      </c>
      <c r="Y923" s="246" t="s">
        <v>1741</v>
      </c>
      <c r="Z923" s="235" t="s">
        <v>175</v>
      </c>
      <c r="AA923" s="235" t="s">
        <v>566</v>
      </c>
      <c r="AB923" s="249"/>
      <c r="AC923" s="577"/>
      <c r="AD923" s="292">
        <f t="shared" ref="AD923:AF928" si="240">AD924</f>
        <v>200</v>
      </c>
      <c r="AE923" s="476">
        <f t="shared" si="240"/>
        <v>100</v>
      </c>
      <c r="AF923" s="476">
        <f t="shared" si="240"/>
        <v>100</v>
      </c>
      <c r="AG923" s="554"/>
      <c r="AH923" s="554"/>
      <c r="AI923" s="456"/>
    </row>
    <row r="924" spans="24:35" x14ac:dyDescent="0.25">
      <c r="X924" s="549" t="s">
        <v>1973</v>
      </c>
      <c r="Y924" s="246" t="s">
        <v>1741</v>
      </c>
      <c r="Z924" s="235" t="s">
        <v>175</v>
      </c>
      <c r="AA924" s="235" t="s">
        <v>566</v>
      </c>
      <c r="AB924" s="443" t="s">
        <v>1974</v>
      </c>
      <c r="AC924" s="577"/>
      <c r="AD924" s="292">
        <f t="shared" si="240"/>
        <v>200</v>
      </c>
      <c r="AE924" s="476">
        <f t="shared" si="240"/>
        <v>100</v>
      </c>
      <c r="AF924" s="476">
        <f t="shared" si="240"/>
        <v>100</v>
      </c>
      <c r="AG924" s="554"/>
      <c r="AH924" s="554"/>
      <c r="AI924" s="456"/>
    </row>
    <row r="925" spans="24:35" ht="31.5" x14ac:dyDescent="0.25">
      <c r="X925" s="549" t="s">
        <v>2145</v>
      </c>
      <c r="Y925" s="246" t="s">
        <v>1741</v>
      </c>
      <c r="Z925" s="235" t="s">
        <v>175</v>
      </c>
      <c r="AA925" s="235" t="s">
        <v>566</v>
      </c>
      <c r="AB925" s="443" t="s">
        <v>2146</v>
      </c>
      <c r="AC925" s="577"/>
      <c r="AD925" s="292">
        <f t="shared" si="240"/>
        <v>200</v>
      </c>
      <c r="AE925" s="476">
        <f t="shared" si="240"/>
        <v>100</v>
      </c>
      <c r="AF925" s="476">
        <f t="shared" si="240"/>
        <v>100</v>
      </c>
      <c r="AG925" s="554"/>
      <c r="AH925" s="554"/>
      <c r="AI925" s="456"/>
    </row>
    <row r="926" spans="24:35" ht="31.5" x14ac:dyDescent="0.25">
      <c r="X926" s="530" t="s">
        <v>2147</v>
      </c>
      <c r="Y926" s="246" t="s">
        <v>1741</v>
      </c>
      <c r="Z926" s="235" t="s">
        <v>175</v>
      </c>
      <c r="AA926" s="235" t="s">
        <v>566</v>
      </c>
      <c r="AB926" s="443" t="s">
        <v>2148</v>
      </c>
      <c r="AC926" s="577"/>
      <c r="AD926" s="292">
        <f t="shared" ref="AD926:AF927" si="241">AD927</f>
        <v>200</v>
      </c>
      <c r="AE926" s="476">
        <f t="shared" si="241"/>
        <v>100</v>
      </c>
      <c r="AF926" s="476">
        <f t="shared" si="241"/>
        <v>100</v>
      </c>
      <c r="AG926" s="554"/>
      <c r="AH926" s="554"/>
      <c r="AI926" s="456"/>
    </row>
    <row r="927" spans="24:35" x14ac:dyDescent="0.25">
      <c r="X927" s="527" t="s">
        <v>2230</v>
      </c>
      <c r="Y927" s="246" t="s">
        <v>1741</v>
      </c>
      <c r="Z927" s="235" t="s">
        <v>175</v>
      </c>
      <c r="AA927" s="235" t="s">
        <v>566</v>
      </c>
      <c r="AB927" s="443" t="s">
        <v>2231</v>
      </c>
      <c r="AC927" s="577"/>
      <c r="AD927" s="292">
        <f t="shared" si="241"/>
        <v>200</v>
      </c>
      <c r="AE927" s="476">
        <f t="shared" si="241"/>
        <v>100</v>
      </c>
      <c r="AF927" s="476">
        <f t="shared" si="241"/>
        <v>100</v>
      </c>
      <c r="AG927" s="554"/>
      <c r="AH927" s="554"/>
      <c r="AI927" s="456"/>
    </row>
    <row r="928" spans="24:35" x14ac:dyDescent="0.25">
      <c r="X928" s="520" t="s">
        <v>1782</v>
      </c>
      <c r="Y928" s="246" t="s">
        <v>1741</v>
      </c>
      <c r="Z928" s="235" t="s">
        <v>175</v>
      </c>
      <c r="AA928" s="235" t="s">
        <v>566</v>
      </c>
      <c r="AB928" s="443" t="s">
        <v>2231</v>
      </c>
      <c r="AC928" s="580" t="s">
        <v>821</v>
      </c>
      <c r="AD928" s="292">
        <f t="shared" si="240"/>
        <v>200</v>
      </c>
      <c r="AE928" s="476">
        <f t="shared" si="240"/>
        <v>100</v>
      </c>
      <c r="AF928" s="476">
        <f t="shared" si="240"/>
        <v>100</v>
      </c>
      <c r="AG928" s="554"/>
      <c r="AH928" s="554"/>
      <c r="AI928" s="456"/>
    </row>
    <row r="929" spans="1:35" ht="31.5" x14ac:dyDescent="0.25">
      <c r="X929" s="520" t="s">
        <v>1274</v>
      </c>
      <c r="Y929" s="246" t="s">
        <v>1741</v>
      </c>
      <c r="Z929" s="235" t="s">
        <v>175</v>
      </c>
      <c r="AA929" s="235" t="s">
        <v>566</v>
      </c>
      <c r="AB929" s="443" t="s">
        <v>2231</v>
      </c>
      <c r="AC929" s="580" t="s">
        <v>1480</v>
      </c>
      <c r="AD929" s="292">
        <f>100+100</f>
        <v>200</v>
      </c>
      <c r="AE929" s="476">
        <v>100</v>
      </c>
      <c r="AF929" s="476">
        <v>100</v>
      </c>
      <c r="AG929" s="554"/>
      <c r="AH929" s="554"/>
      <c r="AI929" s="456"/>
    </row>
    <row r="930" spans="1:35" s="388" customFormat="1" x14ac:dyDescent="0.25">
      <c r="A930" s="385"/>
      <c r="B930" s="386"/>
      <c r="C930" s="387"/>
      <c r="D930" s="387"/>
      <c r="E930" s="387"/>
      <c r="F930" s="387"/>
      <c r="G930" s="387"/>
      <c r="I930" s="389"/>
      <c r="J930" s="389"/>
      <c r="K930" s="389"/>
      <c r="L930" s="389"/>
      <c r="M930" s="389"/>
      <c r="N930" s="389"/>
      <c r="O930" s="390"/>
      <c r="P930" s="391"/>
      <c r="R930" s="392"/>
      <c r="S930" s="393"/>
      <c r="W930" s="394"/>
      <c r="X930" s="543" t="s">
        <v>2157</v>
      </c>
      <c r="Y930" s="246" t="s">
        <v>1741</v>
      </c>
      <c r="Z930" s="545" t="s">
        <v>175</v>
      </c>
      <c r="AA930" s="545" t="s">
        <v>567</v>
      </c>
      <c r="AB930" s="546"/>
      <c r="AC930" s="591"/>
      <c r="AD930" s="747">
        <f>AD931</f>
        <v>11150</v>
      </c>
      <c r="AE930" s="604">
        <f>AE931</f>
        <v>9348.7000000000007</v>
      </c>
      <c r="AF930" s="604">
        <f>AF931</f>
        <v>0</v>
      </c>
      <c r="AG930" s="649"/>
      <c r="AH930" s="649"/>
      <c r="AI930" s="456"/>
    </row>
    <row r="931" spans="1:35" s="388" customFormat="1" ht="31.5" x14ac:dyDescent="0.25">
      <c r="A931" s="385"/>
      <c r="B931" s="386"/>
      <c r="C931" s="387"/>
      <c r="D931" s="387"/>
      <c r="E931" s="387"/>
      <c r="F931" s="387"/>
      <c r="G931" s="387"/>
      <c r="I931" s="389"/>
      <c r="J931" s="389"/>
      <c r="K931" s="389"/>
      <c r="L931" s="389"/>
      <c r="M931" s="389"/>
      <c r="N931" s="389"/>
      <c r="O931" s="390"/>
      <c r="P931" s="391"/>
      <c r="R931" s="392"/>
      <c r="S931" s="393"/>
      <c r="W931" s="394"/>
      <c r="X931" s="543" t="s">
        <v>1949</v>
      </c>
      <c r="Y931" s="246" t="s">
        <v>1741</v>
      </c>
      <c r="Z931" s="545" t="s">
        <v>175</v>
      </c>
      <c r="AA931" s="545" t="s">
        <v>567</v>
      </c>
      <c r="AB931" s="443" t="s">
        <v>1771</v>
      </c>
      <c r="AC931" s="591"/>
      <c r="AD931" s="747">
        <f t="shared" ref="AD931:AF939" si="242">AD932</f>
        <v>11150</v>
      </c>
      <c r="AE931" s="604">
        <f t="shared" si="242"/>
        <v>9348.7000000000007</v>
      </c>
      <c r="AF931" s="604">
        <f t="shared" si="242"/>
        <v>0</v>
      </c>
      <c r="AG931" s="649"/>
      <c r="AH931" s="649"/>
      <c r="AI931" s="456"/>
    </row>
    <row r="932" spans="1:35" s="388" customFormat="1" ht="22.9" customHeight="1" x14ac:dyDescent="0.25">
      <c r="A932" s="385"/>
      <c r="B932" s="386"/>
      <c r="C932" s="387"/>
      <c r="D932" s="387"/>
      <c r="E932" s="387"/>
      <c r="F932" s="387"/>
      <c r="G932" s="387"/>
      <c r="I932" s="389"/>
      <c r="J932" s="389"/>
      <c r="K932" s="389"/>
      <c r="L932" s="389"/>
      <c r="M932" s="389"/>
      <c r="N932" s="389"/>
      <c r="O932" s="390"/>
      <c r="P932" s="391"/>
      <c r="R932" s="392"/>
      <c r="S932" s="393"/>
      <c r="W932" s="394"/>
      <c r="X932" s="543" t="s">
        <v>2401</v>
      </c>
      <c r="Y932" s="246" t="s">
        <v>1741</v>
      </c>
      <c r="Z932" s="545" t="s">
        <v>175</v>
      </c>
      <c r="AA932" s="545" t="s">
        <v>567</v>
      </c>
      <c r="AB932" s="443" t="s">
        <v>2402</v>
      </c>
      <c r="AC932" s="591"/>
      <c r="AD932" s="747">
        <f t="shared" si="242"/>
        <v>11150</v>
      </c>
      <c r="AE932" s="604">
        <f t="shared" si="242"/>
        <v>9348.7000000000007</v>
      </c>
      <c r="AF932" s="604">
        <f t="shared" si="242"/>
        <v>0</v>
      </c>
      <c r="AG932" s="649"/>
      <c r="AH932" s="649"/>
      <c r="AI932" s="456"/>
    </row>
    <row r="933" spans="1:35" s="388" customFormat="1" ht="31.5" x14ac:dyDescent="0.25">
      <c r="A933" s="385"/>
      <c r="B933" s="386"/>
      <c r="C933" s="387"/>
      <c r="D933" s="387"/>
      <c r="E933" s="387"/>
      <c r="F933" s="387"/>
      <c r="G933" s="387"/>
      <c r="I933" s="389"/>
      <c r="J933" s="389"/>
      <c r="K933" s="389"/>
      <c r="L933" s="389"/>
      <c r="M933" s="389"/>
      <c r="N933" s="389"/>
      <c r="O933" s="390"/>
      <c r="P933" s="391"/>
      <c r="R933" s="392"/>
      <c r="S933" s="393"/>
      <c r="W933" s="394"/>
      <c r="X933" s="543" t="s">
        <v>2414</v>
      </c>
      <c r="Y933" s="246" t="s">
        <v>1741</v>
      </c>
      <c r="Z933" s="545" t="s">
        <v>175</v>
      </c>
      <c r="AA933" s="545" t="s">
        <v>567</v>
      </c>
      <c r="AB933" s="443" t="s">
        <v>2403</v>
      </c>
      <c r="AC933" s="591"/>
      <c r="AD933" s="747">
        <f>AD937+AD934</f>
        <v>11150</v>
      </c>
      <c r="AE933" s="747">
        <f t="shared" ref="AE933:AF933" si="243">AE937+AE934</f>
        <v>9348.7000000000007</v>
      </c>
      <c r="AF933" s="747">
        <f t="shared" si="243"/>
        <v>0</v>
      </c>
      <c r="AG933" s="649"/>
      <c r="AH933" s="649"/>
      <c r="AI933" s="456"/>
    </row>
    <row r="934" spans="1:35" s="388" customFormat="1" ht="47.25" x14ac:dyDescent="0.25">
      <c r="A934" s="385"/>
      <c r="B934" s="386"/>
      <c r="C934" s="387"/>
      <c r="D934" s="387"/>
      <c r="E934" s="387"/>
      <c r="F934" s="387"/>
      <c r="G934" s="387"/>
      <c r="I934" s="389"/>
      <c r="J934" s="389"/>
      <c r="K934" s="389"/>
      <c r="L934" s="389"/>
      <c r="M934" s="389"/>
      <c r="N934" s="389"/>
      <c r="O934" s="390"/>
      <c r="P934" s="391"/>
      <c r="R934" s="392"/>
      <c r="S934" s="393"/>
      <c r="W934" s="394"/>
      <c r="X934" s="520" t="s">
        <v>2485</v>
      </c>
      <c r="Y934" s="246" t="s">
        <v>1741</v>
      </c>
      <c r="Z934" s="545" t="s">
        <v>175</v>
      </c>
      <c r="AA934" s="545" t="s">
        <v>567</v>
      </c>
      <c r="AB934" s="443" t="s">
        <v>2486</v>
      </c>
      <c r="AC934" s="591"/>
      <c r="AD934" s="747">
        <f t="shared" ref="AD934:AF935" si="244">AD935</f>
        <v>150</v>
      </c>
      <c r="AE934" s="604">
        <f t="shared" si="244"/>
        <v>0</v>
      </c>
      <c r="AF934" s="604">
        <f t="shared" si="244"/>
        <v>0</v>
      </c>
      <c r="AG934" s="649"/>
      <c r="AH934" s="649"/>
      <c r="AI934" s="456"/>
    </row>
    <row r="935" spans="1:35" s="388" customFormat="1" x14ac:dyDescent="0.25">
      <c r="A935" s="385"/>
      <c r="B935" s="386"/>
      <c r="C935" s="387"/>
      <c r="D935" s="387"/>
      <c r="E935" s="387"/>
      <c r="F935" s="387"/>
      <c r="G935" s="387"/>
      <c r="I935" s="389"/>
      <c r="J935" s="389"/>
      <c r="K935" s="389"/>
      <c r="L935" s="389"/>
      <c r="M935" s="389"/>
      <c r="N935" s="389"/>
      <c r="O935" s="390"/>
      <c r="P935" s="391"/>
      <c r="R935" s="392"/>
      <c r="S935" s="393"/>
      <c r="W935" s="394"/>
      <c r="X935" s="520" t="s">
        <v>924</v>
      </c>
      <c r="Y935" s="246" t="s">
        <v>1741</v>
      </c>
      <c r="Z935" s="545" t="s">
        <v>175</v>
      </c>
      <c r="AA935" s="545" t="s">
        <v>567</v>
      </c>
      <c r="AB935" s="443" t="s">
        <v>2486</v>
      </c>
      <c r="AC935" s="580" t="s">
        <v>821</v>
      </c>
      <c r="AD935" s="747">
        <f t="shared" si="244"/>
        <v>150</v>
      </c>
      <c r="AE935" s="604">
        <f t="shared" si="244"/>
        <v>0</v>
      </c>
      <c r="AF935" s="604">
        <f t="shared" si="244"/>
        <v>0</v>
      </c>
      <c r="AG935" s="649"/>
      <c r="AH935" s="649"/>
      <c r="AI935" s="456"/>
    </row>
    <row r="936" spans="1:35" s="388" customFormat="1" ht="31.5" x14ac:dyDescent="0.25">
      <c r="A936" s="385"/>
      <c r="B936" s="386"/>
      <c r="C936" s="387"/>
      <c r="D936" s="387"/>
      <c r="E936" s="387"/>
      <c r="F936" s="387"/>
      <c r="G936" s="387"/>
      <c r="I936" s="389"/>
      <c r="J936" s="389"/>
      <c r="K936" s="389"/>
      <c r="L936" s="389"/>
      <c r="M936" s="389"/>
      <c r="N936" s="389"/>
      <c r="O936" s="390"/>
      <c r="P936" s="391"/>
      <c r="R936" s="392"/>
      <c r="S936" s="393"/>
      <c r="W936" s="394"/>
      <c r="X936" s="520" t="s">
        <v>1783</v>
      </c>
      <c r="Y936" s="246" t="s">
        <v>1741</v>
      </c>
      <c r="Z936" s="545" t="s">
        <v>175</v>
      </c>
      <c r="AA936" s="545" t="s">
        <v>567</v>
      </c>
      <c r="AB936" s="443" t="s">
        <v>2486</v>
      </c>
      <c r="AC936" s="580" t="s">
        <v>1480</v>
      </c>
      <c r="AD936" s="747">
        <v>150</v>
      </c>
      <c r="AE936" s="604">
        <v>0</v>
      </c>
      <c r="AF936" s="604">
        <v>0</v>
      </c>
      <c r="AG936" s="649"/>
      <c r="AH936" s="649"/>
      <c r="AI936" s="456"/>
    </row>
    <row r="937" spans="1:35" s="388" customFormat="1" ht="36.6" customHeight="1" x14ac:dyDescent="0.25">
      <c r="A937" s="385"/>
      <c r="B937" s="386"/>
      <c r="C937" s="387"/>
      <c r="D937" s="387"/>
      <c r="E937" s="387"/>
      <c r="F937" s="387"/>
      <c r="G937" s="387"/>
      <c r="I937" s="389"/>
      <c r="J937" s="389"/>
      <c r="K937" s="389"/>
      <c r="L937" s="389"/>
      <c r="M937" s="389"/>
      <c r="N937" s="389"/>
      <c r="O937" s="390"/>
      <c r="P937" s="391"/>
      <c r="R937" s="392"/>
      <c r="S937" s="393"/>
      <c r="W937" s="394"/>
      <c r="X937" s="543" t="s">
        <v>2415</v>
      </c>
      <c r="Y937" s="246" t="s">
        <v>1741</v>
      </c>
      <c r="Z937" s="545" t="s">
        <v>175</v>
      </c>
      <c r="AA937" s="545" t="s">
        <v>567</v>
      </c>
      <c r="AB937" s="443" t="s">
        <v>2404</v>
      </c>
      <c r="AC937" s="591"/>
      <c r="AD937" s="747">
        <f t="shared" si="242"/>
        <v>11000</v>
      </c>
      <c r="AE937" s="604">
        <f t="shared" si="242"/>
        <v>9348.7000000000007</v>
      </c>
      <c r="AF937" s="604">
        <f t="shared" si="242"/>
        <v>0</v>
      </c>
      <c r="AG937" s="649"/>
      <c r="AH937" s="649"/>
      <c r="AI937" s="456"/>
    </row>
    <row r="938" spans="1:35" s="388" customFormat="1" ht="51" customHeight="1" x14ac:dyDescent="0.25">
      <c r="A938" s="385"/>
      <c r="B938" s="386"/>
      <c r="C938" s="387"/>
      <c r="D938" s="387"/>
      <c r="E938" s="387"/>
      <c r="F938" s="387"/>
      <c r="G938" s="387"/>
      <c r="I938" s="389"/>
      <c r="J938" s="389"/>
      <c r="K938" s="389"/>
      <c r="L938" s="389"/>
      <c r="M938" s="389"/>
      <c r="N938" s="389"/>
      <c r="O938" s="390"/>
      <c r="P938" s="391"/>
      <c r="R938" s="392"/>
      <c r="S938" s="393"/>
      <c r="W938" s="394"/>
      <c r="X938" s="742" t="s">
        <v>2416</v>
      </c>
      <c r="Y938" s="246" t="s">
        <v>1741</v>
      </c>
      <c r="Z938" s="545" t="s">
        <v>175</v>
      </c>
      <c r="AA938" s="545" t="s">
        <v>567</v>
      </c>
      <c r="AB938" s="443" t="s">
        <v>2405</v>
      </c>
      <c r="AC938" s="591"/>
      <c r="AD938" s="747">
        <f t="shared" si="242"/>
        <v>11000</v>
      </c>
      <c r="AE938" s="604">
        <f t="shared" si="242"/>
        <v>9348.7000000000007</v>
      </c>
      <c r="AF938" s="604">
        <f t="shared" si="242"/>
        <v>0</v>
      </c>
      <c r="AG938" s="649"/>
      <c r="AH938" s="649"/>
      <c r="AI938" s="456"/>
    </row>
    <row r="939" spans="1:35" s="388" customFormat="1" x14ac:dyDescent="0.25">
      <c r="A939" s="385"/>
      <c r="B939" s="386"/>
      <c r="C939" s="387"/>
      <c r="D939" s="387"/>
      <c r="E939" s="387"/>
      <c r="F939" s="387"/>
      <c r="G939" s="387"/>
      <c r="I939" s="389"/>
      <c r="J939" s="389"/>
      <c r="K939" s="389"/>
      <c r="L939" s="389"/>
      <c r="M939" s="389"/>
      <c r="N939" s="389"/>
      <c r="O939" s="390"/>
      <c r="P939" s="391"/>
      <c r="R939" s="392"/>
      <c r="S939" s="393"/>
      <c r="W939" s="394"/>
      <c r="X939" s="520" t="s">
        <v>924</v>
      </c>
      <c r="Y939" s="246" t="s">
        <v>1741</v>
      </c>
      <c r="Z939" s="545" t="s">
        <v>175</v>
      </c>
      <c r="AA939" s="545" t="s">
        <v>567</v>
      </c>
      <c r="AB939" s="443" t="s">
        <v>2405</v>
      </c>
      <c r="AC939" s="580" t="s">
        <v>821</v>
      </c>
      <c r="AD939" s="747">
        <f t="shared" si="242"/>
        <v>11000</v>
      </c>
      <c r="AE939" s="604">
        <f t="shared" si="242"/>
        <v>9348.7000000000007</v>
      </c>
      <c r="AF939" s="604">
        <f t="shared" si="242"/>
        <v>0</v>
      </c>
      <c r="AG939" s="649"/>
      <c r="AH939" s="649"/>
      <c r="AI939" s="456"/>
    </row>
    <row r="940" spans="1:35" s="388" customFormat="1" ht="31.5" x14ac:dyDescent="0.25">
      <c r="A940" s="385"/>
      <c r="B940" s="386"/>
      <c r="C940" s="387"/>
      <c r="D940" s="387"/>
      <c r="E940" s="387"/>
      <c r="F940" s="387"/>
      <c r="G940" s="387"/>
      <c r="I940" s="389"/>
      <c r="J940" s="389"/>
      <c r="K940" s="389"/>
      <c r="L940" s="389"/>
      <c r="M940" s="389"/>
      <c r="N940" s="389"/>
      <c r="O940" s="390"/>
      <c r="P940" s="391"/>
      <c r="R940" s="392"/>
      <c r="S940" s="393"/>
      <c r="W940" s="394"/>
      <c r="X940" s="520" t="s">
        <v>1783</v>
      </c>
      <c r="Y940" s="246" t="s">
        <v>1741</v>
      </c>
      <c r="Z940" s="545" t="s">
        <v>175</v>
      </c>
      <c r="AA940" s="545" t="s">
        <v>567</v>
      </c>
      <c r="AB940" s="443" t="s">
        <v>2405</v>
      </c>
      <c r="AC940" s="580" t="s">
        <v>1480</v>
      </c>
      <c r="AD940" s="747">
        <f>9020+1980</f>
        <v>11000</v>
      </c>
      <c r="AE940" s="604">
        <f>7666+1682.7</f>
        <v>9348.7000000000007</v>
      </c>
      <c r="AF940" s="604">
        <f>7667+1683-7667-1683</f>
        <v>0</v>
      </c>
      <c r="AG940" s="649"/>
      <c r="AH940" s="649"/>
      <c r="AI940" s="456"/>
    </row>
    <row r="941" spans="1:35" s="344" customFormat="1" x14ac:dyDescent="0.25">
      <c r="A941" s="381"/>
      <c r="B941" s="336"/>
      <c r="C941" s="338"/>
      <c r="D941" s="338"/>
      <c r="E941" s="339"/>
      <c r="F941" s="338"/>
      <c r="G941" s="343"/>
      <c r="H941" s="382"/>
      <c r="I941" s="383"/>
      <c r="J941" s="383"/>
      <c r="K941" s="383"/>
      <c r="L941" s="340"/>
      <c r="M941" s="383"/>
      <c r="N941" s="340"/>
      <c r="O941" s="384"/>
      <c r="P941" s="340"/>
      <c r="Q941" s="342"/>
      <c r="R941" s="362"/>
      <c r="S941" s="362"/>
      <c r="T941" s="362"/>
      <c r="U941" s="362"/>
      <c r="V941" s="362"/>
      <c r="W941" s="382"/>
      <c r="X941" s="520" t="s">
        <v>340</v>
      </c>
      <c r="Y941" s="246" t="s">
        <v>1741</v>
      </c>
      <c r="Z941" s="235" t="s">
        <v>175</v>
      </c>
      <c r="AA941" s="235" t="s">
        <v>193</v>
      </c>
      <c r="AB941" s="249"/>
      <c r="AC941" s="580"/>
      <c r="AD941" s="292">
        <f>AD991+AD942</f>
        <v>104405</v>
      </c>
      <c r="AE941" s="476">
        <f>AE991+AE942</f>
        <v>12115</v>
      </c>
      <c r="AF941" s="476">
        <f>AF991+AF942</f>
        <v>17980.7</v>
      </c>
      <c r="AG941" s="554"/>
      <c r="AH941" s="554"/>
      <c r="AI941" s="456"/>
    </row>
    <row r="942" spans="1:35" s="344" customFormat="1" ht="31.5" x14ac:dyDescent="0.25">
      <c r="A942" s="381"/>
      <c r="B942" s="336"/>
      <c r="C942" s="338"/>
      <c r="D942" s="338"/>
      <c r="E942" s="339"/>
      <c r="F942" s="338"/>
      <c r="G942" s="343"/>
      <c r="H942" s="382"/>
      <c r="I942" s="383"/>
      <c r="J942" s="383"/>
      <c r="K942" s="383"/>
      <c r="L942" s="340"/>
      <c r="M942" s="383"/>
      <c r="N942" s="340"/>
      <c r="O942" s="384"/>
      <c r="P942" s="340"/>
      <c r="Q942" s="342"/>
      <c r="R942" s="362"/>
      <c r="S942" s="362"/>
      <c r="T942" s="362"/>
      <c r="U942" s="362"/>
      <c r="V942" s="362"/>
      <c r="W942" s="382"/>
      <c r="X942" s="518" t="s">
        <v>2104</v>
      </c>
      <c r="Y942" s="246" t="s">
        <v>1741</v>
      </c>
      <c r="Z942" s="235" t="s">
        <v>175</v>
      </c>
      <c r="AA942" s="235" t="s">
        <v>193</v>
      </c>
      <c r="AB942" s="468" t="s">
        <v>1806</v>
      </c>
      <c r="AC942" s="580"/>
      <c r="AD942" s="292">
        <f>AD943</f>
        <v>8536.5999999999985</v>
      </c>
      <c r="AE942" s="476">
        <f t="shared" ref="AE942:AF944" si="245">AE943</f>
        <v>0</v>
      </c>
      <c r="AF942" s="476">
        <f t="shared" si="245"/>
        <v>0</v>
      </c>
      <c r="AG942" s="554"/>
      <c r="AH942" s="554"/>
      <c r="AI942" s="456"/>
    </row>
    <row r="943" spans="1:35" s="344" customFormat="1" x14ac:dyDescent="0.25">
      <c r="A943" s="381"/>
      <c r="B943" s="336"/>
      <c r="C943" s="338"/>
      <c r="D943" s="338"/>
      <c r="E943" s="339"/>
      <c r="F943" s="338"/>
      <c r="G943" s="343"/>
      <c r="H943" s="382"/>
      <c r="I943" s="383"/>
      <c r="J943" s="383"/>
      <c r="K943" s="383"/>
      <c r="L943" s="340"/>
      <c r="M943" s="383"/>
      <c r="N943" s="340"/>
      <c r="O943" s="384"/>
      <c r="P943" s="340"/>
      <c r="Q943" s="342"/>
      <c r="R943" s="362"/>
      <c r="S943" s="362"/>
      <c r="T943" s="362"/>
      <c r="U943" s="362"/>
      <c r="V943" s="362"/>
      <c r="W943" s="382"/>
      <c r="X943" s="515" t="s">
        <v>2374</v>
      </c>
      <c r="Y943" s="246" t="s">
        <v>1741</v>
      </c>
      <c r="Z943" s="235" t="s">
        <v>175</v>
      </c>
      <c r="AA943" s="235" t="s">
        <v>193</v>
      </c>
      <c r="AB943" s="468" t="s">
        <v>2375</v>
      </c>
      <c r="AC943" s="580"/>
      <c r="AD943" s="292">
        <f>AD944</f>
        <v>8536.5999999999985</v>
      </c>
      <c r="AE943" s="476">
        <f t="shared" si="245"/>
        <v>0</v>
      </c>
      <c r="AF943" s="476">
        <f t="shared" si="245"/>
        <v>0</v>
      </c>
      <c r="AG943" s="554"/>
      <c r="AH943" s="554"/>
      <c r="AI943" s="456"/>
    </row>
    <row r="944" spans="1:35" s="344" customFormat="1" ht="31.5" x14ac:dyDescent="0.25">
      <c r="A944" s="381"/>
      <c r="B944" s="336"/>
      <c r="C944" s="338"/>
      <c r="D944" s="338"/>
      <c r="E944" s="339"/>
      <c r="F944" s="338"/>
      <c r="G944" s="343"/>
      <c r="H944" s="382"/>
      <c r="I944" s="383"/>
      <c r="J944" s="383"/>
      <c r="K944" s="383"/>
      <c r="L944" s="340"/>
      <c r="M944" s="383"/>
      <c r="N944" s="340"/>
      <c r="O944" s="384"/>
      <c r="P944" s="340"/>
      <c r="Q944" s="342"/>
      <c r="R944" s="362"/>
      <c r="S944" s="362"/>
      <c r="T944" s="362"/>
      <c r="U944" s="362"/>
      <c r="V944" s="362"/>
      <c r="W944" s="382"/>
      <c r="X944" s="515" t="s">
        <v>2376</v>
      </c>
      <c r="Y944" s="246" t="s">
        <v>1741</v>
      </c>
      <c r="Z944" s="235" t="s">
        <v>175</v>
      </c>
      <c r="AA944" s="235" t="s">
        <v>193</v>
      </c>
      <c r="AB944" s="468" t="s">
        <v>2377</v>
      </c>
      <c r="AC944" s="580"/>
      <c r="AD944" s="292">
        <f>AD945</f>
        <v>8536.5999999999985</v>
      </c>
      <c r="AE944" s="476">
        <f t="shared" si="245"/>
        <v>0</v>
      </c>
      <c r="AF944" s="476">
        <f t="shared" si="245"/>
        <v>0</v>
      </c>
      <c r="AG944" s="554"/>
      <c r="AH944" s="554"/>
      <c r="AI944" s="456"/>
    </row>
    <row r="945" spans="1:35" s="344" customFormat="1" ht="31.5" x14ac:dyDescent="0.25">
      <c r="A945" s="381"/>
      <c r="B945" s="336"/>
      <c r="C945" s="338"/>
      <c r="D945" s="338"/>
      <c r="E945" s="339"/>
      <c r="F945" s="338"/>
      <c r="G945" s="343"/>
      <c r="H945" s="382"/>
      <c r="I945" s="383"/>
      <c r="J945" s="383"/>
      <c r="K945" s="383"/>
      <c r="L945" s="340"/>
      <c r="M945" s="383"/>
      <c r="N945" s="340"/>
      <c r="O945" s="384"/>
      <c r="P945" s="340"/>
      <c r="Q945" s="342"/>
      <c r="R945" s="362"/>
      <c r="S945" s="362"/>
      <c r="T945" s="362"/>
      <c r="U945" s="362"/>
      <c r="V945" s="362"/>
      <c r="W945" s="382"/>
      <c r="X945" s="515" t="s">
        <v>2378</v>
      </c>
      <c r="Y945" s="246" t="s">
        <v>1741</v>
      </c>
      <c r="Z945" s="235" t="s">
        <v>175</v>
      </c>
      <c r="AA945" s="235" t="s">
        <v>193</v>
      </c>
      <c r="AB945" s="468" t="s">
        <v>2379</v>
      </c>
      <c r="AC945" s="580"/>
      <c r="AD945" s="292">
        <f>AD946+AD949+AD952+AD955+AD958+AD961+AD964+AD967+AD970+AD973+AD976+AD979+AD982+AD985+AD988</f>
        <v>8536.5999999999985</v>
      </c>
      <c r="AE945" s="292">
        <f>AE949+AE988</f>
        <v>0</v>
      </c>
      <c r="AF945" s="292">
        <f>AF949+AF988</f>
        <v>0</v>
      </c>
      <c r="AG945" s="554"/>
      <c r="AH945" s="554"/>
      <c r="AI945" s="456"/>
    </row>
    <row r="946" spans="1:35" s="344" customFormat="1" ht="47.25" x14ac:dyDescent="0.25">
      <c r="A946" s="381"/>
      <c r="B946" s="336"/>
      <c r="C946" s="338"/>
      <c r="D946" s="338"/>
      <c r="E946" s="339"/>
      <c r="F946" s="338"/>
      <c r="G946" s="343"/>
      <c r="H946" s="382"/>
      <c r="I946" s="383"/>
      <c r="J946" s="383"/>
      <c r="K946" s="383"/>
      <c r="L946" s="340"/>
      <c r="M946" s="383"/>
      <c r="N946" s="340"/>
      <c r="O946" s="384"/>
      <c r="P946" s="340"/>
      <c r="Q946" s="342"/>
      <c r="R946" s="362"/>
      <c r="S946" s="362"/>
      <c r="T946" s="362"/>
      <c r="U946" s="362"/>
      <c r="V946" s="362"/>
      <c r="W946" s="382"/>
      <c r="X946" s="515" t="s">
        <v>2448</v>
      </c>
      <c r="Y946" s="246" t="s">
        <v>1741</v>
      </c>
      <c r="Z946" s="235" t="s">
        <v>175</v>
      </c>
      <c r="AA946" s="235" t="s">
        <v>193</v>
      </c>
      <c r="AB946" s="468" t="s">
        <v>2449</v>
      </c>
      <c r="AC946" s="726"/>
      <c r="AD946" s="292">
        <f t="shared" ref="AD946:AF947" si="246">AD947</f>
        <v>517.70000000000005</v>
      </c>
      <c r="AE946" s="476">
        <f t="shared" si="246"/>
        <v>0</v>
      </c>
      <c r="AF946" s="476">
        <f t="shared" si="246"/>
        <v>0</v>
      </c>
      <c r="AG946" s="554"/>
      <c r="AH946" s="554"/>
      <c r="AI946" s="456"/>
    </row>
    <row r="947" spans="1:35" s="344" customFormat="1" x14ac:dyDescent="0.25">
      <c r="A947" s="381"/>
      <c r="B947" s="336"/>
      <c r="C947" s="338"/>
      <c r="D947" s="338"/>
      <c r="E947" s="339"/>
      <c r="F947" s="338"/>
      <c r="G947" s="343"/>
      <c r="H947" s="382"/>
      <c r="I947" s="383"/>
      <c r="J947" s="383"/>
      <c r="K947" s="383"/>
      <c r="L947" s="340"/>
      <c r="M947" s="383"/>
      <c r="N947" s="340"/>
      <c r="O947" s="384"/>
      <c r="P947" s="340"/>
      <c r="Q947" s="342"/>
      <c r="R947" s="362"/>
      <c r="S947" s="362"/>
      <c r="T947" s="362"/>
      <c r="U947" s="362"/>
      <c r="V947" s="362"/>
      <c r="W947" s="382"/>
      <c r="X947" s="515" t="s">
        <v>1782</v>
      </c>
      <c r="Y947" s="246" t="s">
        <v>1741</v>
      </c>
      <c r="Z947" s="235" t="s">
        <v>175</v>
      </c>
      <c r="AA947" s="235" t="s">
        <v>193</v>
      </c>
      <c r="AB947" s="468" t="s">
        <v>2449</v>
      </c>
      <c r="AC947" s="725">
        <v>200</v>
      </c>
      <c r="AD947" s="292">
        <f t="shared" si="246"/>
        <v>517.70000000000005</v>
      </c>
      <c r="AE947" s="476">
        <f t="shared" si="246"/>
        <v>0</v>
      </c>
      <c r="AF947" s="476">
        <f t="shared" si="246"/>
        <v>0</v>
      </c>
      <c r="AG947" s="554"/>
      <c r="AH947" s="554"/>
      <c r="AI947" s="456"/>
    </row>
    <row r="948" spans="1:35" s="344" customFormat="1" ht="31.5" x14ac:dyDescent="0.25">
      <c r="A948" s="381"/>
      <c r="B948" s="336"/>
      <c r="C948" s="338"/>
      <c r="D948" s="338"/>
      <c r="E948" s="339"/>
      <c r="F948" s="338"/>
      <c r="G948" s="343"/>
      <c r="H948" s="382"/>
      <c r="I948" s="383"/>
      <c r="J948" s="383"/>
      <c r="K948" s="383"/>
      <c r="L948" s="340"/>
      <c r="M948" s="383"/>
      <c r="N948" s="340"/>
      <c r="O948" s="384"/>
      <c r="P948" s="340"/>
      <c r="Q948" s="342"/>
      <c r="R948" s="362"/>
      <c r="S948" s="362"/>
      <c r="T948" s="362"/>
      <c r="U948" s="362"/>
      <c r="V948" s="362"/>
      <c r="W948" s="382"/>
      <c r="X948" s="515" t="s">
        <v>1274</v>
      </c>
      <c r="Y948" s="246" t="s">
        <v>1741</v>
      </c>
      <c r="Z948" s="235" t="s">
        <v>175</v>
      </c>
      <c r="AA948" s="235" t="s">
        <v>193</v>
      </c>
      <c r="AB948" s="468" t="s">
        <v>2449</v>
      </c>
      <c r="AC948" s="725">
        <v>240</v>
      </c>
      <c r="AD948" s="292">
        <f>93.2+424.5</f>
        <v>517.70000000000005</v>
      </c>
      <c r="AE948" s="476">
        <v>0</v>
      </c>
      <c r="AF948" s="476">
        <v>0</v>
      </c>
      <c r="AG948" s="554"/>
      <c r="AH948" s="554"/>
      <c r="AI948" s="456"/>
    </row>
    <row r="949" spans="1:35" s="344" customFormat="1" ht="40.15" customHeight="1" x14ac:dyDescent="0.25">
      <c r="A949" s="381"/>
      <c r="B949" s="336"/>
      <c r="C949" s="338"/>
      <c r="D949" s="338"/>
      <c r="E949" s="339"/>
      <c r="F949" s="338"/>
      <c r="G949" s="343"/>
      <c r="H949" s="382"/>
      <c r="I949" s="383"/>
      <c r="J949" s="383"/>
      <c r="K949" s="383"/>
      <c r="L949" s="340"/>
      <c r="M949" s="383"/>
      <c r="N949" s="340"/>
      <c r="O949" s="384"/>
      <c r="P949" s="340"/>
      <c r="Q949" s="342"/>
      <c r="R949" s="362"/>
      <c r="S949" s="362"/>
      <c r="T949" s="362"/>
      <c r="U949" s="362"/>
      <c r="V949" s="362"/>
      <c r="W949" s="382"/>
      <c r="X949" s="520" t="s">
        <v>2380</v>
      </c>
      <c r="Y949" s="246" t="s">
        <v>1741</v>
      </c>
      <c r="Z949" s="235" t="s">
        <v>175</v>
      </c>
      <c r="AA949" s="235" t="s">
        <v>193</v>
      </c>
      <c r="AB949" s="468" t="s">
        <v>2381</v>
      </c>
      <c r="AC949" s="726"/>
      <c r="AD949" s="292">
        <f t="shared" ref="AD949:AF950" si="247">AD950</f>
        <v>185.4</v>
      </c>
      <c r="AE949" s="476">
        <f t="shared" si="247"/>
        <v>0</v>
      </c>
      <c r="AF949" s="476">
        <f t="shared" si="247"/>
        <v>0</v>
      </c>
      <c r="AG949" s="554"/>
      <c r="AH949" s="554"/>
      <c r="AI949" s="456"/>
    </row>
    <row r="950" spans="1:35" s="344" customFormat="1" ht="21.6" customHeight="1" x14ac:dyDescent="0.25">
      <c r="A950" s="381"/>
      <c r="B950" s="336"/>
      <c r="C950" s="338"/>
      <c r="D950" s="338"/>
      <c r="E950" s="339"/>
      <c r="F950" s="338"/>
      <c r="G950" s="343"/>
      <c r="H950" s="382"/>
      <c r="I950" s="383"/>
      <c r="J950" s="383"/>
      <c r="K950" s="383"/>
      <c r="L950" s="340"/>
      <c r="M950" s="383"/>
      <c r="N950" s="340"/>
      <c r="O950" s="384"/>
      <c r="P950" s="340"/>
      <c r="Q950" s="342"/>
      <c r="R950" s="362"/>
      <c r="S950" s="362"/>
      <c r="T950" s="362"/>
      <c r="U950" s="362"/>
      <c r="V950" s="362"/>
      <c r="W950" s="382"/>
      <c r="X950" s="515" t="s">
        <v>1782</v>
      </c>
      <c r="Y950" s="246" t="s">
        <v>1741</v>
      </c>
      <c r="Z950" s="235" t="s">
        <v>175</v>
      </c>
      <c r="AA950" s="235" t="s">
        <v>193</v>
      </c>
      <c r="AB950" s="468" t="s">
        <v>2381</v>
      </c>
      <c r="AC950" s="725">
        <v>200</v>
      </c>
      <c r="AD950" s="292">
        <f t="shared" si="247"/>
        <v>185.4</v>
      </c>
      <c r="AE950" s="476">
        <f t="shared" si="247"/>
        <v>0</v>
      </c>
      <c r="AF950" s="476">
        <f t="shared" si="247"/>
        <v>0</v>
      </c>
      <c r="AG950" s="554"/>
      <c r="AH950" s="554"/>
      <c r="AI950" s="456"/>
    </row>
    <row r="951" spans="1:35" s="344" customFormat="1" ht="31.5" x14ac:dyDescent="0.25">
      <c r="A951" s="381"/>
      <c r="B951" s="336"/>
      <c r="C951" s="338"/>
      <c r="D951" s="338"/>
      <c r="E951" s="339"/>
      <c r="F951" s="338"/>
      <c r="G951" s="343"/>
      <c r="H951" s="382"/>
      <c r="I951" s="383"/>
      <c r="J951" s="383"/>
      <c r="K951" s="383"/>
      <c r="L951" s="340"/>
      <c r="M951" s="383"/>
      <c r="N951" s="340"/>
      <c r="O951" s="384"/>
      <c r="P951" s="340"/>
      <c r="Q951" s="342"/>
      <c r="R951" s="362"/>
      <c r="S951" s="362"/>
      <c r="T951" s="362"/>
      <c r="U951" s="362"/>
      <c r="V951" s="362"/>
      <c r="W951" s="382"/>
      <c r="X951" s="515" t="s">
        <v>1274</v>
      </c>
      <c r="Y951" s="246" t="s">
        <v>1741</v>
      </c>
      <c r="Z951" s="235" t="s">
        <v>175</v>
      </c>
      <c r="AA951" s="235" t="s">
        <v>193</v>
      </c>
      <c r="AB951" s="468" t="s">
        <v>2381</v>
      </c>
      <c r="AC951" s="725">
        <v>240</v>
      </c>
      <c r="AD951" s="292">
        <f>33.4+152</f>
        <v>185.4</v>
      </c>
      <c r="AE951" s="476">
        <v>0</v>
      </c>
      <c r="AF951" s="476">
        <v>0</v>
      </c>
      <c r="AG951" s="554"/>
      <c r="AH951" s="554"/>
      <c r="AI951" s="456"/>
    </row>
    <row r="952" spans="1:35" s="344" customFormat="1" ht="47.25" x14ac:dyDescent="0.25">
      <c r="A952" s="381"/>
      <c r="B952" s="336"/>
      <c r="C952" s="338"/>
      <c r="D952" s="338"/>
      <c r="E952" s="339"/>
      <c r="F952" s="338"/>
      <c r="G952" s="343"/>
      <c r="H952" s="382"/>
      <c r="I952" s="383"/>
      <c r="J952" s="383"/>
      <c r="K952" s="383"/>
      <c r="L952" s="340"/>
      <c r="M952" s="383"/>
      <c r="N952" s="340"/>
      <c r="O952" s="384"/>
      <c r="P952" s="340"/>
      <c r="Q952" s="342"/>
      <c r="R952" s="362"/>
      <c r="S952" s="362"/>
      <c r="T952" s="362"/>
      <c r="U952" s="362"/>
      <c r="V952" s="362"/>
      <c r="W952" s="382"/>
      <c r="X952" s="520" t="s">
        <v>2450</v>
      </c>
      <c r="Y952" s="246" t="s">
        <v>1741</v>
      </c>
      <c r="Z952" s="235" t="s">
        <v>175</v>
      </c>
      <c r="AA952" s="235" t="s">
        <v>193</v>
      </c>
      <c r="AB952" s="468" t="s">
        <v>2451</v>
      </c>
      <c r="AC952" s="726"/>
      <c r="AD952" s="292">
        <f>AD953</f>
        <v>608.79999999999995</v>
      </c>
      <c r="AE952" s="476">
        <f t="shared" ref="AD952:AF953" si="248">AE953</f>
        <v>0</v>
      </c>
      <c r="AF952" s="476">
        <f t="shared" si="248"/>
        <v>0</v>
      </c>
      <c r="AG952" s="554"/>
      <c r="AH952" s="554"/>
      <c r="AI952" s="456"/>
    </row>
    <row r="953" spans="1:35" s="344" customFormat="1"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5" t="s">
        <v>1782</v>
      </c>
      <c r="Y953" s="246" t="s">
        <v>1741</v>
      </c>
      <c r="Z953" s="235" t="s">
        <v>175</v>
      </c>
      <c r="AA953" s="235" t="s">
        <v>193</v>
      </c>
      <c r="AB953" s="468" t="s">
        <v>2451</v>
      </c>
      <c r="AC953" s="725">
        <v>200</v>
      </c>
      <c r="AD953" s="292">
        <f t="shared" si="248"/>
        <v>608.79999999999995</v>
      </c>
      <c r="AE953" s="476">
        <f t="shared" si="248"/>
        <v>0</v>
      </c>
      <c r="AF953" s="476">
        <f t="shared" si="248"/>
        <v>0</v>
      </c>
      <c r="AG953" s="554"/>
      <c r="AH953" s="554"/>
      <c r="AI953" s="456"/>
    </row>
    <row r="954" spans="1:35" s="344" customFormat="1" ht="31.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5" t="s">
        <v>1274</v>
      </c>
      <c r="Y954" s="246" t="s">
        <v>1741</v>
      </c>
      <c r="Z954" s="235" t="s">
        <v>175</v>
      </c>
      <c r="AA954" s="235" t="s">
        <v>193</v>
      </c>
      <c r="AB954" s="468" t="s">
        <v>2451</v>
      </c>
      <c r="AC954" s="725">
        <v>240</v>
      </c>
      <c r="AD954" s="292">
        <f>109.6+499.2</f>
        <v>608.79999999999995</v>
      </c>
      <c r="AE954" s="476">
        <v>0</v>
      </c>
      <c r="AF954" s="476">
        <v>0</v>
      </c>
      <c r="AG954" s="554"/>
      <c r="AH954" s="554"/>
      <c r="AI954" s="456"/>
    </row>
    <row r="955" spans="1:35" s="344" customFormat="1" ht="47.25"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520" t="s">
        <v>2452</v>
      </c>
      <c r="Y955" s="246" t="s">
        <v>1741</v>
      </c>
      <c r="Z955" s="235" t="s">
        <v>175</v>
      </c>
      <c r="AA955" s="235" t="s">
        <v>193</v>
      </c>
      <c r="AB955" s="468" t="s">
        <v>2453</v>
      </c>
      <c r="AC955" s="726"/>
      <c r="AD955" s="292">
        <f t="shared" ref="AD955:AF956" si="249">AD956</f>
        <v>681.7</v>
      </c>
      <c r="AE955" s="476">
        <f t="shared" si="249"/>
        <v>0</v>
      </c>
      <c r="AF955" s="476">
        <f t="shared" si="249"/>
        <v>0</v>
      </c>
      <c r="AG955" s="554"/>
      <c r="AH955" s="554"/>
      <c r="AI955" s="456"/>
    </row>
    <row r="956" spans="1:35" s="344" customFormat="1"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5" t="s">
        <v>1782</v>
      </c>
      <c r="Y956" s="246" t="s">
        <v>1741</v>
      </c>
      <c r="Z956" s="235" t="s">
        <v>175</v>
      </c>
      <c r="AA956" s="235" t="s">
        <v>193</v>
      </c>
      <c r="AB956" s="468" t="s">
        <v>2453</v>
      </c>
      <c r="AC956" s="725">
        <v>200</v>
      </c>
      <c r="AD956" s="292">
        <f t="shared" si="249"/>
        <v>681.7</v>
      </c>
      <c r="AE956" s="476">
        <f t="shared" si="249"/>
        <v>0</v>
      </c>
      <c r="AF956" s="476">
        <f t="shared" si="249"/>
        <v>0</v>
      </c>
      <c r="AG956" s="554"/>
      <c r="AH956" s="554"/>
      <c r="AI956" s="456"/>
    </row>
    <row r="957" spans="1:35" s="344" customFormat="1" ht="31.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5" t="s">
        <v>1274</v>
      </c>
      <c r="Y957" s="246" t="s">
        <v>1741</v>
      </c>
      <c r="Z957" s="235" t="s">
        <v>175</v>
      </c>
      <c r="AA957" s="235" t="s">
        <v>193</v>
      </c>
      <c r="AB957" s="468" t="s">
        <v>2453</v>
      </c>
      <c r="AC957" s="725">
        <v>240</v>
      </c>
      <c r="AD957" s="292">
        <f>122.7+559</f>
        <v>681.7</v>
      </c>
      <c r="AE957" s="476">
        <v>0</v>
      </c>
      <c r="AF957" s="476">
        <v>0</v>
      </c>
      <c r="AG957" s="554"/>
      <c r="AH957" s="554"/>
      <c r="AI957" s="456"/>
    </row>
    <row r="958" spans="1:35" s="344" customFormat="1" ht="47.25" x14ac:dyDescent="0.25">
      <c r="A958" s="381"/>
      <c r="B958" s="336"/>
      <c r="C958" s="338"/>
      <c r="D958" s="338"/>
      <c r="E958" s="339"/>
      <c r="F958" s="338"/>
      <c r="G958" s="343"/>
      <c r="H958" s="382"/>
      <c r="I958" s="383"/>
      <c r="J958" s="383"/>
      <c r="K958" s="383"/>
      <c r="L958" s="340"/>
      <c r="M958" s="383"/>
      <c r="N958" s="340"/>
      <c r="O958" s="384"/>
      <c r="P958" s="340"/>
      <c r="Q958" s="342"/>
      <c r="R958" s="362"/>
      <c r="S958" s="362"/>
      <c r="T958" s="362"/>
      <c r="U958" s="362"/>
      <c r="V958" s="362"/>
      <c r="W958" s="382"/>
      <c r="X958" s="515" t="s">
        <v>2454</v>
      </c>
      <c r="Y958" s="246" t="s">
        <v>1741</v>
      </c>
      <c r="Z958" s="235" t="s">
        <v>175</v>
      </c>
      <c r="AA958" s="235" t="s">
        <v>193</v>
      </c>
      <c r="AB958" s="468" t="s">
        <v>2455</v>
      </c>
      <c r="AC958" s="726"/>
      <c r="AD958" s="292">
        <f t="shared" ref="AD958:AF959" si="250">AD959</f>
        <v>1122.7</v>
      </c>
      <c r="AE958" s="292">
        <f t="shared" si="250"/>
        <v>0</v>
      </c>
      <c r="AF958" s="292">
        <f t="shared" si="250"/>
        <v>0</v>
      </c>
      <c r="AG958" s="554"/>
      <c r="AH958" s="554"/>
      <c r="AI958" s="456"/>
    </row>
    <row r="959" spans="1:35" s="344" customFormat="1" x14ac:dyDescent="0.25">
      <c r="A959" s="381"/>
      <c r="B959" s="336"/>
      <c r="C959" s="338"/>
      <c r="D959" s="338"/>
      <c r="E959" s="339"/>
      <c r="F959" s="338"/>
      <c r="G959" s="343"/>
      <c r="H959" s="382"/>
      <c r="I959" s="383"/>
      <c r="J959" s="383"/>
      <c r="K959" s="383"/>
      <c r="L959" s="340"/>
      <c r="M959" s="383"/>
      <c r="N959" s="340"/>
      <c r="O959" s="384"/>
      <c r="P959" s="340"/>
      <c r="Q959" s="342"/>
      <c r="R959" s="362"/>
      <c r="S959" s="362"/>
      <c r="T959" s="362"/>
      <c r="U959" s="362"/>
      <c r="V959" s="362"/>
      <c r="W959" s="382"/>
      <c r="X959" s="515" t="s">
        <v>1782</v>
      </c>
      <c r="Y959" s="246" t="s">
        <v>1741</v>
      </c>
      <c r="Z959" s="235" t="s">
        <v>175</v>
      </c>
      <c r="AA959" s="235" t="s">
        <v>193</v>
      </c>
      <c r="AB959" s="468" t="s">
        <v>2455</v>
      </c>
      <c r="AC959" s="725">
        <v>200</v>
      </c>
      <c r="AD959" s="292">
        <f t="shared" si="250"/>
        <v>1122.7</v>
      </c>
      <c r="AE959" s="292">
        <f t="shared" si="250"/>
        <v>0</v>
      </c>
      <c r="AF959" s="292">
        <f t="shared" si="250"/>
        <v>0</v>
      </c>
      <c r="AG959" s="554"/>
      <c r="AH959" s="554"/>
      <c r="AI959" s="456"/>
    </row>
    <row r="960" spans="1:35" s="344" customFormat="1" ht="31.5" x14ac:dyDescent="0.25">
      <c r="A960" s="381"/>
      <c r="B960" s="336"/>
      <c r="C960" s="338"/>
      <c r="D960" s="338"/>
      <c r="E960" s="339"/>
      <c r="F960" s="338"/>
      <c r="G960" s="343"/>
      <c r="H960" s="382"/>
      <c r="I960" s="383"/>
      <c r="J960" s="383"/>
      <c r="K960" s="383"/>
      <c r="L960" s="340"/>
      <c r="M960" s="383"/>
      <c r="N960" s="340"/>
      <c r="O960" s="384"/>
      <c r="P960" s="340"/>
      <c r="Q960" s="342"/>
      <c r="R960" s="362"/>
      <c r="S960" s="362"/>
      <c r="T960" s="362"/>
      <c r="U960" s="362"/>
      <c r="V960" s="362"/>
      <c r="W960" s="382"/>
      <c r="X960" s="515" t="s">
        <v>1274</v>
      </c>
      <c r="Y960" s="246" t="s">
        <v>1741</v>
      </c>
      <c r="Z960" s="235" t="s">
        <v>175</v>
      </c>
      <c r="AA960" s="235" t="s">
        <v>193</v>
      </c>
      <c r="AB960" s="468" t="s">
        <v>2455</v>
      </c>
      <c r="AC960" s="725">
        <v>240</v>
      </c>
      <c r="AD960" s="292">
        <f>202.1+920.6</f>
        <v>1122.7</v>
      </c>
      <c r="AE960" s="476">
        <v>0</v>
      </c>
      <c r="AF960" s="476">
        <v>0</v>
      </c>
      <c r="AG960" s="554"/>
      <c r="AH960" s="554"/>
      <c r="AI960" s="456"/>
    </row>
    <row r="961" spans="1:35" s="344" customFormat="1" ht="47.25" x14ac:dyDescent="0.25">
      <c r="A961" s="381"/>
      <c r="B961" s="336"/>
      <c r="C961" s="338"/>
      <c r="D961" s="338"/>
      <c r="E961" s="339"/>
      <c r="F961" s="338"/>
      <c r="G961" s="343"/>
      <c r="H961" s="382"/>
      <c r="I961" s="383"/>
      <c r="J961" s="383"/>
      <c r="K961" s="383"/>
      <c r="L961" s="340"/>
      <c r="M961" s="383"/>
      <c r="N961" s="340"/>
      <c r="O961" s="384"/>
      <c r="P961" s="340"/>
      <c r="Q961" s="342"/>
      <c r="R961" s="362"/>
      <c r="S961" s="362"/>
      <c r="T961" s="362"/>
      <c r="U961" s="362"/>
      <c r="V961" s="362"/>
      <c r="W961" s="382"/>
      <c r="X961" s="515" t="s">
        <v>2475</v>
      </c>
      <c r="Y961" s="246" t="s">
        <v>1741</v>
      </c>
      <c r="Z961" s="235" t="s">
        <v>175</v>
      </c>
      <c r="AA961" s="235" t="s">
        <v>193</v>
      </c>
      <c r="AB961" s="468" t="s">
        <v>2456</v>
      </c>
      <c r="AC961" s="726"/>
      <c r="AD961" s="292">
        <f t="shared" ref="AD961:AF962" si="251">AD962</f>
        <v>523.9</v>
      </c>
      <c r="AE961" s="292">
        <f t="shared" si="251"/>
        <v>0</v>
      </c>
      <c r="AF961" s="292">
        <f t="shared" si="251"/>
        <v>0</v>
      </c>
      <c r="AG961" s="554"/>
      <c r="AH961" s="554"/>
      <c r="AI961" s="456"/>
    </row>
    <row r="962" spans="1:35" s="344" customFormat="1" x14ac:dyDescent="0.25">
      <c r="A962" s="381"/>
      <c r="B962" s="336"/>
      <c r="C962" s="338"/>
      <c r="D962" s="338"/>
      <c r="E962" s="339"/>
      <c r="F962" s="338"/>
      <c r="G962" s="343"/>
      <c r="H962" s="382"/>
      <c r="I962" s="383"/>
      <c r="J962" s="383"/>
      <c r="K962" s="383"/>
      <c r="L962" s="340"/>
      <c r="M962" s="383"/>
      <c r="N962" s="340"/>
      <c r="O962" s="384"/>
      <c r="P962" s="340"/>
      <c r="Q962" s="342"/>
      <c r="R962" s="362"/>
      <c r="S962" s="362"/>
      <c r="T962" s="362"/>
      <c r="U962" s="362"/>
      <c r="V962" s="362"/>
      <c r="W962" s="382"/>
      <c r="X962" s="515" t="s">
        <v>1782</v>
      </c>
      <c r="Y962" s="246" t="s">
        <v>1741</v>
      </c>
      <c r="Z962" s="235" t="s">
        <v>175</v>
      </c>
      <c r="AA962" s="235" t="s">
        <v>193</v>
      </c>
      <c r="AB962" s="468" t="s">
        <v>2456</v>
      </c>
      <c r="AC962" s="725">
        <v>200</v>
      </c>
      <c r="AD962" s="292">
        <f t="shared" si="251"/>
        <v>523.9</v>
      </c>
      <c r="AE962" s="292">
        <f t="shared" si="251"/>
        <v>0</v>
      </c>
      <c r="AF962" s="292">
        <f t="shared" si="251"/>
        <v>0</v>
      </c>
      <c r="AG962" s="554"/>
      <c r="AH962" s="554"/>
      <c r="AI962" s="456"/>
    </row>
    <row r="963" spans="1:35" s="344" customFormat="1" ht="31.5" x14ac:dyDescent="0.25">
      <c r="A963" s="381"/>
      <c r="B963" s="336"/>
      <c r="C963" s="338"/>
      <c r="D963" s="338"/>
      <c r="E963" s="339"/>
      <c r="F963" s="338"/>
      <c r="G963" s="343"/>
      <c r="H963" s="382"/>
      <c r="I963" s="383"/>
      <c r="J963" s="383"/>
      <c r="K963" s="383"/>
      <c r="L963" s="340"/>
      <c r="M963" s="383"/>
      <c r="N963" s="340"/>
      <c r="O963" s="384"/>
      <c r="P963" s="340"/>
      <c r="Q963" s="342"/>
      <c r="R963" s="362"/>
      <c r="S963" s="362"/>
      <c r="T963" s="362"/>
      <c r="U963" s="362"/>
      <c r="V963" s="362"/>
      <c r="W963" s="382"/>
      <c r="X963" s="515" t="s">
        <v>1274</v>
      </c>
      <c r="Y963" s="246" t="s">
        <v>1741</v>
      </c>
      <c r="Z963" s="235" t="s">
        <v>175</v>
      </c>
      <c r="AA963" s="235" t="s">
        <v>193</v>
      </c>
      <c r="AB963" s="468" t="s">
        <v>2456</v>
      </c>
      <c r="AC963" s="725">
        <v>240</v>
      </c>
      <c r="AD963" s="292">
        <f>94.3+429.6</f>
        <v>523.9</v>
      </c>
      <c r="AE963" s="476">
        <v>0</v>
      </c>
      <c r="AF963" s="476">
        <v>0</v>
      </c>
      <c r="AG963" s="554"/>
      <c r="AH963" s="554"/>
      <c r="AI963" s="456"/>
    </row>
    <row r="964" spans="1:35" s="344" customFormat="1" ht="31.5" x14ac:dyDescent="0.25">
      <c r="A964" s="381"/>
      <c r="B964" s="336"/>
      <c r="C964" s="338"/>
      <c r="D964" s="338"/>
      <c r="E964" s="339"/>
      <c r="F964" s="338"/>
      <c r="G964" s="343"/>
      <c r="H964" s="382"/>
      <c r="I964" s="383"/>
      <c r="J964" s="383"/>
      <c r="K964" s="383"/>
      <c r="L964" s="340"/>
      <c r="M964" s="383"/>
      <c r="N964" s="340"/>
      <c r="O964" s="384"/>
      <c r="P964" s="340"/>
      <c r="Q964" s="342"/>
      <c r="R964" s="362"/>
      <c r="S964" s="362"/>
      <c r="T964" s="362"/>
      <c r="U964" s="362"/>
      <c r="V964" s="362"/>
      <c r="W964" s="382"/>
      <c r="X964" s="515" t="s">
        <v>2457</v>
      </c>
      <c r="Y964" s="246" t="s">
        <v>1741</v>
      </c>
      <c r="Z964" s="235" t="s">
        <v>175</v>
      </c>
      <c r="AA964" s="235" t="s">
        <v>193</v>
      </c>
      <c r="AB964" s="468" t="s">
        <v>2458</v>
      </c>
      <c r="AC964" s="726"/>
      <c r="AD964" s="292">
        <f>AD965</f>
        <v>331.20000000000005</v>
      </c>
      <c r="AE964" s="292">
        <f>AE965</f>
        <v>0</v>
      </c>
      <c r="AF964" s="292">
        <f>AF965</f>
        <v>0</v>
      </c>
      <c r="AG964" s="554"/>
      <c r="AH964" s="554"/>
      <c r="AI964" s="456"/>
    </row>
    <row r="965" spans="1:35" s="344" customFormat="1" x14ac:dyDescent="0.25">
      <c r="A965" s="381"/>
      <c r="B965" s="336"/>
      <c r="C965" s="338"/>
      <c r="D965" s="338"/>
      <c r="E965" s="339"/>
      <c r="F965" s="338"/>
      <c r="G965" s="343"/>
      <c r="H965" s="382"/>
      <c r="I965" s="383"/>
      <c r="J965" s="383"/>
      <c r="K965" s="383"/>
      <c r="L965" s="340"/>
      <c r="M965" s="383"/>
      <c r="N965" s="340"/>
      <c r="O965" s="384"/>
      <c r="P965" s="340"/>
      <c r="Q965" s="342"/>
      <c r="R965" s="362"/>
      <c r="S965" s="362"/>
      <c r="T965" s="362"/>
      <c r="U965" s="362"/>
      <c r="V965" s="362"/>
      <c r="W965" s="382"/>
      <c r="X965" s="515" t="s">
        <v>1782</v>
      </c>
      <c r="Y965" s="246" t="s">
        <v>1741</v>
      </c>
      <c r="Z965" s="235" t="s">
        <v>175</v>
      </c>
      <c r="AA965" s="235" t="s">
        <v>193</v>
      </c>
      <c r="AB965" s="468" t="s">
        <v>2458</v>
      </c>
      <c r="AC965" s="725">
        <v>200</v>
      </c>
      <c r="AD965" s="292">
        <f>AD966</f>
        <v>331.20000000000005</v>
      </c>
      <c r="AE965" s="476">
        <v>0</v>
      </c>
      <c r="AF965" s="476">
        <v>0</v>
      </c>
      <c r="AG965" s="554"/>
      <c r="AH965" s="554"/>
      <c r="AI965" s="456"/>
    </row>
    <row r="966" spans="1:35" s="344" customFormat="1" ht="31.5" x14ac:dyDescent="0.25">
      <c r="A966" s="381"/>
      <c r="B966" s="336"/>
      <c r="C966" s="338"/>
      <c r="D966" s="338"/>
      <c r="E966" s="339"/>
      <c r="F966" s="338"/>
      <c r="G966" s="343"/>
      <c r="H966" s="382"/>
      <c r="I966" s="383"/>
      <c r="J966" s="383"/>
      <c r="K966" s="383"/>
      <c r="L966" s="340"/>
      <c r="M966" s="383"/>
      <c r="N966" s="340"/>
      <c r="O966" s="384"/>
      <c r="P966" s="340"/>
      <c r="Q966" s="342"/>
      <c r="R966" s="362"/>
      <c r="S966" s="362"/>
      <c r="T966" s="362"/>
      <c r="U966" s="362"/>
      <c r="V966" s="362"/>
      <c r="W966" s="382"/>
      <c r="X966" s="515" t="s">
        <v>1274</v>
      </c>
      <c r="Y966" s="246" t="s">
        <v>1741</v>
      </c>
      <c r="Z966" s="235" t="s">
        <v>175</v>
      </c>
      <c r="AA966" s="235" t="s">
        <v>193</v>
      </c>
      <c r="AB966" s="468" t="s">
        <v>2458</v>
      </c>
      <c r="AC966" s="725">
        <v>240</v>
      </c>
      <c r="AD966" s="292">
        <f>59.6+271.6</f>
        <v>331.20000000000005</v>
      </c>
      <c r="AE966" s="476">
        <v>0</v>
      </c>
      <c r="AF966" s="476">
        <v>0</v>
      </c>
      <c r="AG966" s="554"/>
      <c r="AH966" s="554"/>
      <c r="AI966" s="456"/>
    </row>
    <row r="967" spans="1:35" s="344" customFormat="1" ht="47.25"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515" t="s">
        <v>2459</v>
      </c>
      <c r="Y967" s="246" t="s">
        <v>1741</v>
      </c>
      <c r="Z967" s="235" t="s">
        <v>175</v>
      </c>
      <c r="AA967" s="235" t="s">
        <v>193</v>
      </c>
      <c r="AB967" s="468" t="s">
        <v>2460</v>
      </c>
      <c r="AC967" s="726"/>
      <c r="AD967" s="292">
        <f t="shared" ref="AD967:AF968" si="252">AD968</f>
        <v>330.7</v>
      </c>
      <c r="AE967" s="292">
        <f t="shared" si="252"/>
        <v>0</v>
      </c>
      <c r="AF967" s="292">
        <f t="shared" si="252"/>
        <v>0</v>
      </c>
      <c r="AG967" s="554"/>
      <c r="AH967" s="554"/>
      <c r="AI967" s="456"/>
    </row>
    <row r="968" spans="1:35" s="344" customFormat="1"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5" t="s">
        <v>1782</v>
      </c>
      <c r="Y968" s="246" t="s">
        <v>1741</v>
      </c>
      <c r="Z968" s="235" t="s">
        <v>175</v>
      </c>
      <c r="AA968" s="235" t="s">
        <v>193</v>
      </c>
      <c r="AB968" s="468" t="s">
        <v>2460</v>
      </c>
      <c r="AC968" s="725">
        <v>200</v>
      </c>
      <c r="AD968" s="292">
        <f t="shared" si="252"/>
        <v>330.7</v>
      </c>
      <c r="AE968" s="292">
        <f t="shared" si="252"/>
        <v>0</v>
      </c>
      <c r="AF968" s="292">
        <f t="shared" si="252"/>
        <v>0</v>
      </c>
      <c r="AG968" s="554"/>
      <c r="AH968" s="554"/>
      <c r="AI968" s="456"/>
    </row>
    <row r="969" spans="1:35" s="344" customFormat="1" ht="31.5"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515" t="s">
        <v>1274</v>
      </c>
      <c r="Y969" s="246" t="s">
        <v>1741</v>
      </c>
      <c r="Z969" s="235" t="s">
        <v>175</v>
      </c>
      <c r="AA969" s="235" t="s">
        <v>193</v>
      </c>
      <c r="AB969" s="468" t="s">
        <v>2460</v>
      </c>
      <c r="AC969" s="725">
        <v>240</v>
      </c>
      <c r="AD969" s="292">
        <f>59.5+271.2</f>
        <v>330.7</v>
      </c>
      <c r="AE969" s="476">
        <v>0</v>
      </c>
      <c r="AF969" s="476">
        <v>0</v>
      </c>
      <c r="AG969" s="554"/>
      <c r="AH969" s="554"/>
      <c r="AI969" s="456"/>
    </row>
    <row r="970" spans="1:35" s="344" customFormat="1" ht="47.25"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836" t="s">
        <v>2461</v>
      </c>
      <c r="Y970" s="246" t="s">
        <v>1741</v>
      </c>
      <c r="Z970" s="235" t="s">
        <v>175</v>
      </c>
      <c r="AA970" s="235" t="s">
        <v>193</v>
      </c>
      <c r="AB970" s="468" t="s">
        <v>2462</v>
      </c>
      <c r="AC970" s="238"/>
      <c r="AD970" s="292">
        <f t="shared" ref="AD970:AF971" si="253">AD971</f>
        <v>42.7</v>
      </c>
      <c r="AE970" s="292">
        <f t="shared" si="253"/>
        <v>0</v>
      </c>
      <c r="AF970" s="292">
        <f t="shared" si="253"/>
        <v>0</v>
      </c>
      <c r="AG970" s="554"/>
      <c r="AH970" s="554"/>
      <c r="AI970" s="456"/>
    </row>
    <row r="971" spans="1:35" s="344" customFormat="1"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5" t="s">
        <v>1782</v>
      </c>
      <c r="Y971" s="246" t="s">
        <v>1741</v>
      </c>
      <c r="Z971" s="235" t="s">
        <v>175</v>
      </c>
      <c r="AA971" s="235" t="s">
        <v>193</v>
      </c>
      <c r="AB971" s="468" t="s">
        <v>2462</v>
      </c>
      <c r="AC971" s="725">
        <v>200</v>
      </c>
      <c r="AD971" s="292">
        <f t="shared" si="253"/>
        <v>42.7</v>
      </c>
      <c r="AE971" s="292">
        <f t="shared" si="253"/>
        <v>0</v>
      </c>
      <c r="AF971" s="292">
        <f t="shared" si="253"/>
        <v>0</v>
      </c>
      <c r="AG971" s="554"/>
      <c r="AH971" s="554"/>
      <c r="AI971" s="456"/>
    </row>
    <row r="972" spans="1:35" s="344" customFormat="1" ht="31.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515" t="s">
        <v>1274</v>
      </c>
      <c r="Y972" s="246" t="s">
        <v>1741</v>
      </c>
      <c r="Z972" s="235" t="s">
        <v>175</v>
      </c>
      <c r="AA972" s="235" t="s">
        <v>193</v>
      </c>
      <c r="AB972" s="468" t="s">
        <v>2462</v>
      </c>
      <c r="AC972" s="725">
        <v>240</v>
      </c>
      <c r="AD972" s="292">
        <f>7.7+35</f>
        <v>42.7</v>
      </c>
      <c r="AE972" s="476">
        <v>0</v>
      </c>
      <c r="AF972" s="476">
        <v>0</v>
      </c>
      <c r="AG972" s="554"/>
      <c r="AH972" s="554"/>
      <c r="AI972" s="456"/>
    </row>
    <row r="973" spans="1:35" s="344" customFormat="1" ht="47.25" x14ac:dyDescent="0.25">
      <c r="A973" s="381"/>
      <c r="B973" s="336"/>
      <c r="C973" s="338"/>
      <c r="D973" s="338"/>
      <c r="E973" s="339"/>
      <c r="F973" s="338"/>
      <c r="G973" s="343"/>
      <c r="H973" s="382"/>
      <c r="I973" s="383"/>
      <c r="J973" s="383"/>
      <c r="K973" s="383"/>
      <c r="L973" s="340"/>
      <c r="M973" s="383"/>
      <c r="N973" s="340"/>
      <c r="O973" s="384"/>
      <c r="P973" s="340"/>
      <c r="Q973" s="342"/>
      <c r="R973" s="362"/>
      <c r="S973" s="362"/>
      <c r="T973" s="362"/>
      <c r="U973" s="362"/>
      <c r="V973" s="362"/>
      <c r="W973" s="382"/>
      <c r="X973" s="836" t="s">
        <v>2463</v>
      </c>
      <c r="Y973" s="246" t="s">
        <v>1741</v>
      </c>
      <c r="Z973" s="235" t="s">
        <v>175</v>
      </c>
      <c r="AA973" s="235" t="s">
        <v>193</v>
      </c>
      <c r="AB973" s="468" t="s">
        <v>2464</v>
      </c>
      <c r="AC973" s="238"/>
      <c r="AD973" s="292">
        <f>AD974</f>
        <v>277.7</v>
      </c>
      <c r="AE973" s="292">
        <f>AE974</f>
        <v>0</v>
      </c>
      <c r="AF973" s="292">
        <f>AF974</f>
        <v>0</v>
      </c>
      <c r="AG973" s="554"/>
      <c r="AH973" s="554"/>
      <c r="AI973" s="456"/>
    </row>
    <row r="974" spans="1:35" s="344" customFormat="1" x14ac:dyDescent="0.25">
      <c r="A974" s="381"/>
      <c r="B974" s="336"/>
      <c r="C974" s="338"/>
      <c r="D974" s="338"/>
      <c r="E974" s="339"/>
      <c r="F974" s="338"/>
      <c r="G974" s="343"/>
      <c r="H974" s="382"/>
      <c r="I974" s="383"/>
      <c r="J974" s="383"/>
      <c r="K974" s="383"/>
      <c r="L974" s="340"/>
      <c r="M974" s="383"/>
      <c r="N974" s="340"/>
      <c r="O974" s="384"/>
      <c r="P974" s="340"/>
      <c r="Q974" s="342"/>
      <c r="R974" s="362"/>
      <c r="S974" s="362"/>
      <c r="T974" s="362"/>
      <c r="U974" s="362"/>
      <c r="V974" s="362"/>
      <c r="W974" s="382"/>
      <c r="X974" s="515" t="s">
        <v>1782</v>
      </c>
      <c r="Y974" s="246" t="s">
        <v>1741</v>
      </c>
      <c r="Z974" s="235" t="s">
        <v>175</v>
      </c>
      <c r="AA974" s="235" t="s">
        <v>193</v>
      </c>
      <c r="AB974" s="468" t="s">
        <v>2464</v>
      </c>
      <c r="AC974" s="725">
        <v>200</v>
      </c>
      <c r="AD974" s="292">
        <f>AD975</f>
        <v>277.7</v>
      </c>
      <c r="AE974" s="476">
        <v>0</v>
      </c>
      <c r="AF974" s="476">
        <v>0</v>
      </c>
      <c r="AG974" s="554"/>
      <c r="AH974" s="554"/>
      <c r="AI974" s="456"/>
    </row>
    <row r="975" spans="1:35" s="344" customFormat="1" ht="31.5" x14ac:dyDescent="0.25">
      <c r="A975" s="381"/>
      <c r="B975" s="336"/>
      <c r="C975" s="338"/>
      <c r="D975" s="338"/>
      <c r="E975" s="339"/>
      <c r="F975" s="338"/>
      <c r="G975" s="343"/>
      <c r="H975" s="382"/>
      <c r="I975" s="383"/>
      <c r="J975" s="383"/>
      <c r="K975" s="383"/>
      <c r="L975" s="340"/>
      <c r="M975" s="383"/>
      <c r="N975" s="340"/>
      <c r="O975" s="384"/>
      <c r="P975" s="340"/>
      <c r="Q975" s="342"/>
      <c r="R975" s="362"/>
      <c r="S975" s="362"/>
      <c r="T975" s="362"/>
      <c r="U975" s="362"/>
      <c r="V975" s="362"/>
      <c r="W975" s="382"/>
      <c r="X975" s="515" t="s">
        <v>1274</v>
      </c>
      <c r="Y975" s="246" t="s">
        <v>1741</v>
      </c>
      <c r="Z975" s="235" t="s">
        <v>175</v>
      </c>
      <c r="AA975" s="235" t="s">
        <v>193</v>
      </c>
      <c r="AB975" s="468" t="s">
        <v>2464</v>
      </c>
      <c r="AC975" s="725">
        <v>240</v>
      </c>
      <c r="AD975" s="292">
        <f>50+227.7</f>
        <v>277.7</v>
      </c>
      <c r="AE975" s="476">
        <v>0</v>
      </c>
      <c r="AF975" s="476">
        <v>0</v>
      </c>
      <c r="AG975" s="554"/>
      <c r="AH975" s="554"/>
      <c r="AI975" s="456"/>
    </row>
    <row r="976" spans="1:35" s="344" customFormat="1" ht="47.25" x14ac:dyDescent="0.25">
      <c r="A976" s="381"/>
      <c r="B976" s="336"/>
      <c r="C976" s="338"/>
      <c r="D976" s="338"/>
      <c r="E976" s="339"/>
      <c r="F976" s="338"/>
      <c r="G976" s="343"/>
      <c r="H976" s="382"/>
      <c r="I976" s="383"/>
      <c r="J976" s="383"/>
      <c r="K976" s="383"/>
      <c r="L976" s="340"/>
      <c r="M976" s="383"/>
      <c r="N976" s="340"/>
      <c r="O976" s="384"/>
      <c r="P976" s="340"/>
      <c r="Q976" s="342"/>
      <c r="R976" s="362"/>
      <c r="S976" s="362"/>
      <c r="T976" s="362"/>
      <c r="U976" s="362"/>
      <c r="V976" s="362"/>
      <c r="W976" s="382"/>
      <c r="X976" s="727" t="s">
        <v>2465</v>
      </c>
      <c r="Y976" s="246" t="s">
        <v>1741</v>
      </c>
      <c r="Z976" s="235" t="s">
        <v>175</v>
      </c>
      <c r="AA976" s="235" t="s">
        <v>193</v>
      </c>
      <c r="AB976" s="468" t="s">
        <v>2466</v>
      </c>
      <c r="AC976" s="238"/>
      <c r="AD976" s="292">
        <f>AD977</f>
        <v>350.70000000000005</v>
      </c>
      <c r="AE976" s="292">
        <f>AE977</f>
        <v>0</v>
      </c>
      <c r="AF976" s="292">
        <f>AF977</f>
        <v>0</v>
      </c>
      <c r="AG976" s="554"/>
      <c r="AH976" s="554"/>
      <c r="AI976" s="456"/>
    </row>
    <row r="977" spans="1:35" s="344" customFormat="1" x14ac:dyDescent="0.25">
      <c r="A977" s="381"/>
      <c r="B977" s="336"/>
      <c r="C977" s="338"/>
      <c r="D977" s="338"/>
      <c r="E977" s="339"/>
      <c r="F977" s="338"/>
      <c r="G977" s="343"/>
      <c r="H977" s="382"/>
      <c r="I977" s="383"/>
      <c r="J977" s="383"/>
      <c r="K977" s="383"/>
      <c r="L977" s="340"/>
      <c r="M977" s="383"/>
      <c r="N977" s="340"/>
      <c r="O977" s="384"/>
      <c r="P977" s="340"/>
      <c r="Q977" s="342"/>
      <c r="R977" s="362"/>
      <c r="S977" s="362"/>
      <c r="T977" s="362"/>
      <c r="U977" s="362"/>
      <c r="V977" s="362"/>
      <c r="W977" s="382"/>
      <c r="X977" s="515" t="s">
        <v>1782</v>
      </c>
      <c r="Y977" s="246" t="s">
        <v>1741</v>
      </c>
      <c r="Z977" s="235" t="s">
        <v>175</v>
      </c>
      <c r="AA977" s="235" t="s">
        <v>193</v>
      </c>
      <c r="AB977" s="468" t="s">
        <v>2466</v>
      </c>
      <c r="AC977" s="725">
        <v>200</v>
      </c>
      <c r="AD977" s="292">
        <f>AD978</f>
        <v>350.70000000000005</v>
      </c>
      <c r="AE977" s="476">
        <v>0</v>
      </c>
      <c r="AF977" s="476">
        <v>0</v>
      </c>
      <c r="AG977" s="554"/>
      <c r="AH977" s="554"/>
      <c r="AI977" s="456"/>
    </row>
    <row r="978" spans="1:35" s="344" customFormat="1" ht="31.5" x14ac:dyDescent="0.25">
      <c r="A978" s="381"/>
      <c r="B978" s="336"/>
      <c r="C978" s="338"/>
      <c r="D978" s="338"/>
      <c r="E978" s="339"/>
      <c r="F978" s="338"/>
      <c r="G978" s="343"/>
      <c r="H978" s="382"/>
      <c r="I978" s="383"/>
      <c r="J978" s="383"/>
      <c r="K978" s="383"/>
      <c r="L978" s="340"/>
      <c r="M978" s="383"/>
      <c r="N978" s="340"/>
      <c r="O978" s="384"/>
      <c r="P978" s="340"/>
      <c r="Q978" s="342"/>
      <c r="R978" s="362"/>
      <c r="S978" s="362"/>
      <c r="T978" s="362"/>
      <c r="U978" s="362"/>
      <c r="V978" s="362"/>
      <c r="W978" s="382"/>
      <c r="X978" s="515" t="s">
        <v>1274</v>
      </c>
      <c r="Y978" s="246" t="s">
        <v>1741</v>
      </c>
      <c r="Z978" s="235" t="s">
        <v>175</v>
      </c>
      <c r="AA978" s="235" t="s">
        <v>193</v>
      </c>
      <c r="AB978" s="468" t="s">
        <v>2466</v>
      </c>
      <c r="AC978" s="725">
        <v>240</v>
      </c>
      <c r="AD978" s="292">
        <f>63.1+287.6</f>
        <v>350.70000000000005</v>
      </c>
      <c r="AE978" s="476">
        <v>0</v>
      </c>
      <c r="AF978" s="476">
        <v>0</v>
      </c>
      <c r="AG978" s="554"/>
      <c r="AH978" s="554"/>
      <c r="AI978" s="456"/>
    </row>
    <row r="979" spans="1:35" s="344" customFormat="1" ht="47.25" x14ac:dyDescent="0.25">
      <c r="A979" s="381"/>
      <c r="B979" s="336"/>
      <c r="C979" s="338"/>
      <c r="D979" s="338"/>
      <c r="E979" s="339"/>
      <c r="F979" s="338"/>
      <c r="G979" s="343"/>
      <c r="H979" s="382"/>
      <c r="I979" s="383"/>
      <c r="J979" s="383"/>
      <c r="K979" s="383"/>
      <c r="L979" s="340"/>
      <c r="M979" s="383"/>
      <c r="N979" s="340"/>
      <c r="O979" s="384"/>
      <c r="P979" s="340"/>
      <c r="Q979" s="342"/>
      <c r="R979" s="362"/>
      <c r="S979" s="362"/>
      <c r="T979" s="362"/>
      <c r="U979" s="362"/>
      <c r="V979" s="362"/>
      <c r="W979" s="382"/>
      <c r="X979" s="836" t="s">
        <v>2467</v>
      </c>
      <c r="Y979" s="246" t="s">
        <v>1741</v>
      </c>
      <c r="Z979" s="235" t="s">
        <v>175</v>
      </c>
      <c r="AA979" s="235" t="s">
        <v>193</v>
      </c>
      <c r="AB979" s="468" t="s">
        <v>2468</v>
      </c>
      <c r="AC979" s="238"/>
      <c r="AD979" s="292">
        <f t="shared" ref="AD979:AF980" si="254">AD980</f>
        <v>219</v>
      </c>
      <c r="AE979" s="292">
        <f t="shared" si="254"/>
        <v>0</v>
      </c>
      <c r="AF979" s="292">
        <f t="shared" si="254"/>
        <v>0</v>
      </c>
      <c r="AG979" s="554"/>
      <c r="AH979" s="554"/>
      <c r="AI979" s="456"/>
    </row>
    <row r="980" spans="1:35" s="344" customFormat="1" x14ac:dyDescent="0.25">
      <c r="A980" s="381"/>
      <c r="B980" s="336"/>
      <c r="C980" s="338"/>
      <c r="D980" s="338"/>
      <c r="E980" s="339"/>
      <c r="F980" s="338"/>
      <c r="G980" s="343"/>
      <c r="H980" s="382"/>
      <c r="I980" s="383"/>
      <c r="J980" s="383"/>
      <c r="K980" s="383"/>
      <c r="L980" s="340"/>
      <c r="M980" s="383"/>
      <c r="N980" s="340"/>
      <c r="O980" s="384"/>
      <c r="P980" s="340"/>
      <c r="Q980" s="342"/>
      <c r="R980" s="362"/>
      <c r="S980" s="362"/>
      <c r="T980" s="362"/>
      <c r="U980" s="362"/>
      <c r="V980" s="362"/>
      <c r="W980" s="382"/>
      <c r="X980" s="515" t="s">
        <v>1782</v>
      </c>
      <c r="Y980" s="246" t="s">
        <v>1741</v>
      </c>
      <c r="Z980" s="235" t="s">
        <v>175</v>
      </c>
      <c r="AA980" s="235" t="s">
        <v>193</v>
      </c>
      <c r="AB980" s="468" t="s">
        <v>2468</v>
      </c>
      <c r="AC980" s="725">
        <v>200</v>
      </c>
      <c r="AD980" s="292">
        <f t="shared" si="254"/>
        <v>219</v>
      </c>
      <c r="AE980" s="292">
        <f t="shared" si="254"/>
        <v>0</v>
      </c>
      <c r="AF980" s="292">
        <f t="shared" si="254"/>
        <v>0</v>
      </c>
      <c r="AG980" s="554"/>
      <c r="AH980" s="554"/>
      <c r="AI980" s="456"/>
    </row>
    <row r="981" spans="1:35" s="344" customFormat="1" ht="31.5" x14ac:dyDescent="0.25">
      <c r="A981" s="381"/>
      <c r="B981" s="336"/>
      <c r="C981" s="338"/>
      <c r="D981" s="338"/>
      <c r="E981" s="339"/>
      <c r="F981" s="338"/>
      <c r="G981" s="343"/>
      <c r="H981" s="382"/>
      <c r="I981" s="383"/>
      <c r="J981" s="383"/>
      <c r="K981" s="383"/>
      <c r="L981" s="340"/>
      <c r="M981" s="383"/>
      <c r="N981" s="340"/>
      <c r="O981" s="384"/>
      <c r="P981" s="340"/>
      <c r="Q981" s="342"/>
      <c r="R981" s="362"/>
      <c r="S981" s="362"/>
      <c r="T981" s="362"/>
      <c r="U981" s="362"/>
      <c r="V981" s="362"/>
      <c r="W981" s="382"/>
      <c r="X981" s="515" t="s">
        <v>1274</v>
      </c>
      <c r="Y981" s="246" t="s">
        <v>1741</v>
      </c>
      <c r="Z981" s="235" t="s">
        <v>175</v>
      </c>
      <c r="AA981" s="235" t="s">
        <v>193</v>
      </c>
      <c r="AB981" s="468" t="s">
        <v>2468</v>
      </c>
      <c r="AC981" s="725">
        <v>240</v>
      </c>
      <c r="AD981" s="292">
        <f>39.4+179.6</f>
        <v>219</v>
      </c>
      <c r="AE981" s="476">
        <v>0</v>
      </c>
      <c r="AF981" s="476">
        <v>0</v>
      </c>
      <c r="AG981" s="554"/>
      <c r="AH981" s="554"/>
      <c r="AI981" s="456"/>
    </row>
    <row r="982" spans="1:35" s="344" customFormat="1" ht="63" x14ac:dyDescent="0.25">
      <c r="A982" s="381"/>
      <c r="B982" s="336"/>
      <c r="C982" s="338"/>
      <c r="D982" s="338"/>
      <c r="E982" s="339"/>
      <c r="F982" s="338"/>
      <c r="G982" s="343"/>
      <c r="H982" s="382"/>
      <c r="I982" s="383"/>
      <c r="J982" s="383"/>
      <c r="K982" s="383"/>
      <c r="L982" s="340"/>
      <c r="M982" s="383"/>
      <c r="N982" s="340"/>
      <c r="O982" s="384"/>
      <c r="P982" s="340"/>
      <c r="Q982" s="342"/>
      <c r="R982" s="362"/>
      <c r="S982" s="362"/>
      <c r="T982" s="362"/>
      <c r="U982" s="362"/>
      <c r="V982" s="362"/>
      <c r="W982" s="382"/>
      <c r="X982" s="727" t="s">
        <v>2469</v>
      </c>
      <c r="Y982" s="246" t="s">
        <v>1741</v>
      </c>
      <c r="Z982" s="235" t="s">
        <v>175</v>
      </c>
      <c r="AA982" s="235" t="s">
        <v>193</v>
      </c>
      <c r="AB982" s="468" t="s">
        <v>2470</v>
      </c>
      <c r="AC982" s="238"/>
      <c r="AD982" s="292">
        <f>AD983</f>
        <v>702.7</v>
      </c>
      <c r="AE982" s="292">
        <f>AE983</f>
        <v>0</v>
      </c>
      <c r="AF982" s="292">
        <f>AF983</f>
        <v>0</v>
      </c>
      <c r="AG982" s="554"/>
      <c r="AH982" s="554"/>
      <c r="AI982" s="456"/>
    </row>
    <row r="983" spans="1:35" s="344" customFormat="1" x14ac:dyDescent="0.25">
      <c r="A983" s="381"/>
      <c r="B983" s="336"/>
      <c r="C983" s="338"/>
      <c r="D983" s="338"/>
      <c r="E983" s="339"/>
      <c r="F983" s="338"/>
      <c r="G983" s="343"/>
      <c r="H983" s="382"/>
      <c r="I983" s="383"/>
      <c r="J983" s="383"/>
      <c r="K983" s="383"/>
      <c r="L983" s="340"/>
      <c r="M983" s="383"/>
      <c r="N983" s="340"/>
      <c r="O983" s="384"/>
      <c r="P983" s="340"/>
      <c r="Q983" s="342"/>
      <c r="R983" s="362"/>
      <c r="S983" s="362"/>
      <c r="T983" s="362"/>
      <c r="U983" s="362"/>
      <c r="V983" s="362"/>
      <c r="W983" s="382"/>
      <c r="X983" s="515" t="s">
        <v>1782</v>
      </c>
      <c r="Y983" s="246" t="s">
        <v>1741</v>
      </c>
      <c r="Z983" s="235" t="s">
        <v>175</v>
      </c>
      <c r="AA983" s="235" t="s">
        <v>193</v>
      </c>
      <c r="AB983" s="468" t="s">
        <v>2470</v>
      </c>
      <c r="AC983" s="725">
        <v>200</v>
      </c>
      <c r="AD983" s="292">
        <f>AD984</f>
        <v>702.7</v>
      </c>
      <c r="AE983" s="476">
        <v>0</v>
      </c>
      <c r="AF983" s="476">
        <v>0</v>
      </c>
      <c r="AG983" s="554"/>
      <c r="AH983" s="554"/>
      <c r="AI983" s="456"/>
    </row>
    <row r="984" spans="1:35" s="344" customFormat="1" ht="31.5" x14ac:dyDescent="0.25">
      <c r="A984" s="381"/>
      <c r="B984" s="336"/>
      <c r="C984" s="338"/>
      <c r="D984" s="338"/>
      <c r="E984" s="339"/>
      <c r="F984" s="338"/>
      <c r="G984" s="343"/>
      <c r="H984" s="382"/>
      <c r="I984" s="383"/>
      <c r="J984" s="383"/>
      <c r="K984" s="383"/>
      <c r="L984" s="340"/>
      <c r="M984" s="383"/>
      <c r="N984" s="340"/>
      <c r="O984" s="384"/>
      <c r="P984" s="340"/>
      <c r="Q984" s="342"/>
      <c r="R984" s="362"/>
      <c r="S984" s="362"/>
      <c r="T984" s="362"/>
      <c r="U984" s="362"/>
      <c r="V984" s="362"/>
      <c r="W984" s="382"/>
      <c r="X984" s="515" t="s">
        <v>1274</v>
      </c>
      <c r="Y984" s="246" t="s">
        <v>1741</v>
      </c>
      <c r="Z984" s="235" t="s">
        <v>175</v>
      </c>
      <c r="AA984" s="235" t="s">
        <v>193</v>
      </c>
      <c r="AB984" s="468" t="s">
        <v>2470</v>
      </c>
      <c r="AC984" s="725">
        <v>240</v>
      </c>
      <c r="AD984" s="292">
        <f>126.5+576.2</f>
        <v>702.7</v>
      </c>
      <c r="AE984" s="476">
        <v>0</v>
      </c>
      <c r="AF984" s="476">
        <v>0</v>
      </c>
      <c r="AG984" s="554"/>
      <c r="AH984" s="554"/>
      <c r="AI984" s="456"/>
    </row>
    <row r="985" spans="1:35" s="344" customFormat="1" ht="31.5" x14ac:dyDescent="0.25">
      <c r="A985" s="381"/>
      <c r="B985" s="336"/>
      <c r="C985" s="338"/>
      <c r="D985" s="338"/>
      <c r="E985" s="339"/>
      <c r="F985" s="338"/>
      <c r="G985" s="343"/>
      <c r="H985" s="382"/>
      <c r="I985" s="383"/>
      <c r="J985" s="383"/>
      <c r="K985" s="383"/>
      <c r="L985" s="340"/>
      <c r="M985" s="383"/>
      <c r="N985" s="340"/>
      <c r="O985" s="384"/>
      <c r="P985" s="340"/>
      <c r="Q985" s="342"/>
      <c r="R985" s="362"/>
      <c r="S985" s="362"/>
      <c r="T985" s="362"/>
      <c r="U985" s="362"/>
      <c r="V985" s="362"/>
      <c r="W985" s="382"/>
      <c r="X985" s="727" t="s">
        <v>2471</v>
      </c>
      <c r="Y985" s="246" t="s">
        <v>1741</v>
      </c>
      <c r="Z985" s="235" t="s">
        <v>175</v>
      </c>
      <c r="AA985" s="235" t="s">
        <v>193</v>
      </c>
      <c r="AB985" s="468" t="s">
        <v>2472</v>
      </c>
      <c r="AC985" s="238"/>
      <c r="AD985" s="292">
        <f t="shared" ref="AD985:AF986" si="255">AD986</f>
        <v>202.7</v>
      </c>
      <c r="AE985" s="292">
        <f t="shared" si="255"/>
        <v>0</v>
      </c>
      <c r="AF985" s="292">
        <f t="shared" si="255"/>
        <v>0</v>
      </c>
      <c r="AG985" s="554"/>
      <c r="AH985" s="554"/>
      <c r="AI985" s="456"/>
    </row>
    <row r="986" spans="1:35" s="344" customFormat="1" x14ac:dyDescent="0.25">
      <c r="A986" s="381"/>
      <c r="B986" s="336"/>
      <c r="C986" s="338"/>
      <c r="D986" s="338"/>
      <c r="E986" s="339"/>
      <c r="F986" s="338"/>
      <c r="G986" s="343"/>
      <c r="H986" s="382"/>
      <c r="I986" s="383"/>
      <c r="J986" s="383"/>
      <c r="K986" s="383"/>
      <c r="L986" s="340"/>
      <c r="M986" s="383"/>
      <c r="N986" s="340"/>
      <c r="O986" s="384"/>
      <c r="P986" s="340"/>
      <c r="Q986" s="342"/>
      <c r="R986" s="362"/>
      <c r="S986" s="362"/>
      <c r="T986" s="362"/>
      <c r="U986" s="362"/>
      <c r="V986" s="362"/>
      <c r="W986" s="382"/>
      <c r="X986" s="515" t="s">
        <v>1782</v>
      </c>
      <c r="Y986" s="246" t="s">
        <v>1741</v>
      </c>
      <c r="Z986" s="235" t="s">
        <v>175</v>
      </c>
      <c r="AA986" s="235" t="s">
        <v>193</v>
      </c>
      <c r="AB986" s="468" t="s">
        <v>2472</v>
      </c>
      <c r="AC986" s="725">
        <v>200</v>
      </c>
      <c r="AD986" s="292">
        <f t="shared" si="255"/>
        <v>202.7</v>
      </c>
      <c r="AE986" s="292">
        <f t="shared" si="255"/>
        <v>0</v>
      </c>
      <c r="AF986" s="292">
        <f t="shared" si="255"/>
        <v>0</v>
      </c>
      <c r="AG986" s="554"/>
      <c r="AH986" s="554"/>
      <c r="AI986" s="456"/>
    </row>
    <row r="987" spans="1:35" s="344" customFormat="1" ht="31.5" x14ac:dyDescent="0.25">
      <c r="A987" s="381"/>
      <c r="B987" s="336"/>
      <c r="C987" s="338"/>
      <c r="D987" s="338"/>
      <c r="E987" s="339"/>
      <c r="F987" s="338"/>
      <c r="G987" s="343"/>
      <c r="H987" s="382"/>
      <c r="I987" s="383"/>
      <c r="J987" s="383"/>
      <c r="K987" s="383"/>
      <c r="L987" s="340"/>
      <c r="M987" s="383"/>
      <c r="N987" s="340"/>
      <c r="O987" s="384"/>
      <c r="P987" s="340"/>
      <c r="Q987" s="342"/>
      <c r="R987" s="362"/>
      <c r="S987" s="362"/>
      <c r="T987" s="362"/>
      <c r="U987" s="362"/>
      <c r="V987" s="362"/>
      <c r="W987" s="382"/>
      <c r="X987" s="515" t="s">
        <v>1274</v>
      </c>
      <c r="Y987" s="246" t="s">
        <v>1741</v>
      </c>
      <c r="Z987" s="235" t="s">
        <v>175</v>
      </c>
      <c r="AA987" s="235" t="s">
        <v>193</v>
      </c>
      <c r="AB987" s="468" t="s">
        <v>2472</v>
      </c>
      <c r="AC987" s="725">
        <v>240</v>
      </c>
      <c r="AD987" s="292">
        <f>36.5+166.2</f>
        <v>202.7</v>
      </c>
      <c r="AE987" s="476">
        <v>0</v>
      </c>
      <c r="AF987" s="476">
        <v>0</v>
      </c>
      <c r="AG987" s="554"/>
      <c r="AH987" s="554"/>
      <c r="AI987" s="456"/>
    </row>
    <row r="988" spans="1:35" s="344" customFormat="1" ht="51.6" customHeight="1" x14ac:dyDescent="0.25">
      <c r="A988" s="381"/>
      <c r="B988" s="336"/>
      <c r="C988" s="338"/>
      <c r="D988" s="338"/>
      <c r="E988" s="339"/>
      <c r="F988" s="338"/>
      <c r="G988" s="343"/>
      <c r="H988" s="382"/>
      <c r="I988" s="383"/>
      <c r="J988" s="383"/>
      <c r="K988" s="383"/>
      <c r="L988" s="340"/>
      <c r="M988" s="383"/>
      <c r="N988" s="340"/>
      <c r="O988" s="384"/>
      <c r="P988" s="340"/>
      <c r="Q988" s="342"/>
      <c r="R988" s="362"/>
      <c r="S988" s="362"/>
      <c r="T988" s="362"/>
      <c r="U988" s="362"/>
      <c r="V988" s="362"/>
      <c r="W988" s="382"/>
      <c r="X988" s="727" t="s">
        <v>2382</v>
      </c>
      <c r="Y988" s="246" t="s">
        <v>1741</v>
      </c>
      <c r="Z988" s="235" t="s">
        <v>175</v>
      </c>
      <c r="AA988" s="235" t="s">
        <v>193</v>
      </c>
      <c r="AB988" s="468" t="s">
        <v>2383</v>
      </c>
      <c r="AC988" s="238"/>
      <c r="AD988" s="292">
        <f t="shared" ref="AD988:AF989" si="256">AD989</f>
        <v>2439</v>
      </c>
      <c r="AE988" s="292">
        <f t="shared" si="256"/>
        <v>0</v>
      </c>
      <c r="AF988" s="292">
        <f t="shared" si="256"/>
        <v>0</v>
      </c>
      <c r="AG988" s="554"/>
      <c r="AH988" s="554"/>
      <c r="AI988" s="456"/>
    </row>
    <row r="989" spans="1:35" s="344" customFormat="1" x14ac:dyDescent="0.25">
      <c r="A989" s="381"/>
      <c r="B989" s="336"/>
      <c r="C989" s="338"/>
      <c r="D989" s="338"/>
      <c r="E989" s="339"/>
      <c r="F989" s="338"/>
      <c r="G989" s="343"/>
      <c r="H989" s="382"/>
      <c r="I989" s="383"/>
      <c r="J989" s="383"/>
      <c r="K989" s="383"/>
      <c r="L989" s="340"/>
      <c r="M989" s="383"/>
      <c r="N989" s="340"/>
      <c r="O989" s="384"/>
      <c r="P989" s="340"/>
      <c r="Q989" s="342"/>
      <c r="R989" s="362"/>
      <c r="S989" s="362"/>
      <c r="T989" s="362"/>
      <c r="U989" s="362"/>
      <c r="V989" s="362"/>
      <c r="W989" s="382"/>
      <c r="X989" s="515" t="s">
        <v>1782</v>
      </c>
      <c r="Y989" s="246" t="s">
        <v>1741</v>
      </c>
      <c r="Z989" s="235" t="s">
        <v>175</v>
      </c>
      <c r="AA989" s="235" t="s">
        <v>193</v>
      </c>
      <c r="AB989" s="468" t="s">
        <v>2383</v>
      </c>
      <c r="AC989" s="725">
        <v>200</v>
      </c>
      <c r="AD989" s="292">
        <f t="shared" si="256"/>
        <v>2439</v>
      </c>
      <c r="AE989" s="292">
        <f t="shared" si="256"/>
        <v>0</v>
      </c>
      <c r="AF989" s="292">
        <f t="shared" si="256"/>
        <v>0</v>
      </c>
      <c r="AG989" s="554"/>
      <c r="AH989" s="554"/>
      <c r="AI989" s="456"/>
    </row>
    <row r="990" spans="1:35" s="344" customFormat="1" ht="31.5" x14ac:dyDescent="0.25">
      <c r="A990" s="381"/>
      <c r="B990" s="336"/>
      <c r="C990" s="338"/>
      <c r="D990" s="338"/>
      <c r="E990" s="339"/>
      <c r="F990" s="338"/>
      <c r="G990" s="343"/>
      <c r="H990" s="382"/>
      <c r="I990" s="383"/>
      <c r="J990" s="383"/>
      <c r="K990" s="383"/>
      <c r="L990" s="340"/>
      <c r="M990" s="383"/>
      <c r="N990" s="340"/>
      <c r="O990" s="384"/>
      <c r="P990" s="340"/>
      <c r="Q990" s="342"/>
      <c r="R990" s="362"/>
      <c r="S990" s="362"/>
      <c r="T990" s="362"/>
      <c r="U990" s="362"/>
      <c r="V990" s="362"/>
      <c r="W990" s="382"/>
      <c r="X990" s="515" t="s">
        <v>1274</v>
      </c>
      <c r="Y990" s="246" t="s">
        <v>1741</v>
      </c>
      <c r="Z990" s="235" t="s">
        <v>175</v>
      </c>
      <c r="AA990" s="235" t="s">
        <v>193</v>
      </c>
      <c r="AB990" s="468" t="s">
        <v>2383</v>
      </c>
      <c r="AC990" s="725">
        <v>240</v>
      </c>
      <c r="AD990" s="292">
        <f>439+2000</f>
        <v>2439</v>
      </c>
      <c r="AE990" s="476">
        <v>0</v>
      </c>
      <c r="AF990" s="476">
        <v>0</v>
      </c>
      <c r="AG990" s="554"/>
      <c r="AH990" s="554"/>
      <c r="AI990" s="456"/>
    </row>
    <row r="991" spans="1:35" x14ac:dyDescent="0.25">
      <c r="A991" s="237"/>
      <c r="B991" s="237"/>
      <c r="C991" s="237"/>
      <c r="D991" s="237"/>
      <c r="E991" s="237"/>
      <c r="F991" s="237"/>
      <c r="G991" s="237"/>
      <c r="H991" s="237"/>
      <c r="I991" s="237"/>
      <c r="J991" s="237"/>
      <c r="K991" s="237"/>
      <c r="L991" s="237"/>
      <c r="M991" s="237"/>
      <c r="N991" s="237"/>
      <c r="O991" s="237"/>
      <c r="P991" s="237"/>
      <c r="R991" s="237"/>
      <c r="S991" s="237"/>
      <c r="W991" s="237"/>
      <c r="X991" s="549" t="s">
        <v>1973</v>
      </c>
      <c r="Y991" s="246" t="s">
        <v>1741</v>
      </c>
      <c r="Z991" s="235" t="s">
        <v>175</v>
      </c>
      <c r="AA991" s="235" t="s">
        <v>193</v>
      </c>
      <c r="AB991" s="443" t="s">
        <v>1974</v>
      </c>
      <c r="AC991" s="580"/>
      <c r="AD991" s="292">
        <f>AD1010+AD992</f>
        <v>95868.4</v>
      </c>
      <c r="AE991" s="476">
        <f>AE1010+AE992</f>
        <v>12115</v>
      </c>
      <c r="AF991" s="476">
        <f>AF1010+AF992</f>
        <v>17980.7</v>
      </c>
      <c r="AG991" s="554"/>
      <c r="AH991" s="554"/>
      <c r="AI991" s="456"/>
    </row>
    <row r="992" spans="1:35" x14ac:dyDescent="0.25">
      <c r="A992" s="237"/>
      <c r="B992" s="237"/>
      <c r="C992" s="237"/>
      <c r="D992" s="237"/>
      <c r="E992" s="237"/>
      <c r="F992" s="237"/>
      <c r="G992" s="237"/>
      <c r="H992" s="237"/>
      <c r="I992" s="237"/>
      <c r="J992" s="237"/>
      <c r="K992" s="237"/>
      <c r="L992" s="237"/>
      <c r="M992" s="237"/>
      <c r="N992" s="237"/>
      <c r="O992" s="237"/>
      <c r="P992" s="237"/>
      <c r="R992" s="237"/>
      <c r="S992" s="237"/>
      <c r="W992" s="237"/>
      <c r="X992" s="549" t="s">
        <v>2343</v>
      </c>
      <c r="Y992" s="246" t="s">
        <v>1741</v>
      </c>
      <c r="Z992" s="235" t="s">
        <v>175</v>
      </c>
      <c r="AA992" s="235" t="s">
        <v>193</v>
      </c>
      <c r="AB992" s="443" t="s">
        <v>2344</v>
      </c>
      <c r="AC992" s="580"/>
      <c r="AD992" s="292">
        <f>AD1003+AD993</f>
        <v>72292.7</v>
      </c>
      <c r="AE992" s="476">
        <f>AE1003+AE993</f>
        <v>0</v>
      </c>
      <c r="AF992" s="476">
        <f>AF1003+AF993</f>
        <v>2500</v>
      </c>
      <c r="AG992" s="554"/>
      <c r="AH992" s="554"/>
      <c r="AI992" s="456"/>
    </row>
    <row r="993" spans="1:35" ht="29.45" customHeight="1" x14ac:dyDescent="0.25">
      <c r="A993" s="237"/>
      <c r="B993" s="237"/>
      <c r="C993" s="237"/>
      <c r="D993" s="237"/>
      <c r="E993" s="237"/>
      <c r="F993" s="237"/>
      <c r="G993" s="237"/>
      <c r="H993" s="237"/>
      <c r="I993" s="237"/>
      <c r="J993" s="237"/>
      <c r="K993" s="237"/>
      <c r="L993" s="237"/>
      <c r="M993" s="237"/>
      <c r="N993" s="237"/>
      <c r="O993" s="237"/>
      <c r="P993" s="237"/>
      <c r="R993" s="237"/>
      <c r="S993" s="237"/>
      <c r="W993" s="237"/>
      <c r="X993" s="549" t="s">
        <v>2410</v>
      </c>
      <c r="Y993" s="246" t="s">
        <v>1741</v>
      </c>
      <c r="Z993" s="235" t="s">
        <v>175</v>
      </c>
      <c r="AA993" s="235" t="s">
        <v>193</v>
      </c>
      <c r="AB993" s="443" t="s">
        <v>2411</v>
      </c>
      <c r="AC993" s="580"/>
      <c r="AD993" s="292">
        <f>AD994+AD997+AD1000</f>
        <v>11350.4</v>
      </c>
      <c r="AE993" s="292">
        <f t="shared" ref="AE993:AF993" si="257">AE994+AE997+AE1000</f>
        <v>0</v>
      </c>
      <c r="AF993" s="292">
        <f t="shared" si="257"/>
        <v>0</v>
      </c>
      <c r="AG993" s="554"/>
      <c r="AH993" s="554"/>
      <c r="AI993" s="456"/>
    </row>
    <row r="994" spans="1:35" x14ac:dyDescent="0.25">
      <c r="A994" s="237"/>
      <c r="B994" s="237"/>
      <c r="C994" s="237"/>
      <c r="D994" s="237"/>
      <c r="E994" s="237"/>
      <c r="F994" s="237"/>
      <c r="G994" s="237"/>
      <c r="H994" s="237"/>
      <c r="I994" s="237"/>
      <c r="J994" s="237"/>
      <c r="K994" s="237"/>
      <c r="L994" s="237"/>
      <c r="M994" s="237"/>
      <c r="N994" s="237"/>
      <c r="O994" s="237"/>
      <c r="P994" s="237"/>
      <c r="R994" s="237"/>
      <c r="S994" s="237"/>
      <c r="W994" s="237"/>
      <c r="X994" s="549" t="s">
        <v>2424</v>
      </c>
      <c r="Y994" s="246" t="s">
        <v>1741</v>
      </c>
      <c r="Z994" s="235" t="s">
        <v>175</v>
      </c>
      <c r="AA994" s="235" t="s">
        <v>193</v>
      </c>
      <c r="AB994" s="443" t="s">
        <v>2423</v>
      </c>
      <c r="AC994" s="580"/>
      <c r="AD994" s="292">
        <f t="shared" ref="AD994:AF995" si="258">AD995</f>
        <v>4899.2</v>
      </c>
      <c r="AE994" s="476">
        <f t="shared" si="258"/>
        <v>0</v>
      </c>
      <c r="AF994" s="476">
        <f t="shared" si="258"/>
        <v>0</v>
      </c>
      <c r="AG994" s="554"/>
      <c r="AH994" s="554"/>
      <c r="AI994" s="456"/>
    </row>
    <row r="995" spans="1:35" x14ac:dyDescent="0.25">
      <c r="A995" s="237"/>
      <c r="B995" s="237"/>
      <c r="C995" s="237"/>
      <c r="D995" s="237"/>
      <c r="E995" s="237"/>
      <c r="F995" s="237"/>
      <c r="G995" s="237"/>
      <c r="H995" s="237"/>
      <c r="I995" s="237"/>
      <c r="J995" s="237"/>
      <c r="K995" s="237"/>
      <c r="L995" s="237"/>
      <c r="M995" s="237"/>
      <c r="N995" s="237"/>
      <c r="O995" s="237"/>
      <c r="P995" s="237"/>
      <c r="R995" s="237"/>
      <c r="S995" s="237"/>
      <c r="W995" s="237"/>
      <c r="X995" s="520" t="s">
        <v>1782</v>
      </c>
      <c r="Y995" s="246" t="s">
        <v>1741</v>
      </c>
      <c r="Z995" s="235" t="s">
        <v>175</v>
      </c>
      <c r="AA995" s="235" t="s">
        <v>193</v>
      </c>
      <c r="AB995" s="443" t="s">
        <v>2423</v>
      </c>
      <c r="AC995" s="580" t="s">
        <v>821</v>
      </c>
      <c r="AD995" s="292">
        <f t="shared" si="258"/>
        <v>4899.2</v>
      </c>
      <c r="AE995" s="476">
        <f t="shared" si="258"/>
        <v>0</v>
      </c>
      <c r="AF995" s="476">
        <f t="shared" si="258"/>
        <v>0</v>
      </c>
      <c r="AG995" s="554"/>
      <c r="AH995" s="554"/>
      <c r="AI995" s="456"/>
    </row>
    <row r="996" spans="1:35" ht="31.5" x14ac:dyDescent="0.25">
      <c r="A996" s="237"/>
      <c r="B996" s="237"/>
      <c r="C996" s="237"/>
      <c r="D996" s="237"/>
      <c r="E996" s="237"/>
      <c r="F996" s="237"/>
      <c r="G996" s="237"/>
      <c r="H996" s="237"/>
      <c r="I996" s="237"/>
      <c r="J996" s="237"/>
      <c r="K996" s="237"/>
      <c r="L996" s="237"/>
      <c r="M996" s="237"/>
      <c r="N996" s="237"/>
      <c r="O996" s="237"/>
      <c r="P996" s="237"/>
      <c r="R996" s="237"/>
      <c r="S996" s="237"/>
      <c r="W996" s="237"/>
      <c r="X996" s="520" t="s">
        <v>1274</v>
      </c>
      <c r="Y996" s="246" t="s">
        <v>1741</v>
      </c>
      <c r="Z996" s="235" t="s">
        <v>175</v>
      </c>
      <c r="AA996" s="235" t="s">
        <v>193</v>
      </c>
      <c r="AB996" s="443" t="s">
        <v>2423</v>
      </c>
      <c r="AC996" s="580" t="s">
        <v>1480</v>
      </c>
      <c r="AD996" s="292">
        <f>2071.7+1500+356+971.5</f>
        <v>4899.2</v>
      </c>
      <c r="AE996" s="476">
        <v>0</v>
      </c>
      <c r="AF996" s="476">
        <v>0</v>
      </c>
      <c r="AG996" s="554"/>
      <c r="AH996" s="554"/>
      <c r="AI996" s="456"/>
    </row>
    <row r="997" spans="1:35" ht="31.5" x14ac:dyDescent="0.25">
      <c r="A997" s="237"/>
      <c r="B997" s="237"/>
      <c r="C997" s="237"/>
      <c r="D997" s="237"/>
      <c r="E997" s="237"/>
      <c r="F997" s="237"/>
      <c r="G997" s="237"/>
      <c r="H997" s="237"/>
      <c r="I997" s="237"/>
      <c r="J997" s="237"/>
      <c r="K997" s="237"/>
      <c r="L997" s="237"/>
      <c r="M997" s="237"/>
      <c r="N997" s="237"/>
      <c r="O997" s="237"/>
      <c r="P997" s="237"/>
      <c r="R997" s="237"/>
      <c r="S997" s="237"/>
      <c r="W997" s="237"/>
      <c r="X997" s="549" t="s">
        <v>2428</v>
      </c>
      <c r="Y997" s="246" t="s">
        <v>1741</v>
      </c>
      <c r="Z997" s="235" t="s">
        <v>175</v>
      </c>
      <c r="AA997" s="235" t="s">
        <v>193</v>
      </c>
      <c r="AB997" s="443" t="s">
        <v>2429</v>
      </c>
      <c r="AC997" s="580"/>
      <c r="AD997" s="292">
        <f>AD998</f>
        <v>6365.7999999999993</v>
      </c>
      <c r="AE997" s="476">
        <f t="shared" ref="AE997:AF998" si="259">AE998</f>
        <v>0</v>
      </c>
      <c r="AF997" s="476">
        <f t="shared" si="259"/>
        <v>0</v>
      </c>
      <c r="AG997" s="554"/>
      <c r="AH997" s="554"/>
      <c r="AI997" s="456"/>
    </row>
    <row r="998" spans="1:35" x14ac:dyDescent="0.25">
      <c r="A998" s="237"/>
      <c r="B998" s="237"/>
      <c r="C998" s="237"/>
      <c r="D998" s="237"/>
      <c r="E998" s="237"/>
      <c r="F998" s="237"/>
      <c r="G998" s="237"/>
      <c r="H998" s="237"/>
      <c r="I998" s="237"/>
      <c r="J998" s="237"/>
      <c r="K998" s="237"/>
      <c r="L998" s="237"/>
      <c r="M998" s="237"/>
      <c r="N998" s="237"/>
      <c r="O998" s="237"/>
      <c r="P998" s="237"/>
      <c r="R998" s="237"/>
      <c r="S998" s="237"/>
      <c r="W998" s="237"/>
      <c r="X998" s="520" t="s">
        <v>1782</v>
      </c>
      <c r="Y998" s="246" t="s">
        <v>1741</v>
      </c>
      <c r="Z998" s="235" t="s">
        <v>175</v>
      </c>
      <c r="AA998" s="235" t="s">
        <v>193</v>
      </c>
      <c r="AB998" s="443" t="s">
        <v>2429</v>
      </c>
      <c r="AC998" s="580" t="s">
        <v>821</v>
      </c>
      <c r="AD998" s="292">
        <f>AD999</f>
        <v>6365.7999999999993</v>
      </c>
      <c r="AE998" s="476">
        <f t="shared" si="259"/>
        <v>0</v>
      </c>
      <c r="AF998" s="476">
        <f t="shared" si="259"/>
        <v>0</v>
      </c>
      <c r="AG998" s="554"/>
      <c r="AH998" s="554"/>
      <c r="AI998" s="456"/>
    </row>
    <row r="999" spans="1:35" ht="31.5" x14ac:dyDescent="0.25">
      <c r="A999" s="237"/>
      <c r="B999" s="237"/>
      <c r="C999" s="237"/>
      <c r="D999" s="237"/>
      <c r="E999" s="237"/>
      <c r="F999" s="237"/>
      <c r="G999" s="237"/>
      <c r="H999" s="237"/>
      <c r="I999" s="237"/>
      <c r="J999" s="237"/>
      <c r="K999" s="237"/>
      <c r="L999" s="237"/>
      <c r="M999" s="237"/>
      <c r="N999" s="237"/>
      <c r="O999" s="237"/>
      <c r="P999" s="237"/>
      <c r="R999" s="237"/>
      <c r="S999" s="237"/>
      <c r="W999" s="237"/>
      <c r="X999" s="520" t="s">
        <v>1274</v>
      </c>
      <c r="Y999" s="246" t="s">
        <v>1741</v>
      </c>
      <c r="Z999" s="235" t="s">
        <v>175</v>
      </c>
      <c r="AA999" s="235" t="s">
        <v>193</v>
      </c>
      <c r="AB999" s="443" t="s">
        <v>2429</v>
      </c>
      <c r="AC999" s="580" t="s">
        <v>1480</v>
      </c>
      <c r="AD999" s="292">
        <f>14500-4158.6-2654.8-1320.8</f>
        <v>6365.7999999999993</v>
      </c>
      <c r="AE999" s="476">
        <v>0</v>
      </c>
      <c r="AF999" s="476">
        <v>0</v>
      </c>
      <c r="AG999" s="554"/>
      <c r="AH999" s="554"/>
      <c r="AI999" s="456"/>
    </row>
    <row r="1000" spans="1:35" ht="31.5" x14ac:dyDescent="0.25">
      <c r="A1000" s="237"/>
      <c r="B1000" s="237"/>
      <c r="C1000" s="237"/>
      <c r="D1000" s="237"/>
      <c r="E1000" s="237"/>
      <c r="F1000" s="237"/>
      <c r="G1000" s="237"/>
      <c r="H1000" s="237"/>
      <c r="I1000" s="237"/>
      <c r="J1000" s="237"/>
      <c r="K1000" s="237"/>
      <c r="L1000" s="237"/>
      <c r="M1000" s="237"/>
      <c r="N1000" s="237"/>
      <c r="O1000" s="237"/>
      <c r="P1000" s="237"/>
      <c r="R1000" s="237"/>
      <c r="S1000" s="237"/>
      <c r="W1000" s="237"/>
      <c r="X1000" s="520" t="s">
        <v>2445</v>
      </c>
      <c r="Y1000" s="246" t="s">
        <v>1741</v>
      </c>
      <c r="Z1000" s="235" t="s">
        <v>175</v>
      </c>
      <c r="AA1000" s="235" t="s">
        <v>193</v>
      </c>
      <c r="AB1000" s="443" t="s">
        <v>2444</v>
      </c>
      <c r="AC1000" s="580"/>
      <c r="AD1000" s="292">
        <f>AD1001</f>
        <v>85.4</v>
      </c>
      <c r="AE1000" s="292">
        <f t="shared" ref="AE1000:AF1000" si="260">AE1001</f>
        <v>0</v>
      </c>
      <c r="AF1000" s="292">
        <f t="shared" si="260"/>
        <v>0</v>
      </c>
      <c r="AG1000" s="554"/>
      <c r="AH1000" s="554"/>
      <c r="AI1000" s="456"/>
    </row>
    <row r="1001" spans="1:35" x14ac:dyDescent="0.25">
      <c r="A1001" s="237"/>
      <c r="B1001" s="237"/>
      <c r="C1001" s="237"/>
      <c r="D1001" s="237"/>
      <c r="E1001" s="237"/>
      <c r="F1001" s="237"/>
      <c r="G1001" s="237"/>
      <c r="H1001" s="237"/>
      <c r="I1001" s="237"/>
      <c r="J1001" s="237"/>
      <c r="K1001" s="237"/>
      <c r="L1001" s="237"/>
      <c r="M1001" s="237"/>
      <c r="N1001" s="237"/>
      <c r="O1001" s="237"/>
      <c r="P1001" s="237"/>
      <c r="R1001" s="237"/>
      <c r="S1001" s="237"/>
      <c r="W1001" s="237"/>
      <c r="X1001" s="520" t="s">
        <v>1782</v>
      </c>
      <c r="Y1001" s="246" t="s">
        <v>1741</v>
      </c>
      <c r="Z1001" s="235" t="s">
        <v>175</v>
      </c>
      <c r="AA1001" s="235" t="s">
        <v>193</v>
      </c>
      <c r="AB1001" s="443" t="s">
        <v>2444</v>
      </c>
      <c r="AC1001" s="580" t="s">
        <v>821</v>
      </c>
      <c r="AD1001" s="292">
        <f>AD1002</f>
        <v>85.4</v>
      </c>
      <c r="AE1001" s="292">
        <f t="shared" ref="AE1001:AF1001" si="261">AE1002</f>
        <v>0</v>
      </c>
      <c r="AF1001" s="292">
        <f t="shared" si="261"/>
        <v>0</v>
      </c>
      <c r="AG1001" s="554"/>
      <c r="AH1001" s="554"/>
      <c r="AI1001" s="456"/>
    </row>
    <row r="1002" spans="1:35" ht="31.5" x14ac:dyDescent="0.25">
      <c r="A1002" s="237"/>
      <c r="B1002" s="237"/>
      <c r="C1002" s="237"/>
      <c r="D1002" s="237"/>
      <c r="E1002" s="237"/>
      <c r="F1002" s="237"/>
      <c r="G1002" s="237"/>
      <c r="H1002" s="237"/>
      <c r="I1002" s="237"/>
      <c r="J1002" s="237"/>
      <c r="K1002" s="237"/>
      <c r="L1002" s="237"/>
      <c r="M1002" s="237"/>
      <c r="N1002" s="237"/>
      <c r="O1002" s="237"/>
      <c r="P1002" s="237"/>
      <c r="R1002" s="237"/>
      <c r="S1002" s="237"/>
      <c r="W1002" s="237"/>
      <c r="X1002" s="520" t="s">
        <v>1274</v>
      </c>
      <c r="Y1002" s="246" t="s">
        <v>1741</v>
      </c>
      <c r="Z1002" s="235" t="s">
        <v>175</v>
      </c>
      <c r="AA1002" s="235" t="s">
        <v>193</v>
      </c>
      <c r="AB1002" s="443" t="s">
        <v>2444</v>
      </c>
      <c r="AC1002" s="580" t="s">
        <v>1480</v>
      </c>
      <c r="AD1002" s="292">
        <f>70+15.4</f>
        <v>85.4</v>
      </c>
      <c r="AE1002" s="292">
        <v>0</v>
      </c>
      <c r="AF1002" s="292">
        <v>0</v>
      </c>
      <c r="AG1002" s="554"/>
      <c r="AH1002" s="554"/>
      <c r="AI1002" s="456"/>
    </row>
    <row r="1003" spans="1:3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30" t="s">
        <v>2345</v>
      </c>
      <c r="Y1003" s="246" t="s">
        <v>1741</v>
      </c>
      <c r="Z1003" s="235" t="s">
        <v>175</v>
      </c>
      <c r="AA1003" s="235" t="s">
        <v>193</v>
      </c>
      <c r="AB1003" s="443" t="s">
        <v>2348</v>
      </c>
      <c r="AC1003" s="580"/>
      <c r="AD1003" s="292">
        <f>AD1004+AD1007</f>
        <v>60942.3</v>
      </c>
      <c r="AE1003" s="476">
        <f>AE1004+AE1007</f>
        <v>0</v>
      </c>
      <c r="AF1003" s="476">
        <f>AF1004+AF1007</f>
        <v>2500</v>
      </c>
      <c r="AG1003" s="554"/>
      <c r="AH1003" s="554"/>
      <c r="AI1003" s="456"/>
    </row>
    <row r="1004" spans="1:35" ht="31.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20" t="s">
        <v>2346</v>
      </c>
      <c r="Y1004" s="246" t="s">
        <v>1741</v>
      </c>
      <c r="Z1004" s="235" t="s">
        <v>175</v>
      </c>
      <c r="AA1004" s="235" t="s">
        <v>193</v>
      </c>
      <c r="AB1004" s="443" t="s">
        <v>2347</v>
      </c>
      <c r="AC1004" s="238"/>
      <c r="AD1004" s="292">
        <f t="shared" ref="AD1004:AF1005" si="262">AD1005</f>
        <v>5500</v>
      </c>
      <c r="AE1004" s="476">
        <f t="shared" si="262"/>
        <v>0</v>
      </c>
      <c r="AF1004" s="476">
        <f t="shared" si="262"/>
        <v>0</v>
      </c>
      <c r="AG1004" s="554"/>
      <c r="AH1004" s="554"/>
      <c r="AI1004" s="456"/>
    </row>
    <row r="1005" spans="1:35"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20" t="s">
        <v>1782</v>
      </c>
      <c r="Y1005" s="246" t="s">
        <v>1741</v>
      </c>
      <c r="Z1005" s="235" t="s">
        <v>175</v>
      </c>
      <c r="AA1005" s="235" t="s">
        <v>193</v>
      </c>
      <c r="AB1005" s="443" t="s">
        <v>2347</v>
      </c>
      <c r="AC1005" s="580" t="s">
        <v>821</v>
      </c>
      <c r="AD1005" s="292">
        <f t="shared" si="262"/>
        <v>5500</v>
      </c>
      <c r="AE1005" s="476">
        <f t="shared" si="262"/>
        <v>0</v>
      </c>
      <c r="AF1005" s="476">
        <f t="shared" si="262"/>
        <v>0</v>
      </c>
      <c r="AG1005" s="554"/>
      <c r="AH1005" s="554"/>
      <c r="AI1005" s="456"/>
    </row>
    <row r="1006" spans="1:35" ht="31.5"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20" t="s">
        <v>1274</v>
      </c>
      <c r="Y1006" s="246" t="s">
        <v>1741</v>
      </c>
      <c r="Z1006" s="235" t="s">
        <v>175</v>
      </c>
      <c r="AA1006" s="235" t="s">
        <v>193</v>
      </c>
      <c r="AB1006" s="443" t="s">
        <v>2347</v>
      </c>
      <c r="AC1006" s="580" t="s">
        <v>1480</v>
      </c>
      <c r="AD1006" s="292">
        <f>5500+55.6-55-0.6</f>
        <v>5500</v>
      </c>
      <c r="AE1006" s="476">
        <v>0</v>
      </c>
      <c r="AF1006" s="476">
        <v>0</v>
      </c>
      <c r="AG1006" s="554"/>
      <c r="AH1006" s="554"/>
      <c r="AI1006" s="456"/>
    </row>
    <row r="1007" spans="1:35" ht="31.15" customHeight="1"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30" t="s">
        <v>2434</v>
      </c>
      <c r="Y1007" s="246" t="s">
        <v>1741</v>
      </c>
      <c r="Z1007" s="235" t="s">
        <v>175</v>
      </c>
      <c r="AA1007" s="235" t="s">
        <v>193</v>
      </c>
      <c r="AB1007" s="443" t="s">
        <v>2349</v>
      </c>
      <c r="AC1007" s="580"/>
      <c r="AD1007" s="292">
        <f t="shared" ref="AD1007:AF1008" si="263">AD1008</f>
        <v>55442.3</v>
      </c>
      <c r="AE1007" s="476">
        <f t="shared" si="263"/>
        <v>0</v>
      </c>
      <c r="AF1007" s="476">
        <f t="shared" si="263"/>
        <v>2500</v>
      </c>
      <c r="AG1007" s="554"/>
      <c r="AH1007" s="554"/>
      <c r="AI1007" s="456"/>
    </row>
    <row r="1008" spans="1:3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20" t="s">
        <v>1782</v>
      </c>
      <c r="Y1008" s="246" t="s">
        <v>1741</v>
      </c>
      <c r="Z1008" s="235" t="s">
        <v>175</v>
      </c>
      <c r="AA1008" s="235" t="s">
        <v>193</v>
      </c>
      <c r="AB1008" s="443" t="s">
        <v>2349</v>
      </c>
      <c r="AC1008" s="580" t="s">
        <v>821</v>
      </c>
      <c r="AD1008" s="292">
        <f t="shared" si="263"/>
        <v>55442.3</v>
      </c>
      <c r="AE1008" s="476">
        <f t="shared" si="263"/>
        <v>0</v>
      </c>
      <c r="AF1008" s="476">
        <f t="shared" si="263"/>
        <v>2500</v>
      </c>
      <c r="AG1008" s="554"/>
      <c r="AH1008" s="554"/>
      <c r="AI1008" s="456"/>
    </row>
    <row r="1009" spans="1:35" ht="31.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20" t="s">
        <v>1274</v>
      </c>
      <c r="Y1009" s="246" t="s">
        <v>1741</v>
      </c>
      <c r="Z1009" s="235" t="s">
        <v>175</v>
      </c>
      <c r="AA1009" s="235" t="s">
        <v>193</v>
      </c>
      <c r="AB1009" s="443" t="s">
        <v>2349</v>
      </c>
      <c r="AC1009" s="580" t="s">
        <v>1480</v>
      </c>
      <c r="AD1009" s="292">
        <f>46028.8+10103.9-690.4</f>
        <v>55442.3</v>
      </c>
      <c r="AE1009" s="476">
        <v>0</v>
      </c>
      <c r="AF1009" s="476">
        <f>2050+450</f>
        <v>2500</v>
      </c>
      <c r="AG1009" s="554"/>
      <c r="AH1009" s="554"/>
      <c r="AI1009" s="456"/>
    </row>
    <row r="1010" spans="1:3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49" t="s">
        <v>1975</v>
      </c>
      <c r="Y1010" s="246" t="s">
        <v>1741</v>
      </c>
      <c r="Z1010" s="235" t="s">
        <v>175</v>
      </c>
      <c r="AA1010" s="235" t="s">
        <v>193</v>
      </c>
      <c r="AB1010" s="443" t="s">
        <v>1976</v>
      </c>
      <c r="AC1010" s="580"/>
      <c r="AD1010" s="292">
        <f t="shared" ref="AD1010:AF1013" si="264">AD1011</f>
        <v>23575.699999999997</v>
      </c>
      <c r="AE1010" s="476">
        <f t="shared" si="264"/>
        <v>12115</v>
      </c>
      <c r="AF1010" s="476">
        <f t="shared" si="264"/>
        <v>15480.7</v>
      </c>
      <c r="AG1010" s="554"/>
      <c r="AH1010" s="554"/>
      <c r="AI1010" s="456"/>
    </row>
    <row r="1011" spans="1:35" ht="31.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30" t="s">
        <v>2238</v>
      </c>
      <c r="Y1011" s="246" t="s">
        <v>1741</v>
      </c>
      <c r="Z1011" s="235" t="s">
        <v>175</v>
      </c>
      <c r="AA1011" s="235" t="s">
        <v>193</v>
      </c>
      <c r="AB1011" s="443" t="s">
        <v>1977</v>
      </c>
      <c r="AC1011" s="238"/>
      <c r="AD1011" s="292">
        <f t="shared" si="264"/>
        <v>23575.699999999997</v>
      </c>
      <c r="AE1011" s="476">
        <f t="shared" si="264"/>
        <v>12115</v>
      </c>
      <c r="AF1011" s="476">
        <f t="shared" si="264"/>
        <v>15480.7</v>
      </c>
      <c r="AG1011" s="554"/>
      <c r="AH1011" s="554"/>
      <c r="AI1011" s="456"/>
    </row>
    <row r="1012" spans="1:3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30" t="s">
        <v>1978</v>
      </c>
      <c r="Y1012" s="246" t="s">
        <v>1741</v>
      </c>
      <c r="Z1012" s="235" t="s">
        <v>175</v>
      </c>
      <c r="AA1012" s="235" t="s">
        <v>193</v>
      </c>
      <c r="AB1012" s="443" t="s">
        <v>1979</v>
      </c>
      <c r="AC1012" s="238"/>
      <c r="AD1012" s="292">
        <f>AD1013+AD1015</f>
        <v>23575.699999999997</v>
      </c>
      <c r="AE1012" s="292">
        <f t="shared" ref="AE1012:AF1012" si="265">AE1013+AE1015</f>
        <v>12115</v>
      </c>
      <c r="AF1012" s="292">
        <f t="shared" si="265"/>
        <v>15480.7</v>
      </c>
      <c r="AG1012" s="554"/>
      <c r="AH1012" s="554"/>
      <c r="AI1012" s="456"/>
    </row>
    <row r="1013" spans="1:3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20" t="s">
        <v>1782</v>
      </c>
      <c r="Y1013" s="246" t="s">
        <v>1741</v>
      </c>
      <c r="Z1013" s="235" t="s">
        <v>175</v>
      </c>
      <c r="AA1013" s="235" t="s">
        <v>193</v>
      </c>
      <c r="AB1013" s="443" t="s">
        <v>1979</v>
      </c>
      <c r="AC1013" s="577">
        <v>200</v>
      </c>
      <c r="AD1013" s="292">
        <f t="shared" si="264"/>
        <v>23451.699999999997</v>
      </c>
      <c r="AE1013" s="476">
        <f t="shared" si="264"/>
        <v>12115</v>
      </c>
      <c r="AF1013" s="476">
        <f t="shared" si="264"/>
        <v>15480.7</v>
      </c>
      <c r="AG1013" s="554"/>
      <c r="AH1013" s="554"/>
      <c r="AI1013" s="456"/>
    </row>
    <row r="1014" spans="1:35" ht="31.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20" t="s">
        <v>1274</v>
      </c>
      <c r="Y1014" s="246" t="s">
        <v>1741</v>
      </c>
      <c r="Z1014" s="235" t="s">
        <v>175</v>
      </c>
      <c r="AA1014" s="235" t="s">
        <v>193</v>
      </c>
      <c r="AB1014" s="443" t="s">
        <v>1979</v>
      </c>
      <c r="AC1014" s="238">
        <v>240</v>
      </c>
      <c r="AD1014" s="292">
        <f>3000+2274.7+11000+4023+296+1958.6+400+350-566.2-578.2-105.2+566.2+578.2-15.4-40+310</f>
        <v>23451.699999999997</v>
      </c>
      <c r="AE1014" s="476">
        <f>3000+2274.7+8523-1682.7</f>
        <v>12115</v>
      </c>
      <c r="AF1014" s="476">
        <f>3000+2274.7+8523+1683</f>
        <v>15480.7</v>
      </c>
      <c r="AG1014" s="554"/>
      <c r="AH1014" s="554"/>
      <c r="AI1014" s="456"/>
    </row>
    <row r="1015" spans="1:35" x14ac:dyDescent="0.25">
      <c r="A1015" s="237"/>
      <c r="B1015" s="237"/>
      <c r="C1015" s="237"/>
      <c r="D1015" s="237"/>
      <c r="E1015" s="237"/>
      <c r="F1015" s="237"/>
      <c r="G1015" s="237"/>
      <c r="H1015" s="237"/>
      <c r="I1015" s="237"/>
      <c r="J1015" s="237"/>
      <c r="K1015" s="237"/>
      <c r="L1015" s="237"/>
      <c r="M1015" s="237"/>
      <c r="N1015" s="237"/>
      <c r="O1015" s="237"/>
      <c r="P1015" s="237"/>
      <c r="R1015" s="237"/>
      <c r="S1015" s="237"/>
      <c r="W1015" s="237"/>
      <c r="X1015" s="520" t="s">
        <v>924</v>
      </c>
      <c r="Y1015" s="246" t="s">
        <v>1741</v>
      </c>
      <c r="Z1015" s="235" t="s">
        <v>175</v>
      </c>
      <c r="AA1015" s="235" t="s">
        <v>193</v>
      </c>
      <c r="AB1015" s="443" t="s">
        <v>1979</v>
      </c>
      <c r="AC1015" s="238">
        <v>800</v>
      </c>
      <c r="AD1015" s="292">
        <f>AD1016</f>
        <v>124</v>
      </c>
      <c r="AE1015" s="292">
        <f t="shared" ref="AE1015:AF1015" si="266">AE1016</f>
        <v>0</v>
      </c>
      <c r="AF1015" s="292">
        <f t="shared" si="266"/>
        <v>0</v>
      </c>
      <c r="AG1015" s="554"/>
      <c r="AH1015" s="554"/>
      <c r="AI1015" s="456"/>
    </row>
    <row r="1016" spans="1:35" x14ac:dyDescent="0.25">
      <c r="A1016" s="237"/>
      <c r="B1016" s="237"/>
      <c r="C1016" s="237"/>
      <c r="D1016" s="237"/>
      <c r="E1016" s="237"/>
      <c r="F1016" s="237"/>
      <c r="G1016" s="237"/>
      <c r="H1016" s="237"/>
      <c r="I1016" s="237"/>
      <c r="J1016" s="237"/>
      <c r="K1016" s="237"/>
      <c r="L1016" s="237"/>
      <c r="M1016" s="237"/>
      <c r="N1016" s="237"/>
      <c r="O1016" s="237"/>
      <c r="P1016" s="237"/>
      <c r="R1016" s="237"/>
      <c r="S1016" s="237"/>
      <c r="W1016" s="237"/>
      <c r="X1016" s="520" t="s">
        <v>1811</v>
      </c>
      <c r="Y1016" s="246" t="s">
        <v>1741</v>
      </c>
      <c r="Z1016" s="235" t="s">
        <v>175</v>
      </c>
      <c r="AA1016" s="235" t="s">
        <v>193</v>
      </c>
      <c r="AB1016" s="443" t="s">
        <v>1979</v>
      </c>
      <c r="AC1016" s="238">
        <v>830</v>
      </c>
      <c r="AD1016" s="292">
        <v>124</v>
      </c>
      <c r="AE1016" s="476">
        <v>0</v>
      </c>
      <c r="AF1016" s="476">
        <v>0</v>
      </c>
      <c r="AG1016" s="554"/>
      <c r="AH1016" s="554"/>
      <c r="AI1016" s="456"/>
    </row>
    <row r="1017" spans="1:3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20" t="s">
        <v>551</v>
      </c>
      <c r="Y1017" s="246" t="s">
        <v>1741</v>
      </c>
      <c r="Z1017" s="235" t="s">
        <v>175</v>
      </c>
      <c r="AA1017" s="235" t="s">
        <v>175</v>
      </c>
      <c r="AB1017" s="249"/>
      <c r="AC1017" s="577"/>
      <c r="AD1017" s="292">
        <f>AD1018+AD1034+AD1040+AD1026</f>
        <v>13769.7</v>
      </c>
      <c r="AE1017" s="476">
        <f>AE1018+AE1034+AE1040+AE1026</f>
        <v>13781.7</v>
      </c>
      <c r="AF1017" s="476">
        <f>AF1018+AF1034+AF1040+AF1026</f>
        <v>13781.7</v>
      </c>
      <c r="AG1017" s="554"/>
      <c r="AH1017" s="554"/>
      <c r="AI1017" s="456"/>
    </row>
    <row r="1018" spans="1:3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49" t="s">
        <v>2075</v>
      </c>
      <c r="Y1018" s="246" t="s">
        <v>1741</v>
      </c>
      <c r="Z1018" s="235" t="s">
        <v>175</v>
      </c>
      <c r="AA1018" s="235" t="s">
        <v>175</v>
      </c>
      <c r="AB1018" s="443" t="s">
        <v>1769</v>
      </c>
      <c r="AC1018" s="238"/>
      <c r="AD1018" s="292">
        <f t="shared" ref="AD1018:AF1020" si="267">AD1019</f>
        <v>2149</v>
      </c>
      <c r="AE1018" s="476">
        <f t="shared" si="267"/>
        <v>2149</v>
      </c>
      <c r="AF1018" s="476">
        <f t="shared" si="267"/>
        <v>2149</v>
      </c>
      <c r="AG1018" s="554"/>
      <c r="AH1018" s="554"/>
      <c r="AI1018" s="456"/>
    </row>
    <row r="1019" spans="1:35"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49" t="s">
        <v>2076</v>
      </c>
      <c r="Y1019" s="246" t="s">
        <v>1741</v>
      </c>
      <c r="Z1019" s="235" t="s">
        <v>175</v>
      </c>
      <c r="AA1019" s="235" t="s">
        <v>175</v>
      </c>
      <c r="AB1019" s="443" t="s">
        <v>1780</v>
      </c>
      <c r="AC1019" s="238"/>
      <c r="AD1019" s="292">
        <f t="shared" si="267"/>
        <v>2149</v>
      </c>
      <c r="AE1019" s="476">
        <f t="shared" si="267"/>
        <v>2149</v>
      </c>
      <c r="AF1019" s="476">
        <f t="shared" si="267"/>
        <v>2149</v>
      </c>
      <c r="AG1019" s="554"/>
      <c r="AH1019" s="554"/>
      <c r="AI1019" s="456"/>
    </row>
    <row r="1020" spans="1:35" ht="47.2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49" t="s">
        <v>2077</v>
      </c>
      <c r="Y1020" s="246" t="s">
        <v>1741</v>
      </c>
      <c r="Z1020" s="235" t="s">
        <v>175</v>
      </c>
      <c r="AA1020" s="235" t="s">
        <v>175</v>
      </c>
      <c r="AB1020" s="443" t="s">
        <v>2078</v>
      </c>
      <c r="AC1020" s="238"/>
      <c r="AD1020" s="292">
        <f t="shared" si="267"/>
        <v>2149</v>
      </c>
      <c r="AE1020" s="476">
        <f t="shared" si="267"/>
        <v>2149</v>
      </c>
      <c r="AF1020" s="476">
        <f t="shared" si="267"/>
        <v>2149</v>
      </c>
      <c r="AG1020" s="554"/>
      <c r="AH1020" s="554"/>
      <c r="AI1020" s="456"/>
    </row>
    <row r="1021" spans="1:35" ht="31.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32" t="s">
        <v>2080</v>
      </c>
      <c r="Y1021" s="246" t="s">
        <v>1741</v>
      </c>
      <c r="Z1021" s="235" t="s">
        <v>175</v>
      </c>
      <c r="AA1021" s="235" t="s">
        <v>175</v>
      </c>
      <c r="AB1021" s="443" t="s">
        <v>2081</v>
      </c>
      <c r="AC1021" s="238"/>
      <c r="AD1021" s="292">
        <f>AD1022+AD1024</f>
        <v>2149</v>
      </c>
      <c r="AE1021" s="476">
        <f>AE1022+AE1024</f>
        <v>2149</v>
      </c>
      <c r="AF1021" s="476">
        <f>AF1022+AF1024</f>
        <v>2149</v>
      </c>
      <c r="AG1021" s="554"/>
      <c r="AH1021" s="554"/>
      <c r="AI1021" s="456"/>
    </row>
    <row r="1022" spans="1:35" ht="47.2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20" t="s">
        <v>922</v>
      </c>
      <c r="Y1022" s="246" t="s">
        <v>1741</v>
      </c>
      <c r="Z1022" s="235" t="s">
        <v>175</v>
      </c>
      <c r="AA1022" s="235" t="s">
        <v>175</v>
      </c>
      <c r="AB1022" s="443" t="s">
        <v>2081</v>
      </c>
      <c r="AC1022" s="238">
        <v>100</v>
      </c>
      <c r="AD1022" s="292">
        <f>AD1023</f>
        <v>1943.1</v>
      </c>
      <c r="AE1022" s="476">
        <f>AE1023</f>
        <v>1943.1</v>
      </c>
      <c r="AF1022" s="476">
        <f>AF1023</f>
        <v>1943.1</v>
      </c>
      <c r="AG1022" s="554"/>
      <c r="AH1022" s="554"/>
      <c r="AI1022" s="456"/>
    </row>
    <row r="1023" spans="1:35" ht="21" customHeight="1"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20" t="s">
        <v>1748</v>
      </c>
      <c r="Y1023" s="246" t="s">
        <v>1741</v>
      </c>
      <c r="Z1023" s="235" t="s">
        <v>175</v>
      </c>
      <c r="AA1023" s="235" t="s">
        <v>175</v>
      </c>
      <c r="AB1023" s="443" t="s">
        <v>2081</v>
      </c>
      <c r="AC1023" s="238">
        <v>120</v>
      </c>
      <c r="AD1023" s="292">
        <v>1943.1</v>
      </c>
      <c r="AE1023" s="476">
        <v>1943.1</v>
      </c>
      <c r="AF1023" s="476">
        <v>1943.1</v>
      </c>
      <c r="AG1023" s="554"/>
      <c r="AH1023" s="554"/>
      <c r="AI1023" s="456"/>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20" t="s">
        <v>1782</v>
      </c>
      <c r="Y1024" s="246" t="s">
        <v>1741</v>
      </c>
      <c r="Z1024" s="235" t="s">
        <v>175</v>
      </c>
      <c r="AA1024" s="235" t="s">
        <v>175</v>
      </c>
      <c r="AB1024" s="443" t="s">
        <v>2081</v>
      </c>
      <c r="AC1024" s="238">
        <v>200</v>
      </c>
      <c r="AD1024" s="292">
        <f>AD1025</f>
        <v>205.9</v>
      </c>
      <c r="AE1024" s="476">
        <f>AE1025</f>
        <v>205.9</v>
      </c>
      <c r="AF1024" s="476">
        <f>AF1025</f>
        <v>205.9</v>
      </c>
      <c r="AG1024" s="554"/>
      <c r="AH1024" s="554"/>
      <c r="AI1024" s="456"/>
    </row>
    <row r="1025" spans="1:35" ht="31.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20" t="s">
        <v>1274</v>
      </c>
      <c r="Y1025" s="246" t="s">
        <v>1741</v>
      </c>
      <c r="Z1025" s="235" t="s">
        <v>175</v>
      </c>
      <c r="AA1025" s="235" t="s">
        <v>175</v>
      </c>
      <c r="AB1025" s="443" t="s">
        <v>2081</v>
      </c>
      <c r="AC1025" s="238">
        <v>240</v>
      </c>
      <c r="AD1025" s="292">
        <v>205.9</v>
      </c>
      <c r="AE1025" s="476">
        <v>205.9</v>
      </c>
      <c r="AF1025" s="476">
        <v>205.9</v>
      </c>
      <c r="AG1025" s="554"/>
      <c r="AH1025" s="554"/>
      <c r="AI1025" s="456"/>
    </row>
    <row r="1026" spans="1:35" ht="31.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21" t="s">
        <v>1949</v>
      </c>
      <c r="Y1026" s="246" t="s">
        <v>1741</v>
      </c>
      <c r="Z1026" s="235" t="s">
        <v>175</v>
      </c>
      <c r="AA1026" s="235" t="s">
        <v>175</v>
      </c>
      <c r="AB1026" s="443" t="s">
        <v>1771</v>
      </c>
      <c r="AC1026" s="238"/>
      <c r="AD1026" s="292">
        <f t="shared" ref="AD1026:AF1028" si="268">AD1027</f>
        <v>662</v>
      </c>
      <c r="AE1026" s="476">
        <f t="shared" si="268"/>
        <v>662</v>
      </c>
      <c r="AF1026" s="476">
        <f t="shared" si="268"/>
        <v>662</v>
      </c>
      <c r="AG1026" s="554"/>
      <c r="AH1026" s="554"/>
      <c r="AI1026" s="456"/>
    </row>
    <row r="1027" spans="1:3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20" t="s">
        <v>1161</v>
      </c>
      <c r="Y1027" s="246" t="s">
        <v>1741</v>
      </c>
      <c r="Z1027" s="235" t="s">
        <v>175</v>
      </c>
      <c r="AA1027" s="235" t="s">
        <v>175</v>
      </c>
      <c r="AB1027" s="443" t="s">
        <v>2170</v>
      </c>
      <c r="AC1027" s="238"/>
      <c r="AD1027" s="292">
        <f t="shared" si="268"/>
        <v>662</v>
      </c>
      <c r="AE1027" s="476">
        <f t="shared" si="268"/>
        <v>662</v>
      </c>
      <c r="AF1027" s="476">
        <f t="shared" si="268"/>
        <v>662</v>
      </c>
      <c r="AG1027" s="554"/>
      <c r="AH1027" s="554"/>
      <c r="AI1027" s="456"/>
    </row>
    <row r="1028" spans="1:35" ht="31.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20" t="s">
        <v>2171</v>
      </c>
      <c r="Y1028" s="246" t="s">
        <v>1741</v>
      </c>
      <c r="Z1028" s="235" t="s">
        <v>175</v>
      </c>
      <c r="AA1028" s="235" t="s">
        <v>175</v>
      </c>
      <c r="AB1028" s="443" t="s">
        <v>2172</v>
      </c>
      <c r="AC1028" s="238"/>
      <c r="AD1028" s="292">
        <f t="shared" si="268"/>
        <v>662</v>
      </c>
      <c r="AE1028" s="476">
        <f t="shared" si="268"/>
        <v>662</v>
      </c>
      <c r="AF1028" s="476">
        <f t="shared" si="268"/>
        <v>662</v>
      </c>
      <c r="AG1028" s="554"/>
      <c r="AH1028" s="554"/>
      <c r="AI1028" s="456"/>
    </row>
    <row r="1029" spans="1:35" ht="31.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20" t="s">
        <v>2173</v>
      </c>
      <c r="Y1029" s="246" t="s">
        <v>1741</v>
      </c>
      <c r="Z1029" s="235" t="s">
        <v>175</v>
      </c>
      <c r="AA1029" s="235" t="s">
        <v>175</v>
      </c>
      <c r="AB1029" s="443" t="s">
        <v>2174</v>
      </c>
      <c r="AC1029" s="238"/>
      <c r="AD1029" s="292">
        <f>AD1030+AD1032</f>
        <v>662</v>
      </c>
      <c r="AE1029" s="476">
        <f>AE1030+AE1032</f>
        <v>662</v>
      </c>
      <c r="AF1029" s="476">
        <f>AF1030+AF1032</f>
        <v>662</v>
      </c>
      <c r="AG1029" s="554"/>
      <c r="AH1029" s="554"/>
      <c r="AI1029" s="456"/>
    </row>
    <row r="1030" spans="1:35" ht="47.2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20" t="s">
        <v>922</v>
      </c>
      <c r="Y1030" s="246" t="s">
        <v>1741</v>
      </c>
      <c r="Z1030" s="235" t="s">
        <v>175</v>
      </c>
      <c r="AA1030" s="235" t="s">
        <v>175</v>
      </c>
      <c r="AB1030" s="443" t="s">
        <v>2174</v>
      </c>
      <c r="AC1030" s="238">
        <v>100</v>
      </c>
      <c r="AD1030" s="292">
        <f>AD1031</f>
        <v>609.1</v>
      </c>
      <c r="AE1030" s="476">
        <f>AE1031</f>
        <v>609.1</v>
      </c>
      <c r="AF1030" s="476">
        <f>AF1031</f>
        <v>609.1</v>
      </c>
      <c r="AG1030" s="554"/>
      <c r="AH1030" s="554"/>
      <c r="AI1030" s="456"/>
    </row>
    <row r="1031" spans="1:3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20" t="s">
        <v>1748</v>
      </c>
      <c r="Y1031" s="246" t="s">
        <v>1741</v>
      </c>
      <c r="Z1031" s="235" t="s">
        <v>175</v>
      </c>
      <c r="AA1031" s="235" t="s">
        <v>175</v>
      </c>
      <c r="AB1031" s="443" t="s">
        <v>2174</v>
      </c>
      <c r="AC1031" s="238">
        <v>120</v>
      </c>
      <c r="AD1031" s="292">
        <v>609.1</v>
      </c>
      <c r="AE1031" s="476">
        <v>609.1</v>
      </c>
      <c r="AF1031" s="476">
        <v>609.1</v>
      </c>
      <c r="AG1031" s="554"/>
      <c r="AH1031" s="554"/>
      <c r="AI1031" s="456"/>
    </row>
    <row r="1032" spans="1:3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20" t="s">
        <v>1782</v>
      </c>
      <c r="Y1032" s="246" t="s">
        <v>1741</v>
      </c>
      <c r="Z1032" s="235" t="s">
        <v>175</v>
      </c>
      <c r="AA1032" s="235" t="s">
        <v>175</v>
      </c>
      <c r="AB1032" s="443" t="s">
        <v>2174</v>
      </c>
      <c r="AC1032" s="238">
        <v>200</v>
      </c>
      <c r="AD1032" s="292">
        <f>AD1033</f>
        <v>52.9</v>
      </c>
      <c r="AE1032" s="476">
        <f>AE1033</f>
        <v>52.9</v>
      </c>
      <c r="AF1032" s="476">
        <f>AF1033</f>
        <v>52.9</v>
      </c>
      <c r="AG1032" s="554"/>
      <c r="AH1032" s="554"/>
      <c r="AI1032" s="456"/>
    </row>
    <row r="1033" spans="1:35" ht="31.5" x14ac:dyDescent="0.25">
      <c r="A1033" s="237"/>
      <c r="B1033" s="237"/>
      <c r="C1033" s="237"/>
      <c r="D1033" s="237"/>
      <c r="E1033" s="237"/>
      <c r="F1033" s="237"/>
      <c r="G1033" s="237"/>
      <c r="H1033" s="237"/>
      <c r="I1033" s="237"/>
      <c r="J1033" s="237"/>
      <c r="K1033" s="237"/>
      <c r="L1033" s="237"/>
      <c r="M1033" s="237"/>
      <c r="N1033" s="237"/>
      <c r="O1033" s="237"/>
      <c r="P1033" s="237"/>
      <c r="R1033" s="237"/>
      <c r="S1033" s="237"/>
      <c r="W1033" s="237"/>
      <c r="X1033" s="520" t="s">
        <v>1274</v>
      </c>
      <c r="Y1033" s="246" t="s">
        <v>1741</v>
      </c>
      <c r="Z1033" s="235" t="s">
        <v>175</v>
      </c>
      <c r="AA1033" s="235" t="s">
        <v>175</v>
      </c>
      <c r="AB1033" s="443" t="s">
        <v>2174</v>
      </c>
      <c r="AC1033" s="238">
        <v>240</v>
      </c>
      <c r="AD1033" s="292">
        <v>52.9</v>
      </c>
      <c r="AE1033" s="476">
        <v>52.9</v>
      </c>
      <c r="AF1033" s="476">
        <v>52.9</v>
      </c>
      <c r="AG1033" s="554"/>
      <c r="AH1033" s="554"/>
      <c r="AI1033" s="456"/>
    </row>
    <row r="1034" spans="1:35" ht="31.5" x14ac:dyDescent="0.25">
      <c r="A1034" s="237"/>
      <c r="B1034" s="237"/>
      <c r="C1034" s="237"/>
      <c r="D1034" s="237"/>
      <c r="E1034" s="237"/>
      <c r="F1034" s="237"/>
      <c r="G1034" s="237"/>
      <c r="H1034" s="237"/>
      <c r="I1034" s="237"/>
      <c r="J1034" s="237"/>
      <c r="K1034" s="237"/>
      <c r="L1034" s="237"/>
      <c r="M1034" s="237"/>
      <c r="N1034" s="237"/>
      <c r="O1034" s="237"/>
      <c r="P1034" s="237"/>
      <c r="R1034" s="237"/>
      <c r="S1034" s="237"/>
      <c r="W1034" s="237"/>
      <c r="X1034" s="521" t="s">
        <v>2104</v>
      </c>
      <c r="Y1034" s="246" t="s">
        <v>1741</v>
      </c>
      <c r="Z1034" s="235" t="s">
        <v>175</v>
      </c>
      <c r="AA1034" s="235" t="s">
        <v>175</v>
      </c>
      <c r="AB1034" s="443" t="s">
        <v>1806</v>
      </c>
      <c r="AC1034" s="238"/>
      <c r="AD1034" s="292">
        <f t="shared" ref="AD1034:AF1038" si="269">AD1035</f>
        <v>2.5</v>
      </c>
      <c r="AE1034" s="476">
        <f t="shared" si="269"/>
        <v>2.5</v>
      </c>
      <c r="AF1034" s="476">
        <f t="shared" si="269"/>
        <v>2.5</v>
      </c>
      <c r="AG1034" s="554"/>
      <c r="AH1034" s="554"/>
      <c r="AI1034" s="456"/>
    </row>
    <row r="1035" spans="1:35" ht="47.25" x14ac:dyDescent="0.25">
      <c r="A1035" s="237"/>
      <c r="B1035" s="237"/>
      <c r="C1035" s="237"/>
      <c r="D1035" s="237"/>
      <c r="E1035" s="237"/>
      <c r="F1035" s="237"/>
      <c r="G1035" s="237"/>
      <c r="H1035" s="237"/>
      <c r="I1035" s="237"/>
      <c r="J1035" s="237"/>
      <c r="K1035" s="237"/>
      <c r="L1035" s="237"/>
      <c r="M1035" s="237"/>
      <c r="N1035" s="237"/>
      <c r="O1035" s="237"/>
      <c r="P1035" s="237"/>
      <c r="R1035" s="237"/>
      <c r="S1035" s="237"/>
      <c r="W1035" s="237"/>
      <c r="X1035" s="521" t="s">
        <v>2105</v>
      </c>
      <c r="Y1035" s="246" t="s">
        <v>1741</v>
      </c>
      <c r="Z1035" s="235" t="s">
        <v>175</v>
      </c>
      <c r="AA1035" s="235" t="s">
        <v>175</v>
      </c>
      <c r="AB1035" s="443" t="s">
        <v>2106</v>
      </c>
      <c r="AC1035" s="238"/>
      <c r="AD1035" s="292">
        <f t="shared" si="269"/>
        <v>2.5</v>
      </c>
      <c r="AE1035" s="476">
        <f t="shared" si="269"/>
        <v>2.5</v>
      </c>
      <c r="AF1035" s="476">
        <f t="shared" si="269"/>
        <v>2.5</v>
      </c>
      <c r="AG1035" s="554"/>
      <c r="AH1035" s="554"/>
      <c r="AI1035" s="456"/>
    </row>
    <row r="1036" spans="1:35" ht="31.5" x14ac:dyDescent="0.25">
      <c r="A1036" s="237"/>
      <c r="B1036" s="237"/>
      <c r="C1036" s="237"/>
      <c r="D1036" s="237"/>
      <c r="E1036" s="237"/>
      <c r="F1036" s="237"/>
      <c r="G1036" s="237"/>
      <c r="H1036" s="237"/>
      <c r="I1036" s="237"/>
      <c r="J1036" s="237"/>
      <c r="K1036" s="237"/>
      <c r="L1036" s="237"/>
      <c r="M1036" s="237"/>
      <c r="N1036" s="237"/>
      <c r="O1036" s="237"/>
      <c r="P1036" s="237"/>
      <c r="R1036" s="237"/>
      <c r="S1036" s="237"/>
      <c r="W1036" s="237"/>
      <c r="X1036" s="529" t="s">
        <v>2107</v>
      </c>
      <c r="Y1036" s="246" t="s">
        <v>1741</v>
      </c>
      <c r="Z1036" s="235" t="s">
        <v>175</v>
      </c>
      <c r="AA1036" s="235" t="s">
        <v>175</v>
      </c>
      <c r="AB1036" s="443" t="s">
        <v>2108</v>
      </c>
      <c r="AC1036" s="238"/>
      <c r="AD1036" s="292">
        <f t="shared" si="269"/>
        <v>2.5</v>
      </c>
      <c r="AE1036" s="476">
        <f t="shared" si="269"/>
        <v>2.5</v>
      </c>
      <c r="AF1036" s="476">
        <f t="shared" si="269"/>
        <v>2.5</v>
      </c>
      <c r="AG1036" s="554"/>
      <c r="AH1036" s="554"/>
      <c r="AI1036" s="456"/>
    </row>
    <row r="1037" spans="1:35" ht="94.5" x14ac:dyDescent="0.25">
      <c r="A1037" s="237"/>
      <c r="B1037" s="237"/>
      <c r="C1037" s="237"/>
      <c r="D1037" s="237"/>
      <c r="E1037" s="237"/>
      <c r="F1037" s="237"/>
      <c r="G1037" s="237"/>
      <c r="H1037" s="237"/>
      <c r="I1037" s="237"/>
      <c r="J1037" s="237"/>
      <c r="K1037" s="237"/>
      <c r="L1037" s="237"/>
      <c r="M1037" s="237"/>
      <c r="N1037" s="237"/>
      <c r="O1037" s="237"/>
      <c r="P1037" s="237"/>
      <c r="R1037" s="237"/>
      <c r="S1037" s="237"/>
      <c r="W1037" s="237"/>
      <c r="X1037" s="529" t="s">
        <v>2244</v>
      </c>
      <c r="Y1037" s="246" t="s">
        <v>1741</v>
      </c>
      <c r="Z1037" s="235" t="s">
        <v>175</v>
      </c>
      <c r="AA1037" s="235" t="s">
        <v>175</v>
      </c>
      <c r="AB1037" s="472" t="s">
        <v>2109</v>
      </c>
      <c r="AC1037" s="238"/>
      <c r="AD1037" s="292">
        <f t="shared" si="269"/>
        <v>2.5</v>
      </c>
      <c r="AE1037" s="476">
        <f t="shared" si="269"/>
        <v>2.5</v>
      </c>
      <c r="AF1037" s="476">
        <f t="shared" si="269"/>
        <v>2.5</v>
      </c>
      <c r="AG1037" s="554"/>
      <c r="AH1037" s="554"/>
      <c r="AI1037" s="456"/>
    </row>
    <row r="1038" spans="1:35" x14ac:dyDescent="0.25">
      <c r="A1038" s="237"/>
      <c r="B1038" s="237"/>
      <c r="C1038" s="237"/>
      <c r="D1038" s="237"/>
      <c r="E1038" s="237"/>
      <c r="F1038" s="237"/>
      <c r="G1038" s="237"/>
      <c r="H1038" s="237"/>
      <c r="I1038" s="237"/>
      <c r="J1038" s="237"/>
      <c r="K1038" s="237"/>
      <c r="L1038" s="237"/>
      <c r="M1038" s="237"/>
      <c r="N1038" s="237"/>
      <c r="O1038" s="237"/>
      <c r="P1038" s="237"/>
      <c r="R1038" s="237"/>
      <c r="S1038" s="237"/>
      <c r="W1038" s="237"/>
      <c r="X1038" s="520" t="s">
        <v>1782</v>
      </c>
      <c r="Y1038" s="246" t="s">
        <v>1741</v>
      </c>
      <c r="Z1038" s="235" t="s">
        <v>175</v>
      </c>
      <c r="AA1038" s="235" t="s">
        <v>175</v>
      </c>
      <c r="AB1038" s="472" t="s">
        <v>2109</v>
      </c>
      <c r="AC1038" s="238">
        <v>200</v>
      </c>
      <c r="AD1038" s="292">
        <f t="shared" si="269"/>
        <v>2.5</v>
      </c>
      <c r="AE1038" s="476">
        <f t="shared" si="269"/>
        <v>2.5</v>
      </c>
      <c r="AF1038" s="476">
        <f t="shared" si="269"/>
        <v>2.5</v>
      </c>
      <c r="AG1038" s="554"/>
      <c r="AH1038" s="554"/>
      <c r="AI1038" s="456"/>
    </row>
    <row r="1039" spans="1:35" ht="31.5" x14ac:dyDescent="0.25">
      <c r="A1039" s="237"/>
      <c r="B1039" s="237"/>
      <c r="C1039" s="237"/>
      <c r="D1039" s="237"/>
      <c r="E1039" s="237"/>
      <c r="F1039" s="237"/>
      <c r="G1039" s="237"/>
      <c r="H1039" s="237"/>
      <c r="I1039" s="237"/>
      <c r="J1039" s="237"/>
      <c r="K1039" s="237"/>
      <c r="L1039" s="237"/>
      <c r="M1039" s="237"/>
      <c r="N1039" s="237"/>
      <c r="O1039" s="237"/>
      <c r="P1039" s="237"/>
      <c r="R1039" s="237"/>
      <c r="S1039" s="237"/>
      <c r="W1039" s="237"/>
      <c r="X1039" s="520" t="s">
        <v>1274</v>
      </c>
      <c r="Y1039" s="246" t="s">
        <v>1741</v>
      </c>
      <c r="Z1039" s="235" t="s">
        <v>175</v>
      </c>
      <c r="AA1039" s="235" t="s">
        <v>175</v>
      </c>
      <c r="AB1039" s="472" t="s">
        <v>2109</v>
      </c>
      <c r="AC1039" s="238">
        <v>240</v>
      </c>
      <c r="AD1039" s="292">
        <v>2.5</v>
      </c>
      <c r="AE1039" s="476">
        <v>2.5</v>
      </c>
      <c r="AF1039" s="476">
        <v>2.5</v>
      </c>
      <c r="AG1039" s="554"/>
      <c r="AH1039" s="554"/>
      <c r="AI1039" s="456"/>
    </row>
    <row r="1040" spans="1:35" x14ac:dyDescent="0.25">
      <c r="A1040" s="237"/>
      <c r="B1040" s="237"/>
      <c r="C1040" s="237"/>
      <c r="D1040" s="237"/>
      <c r="E1040" s="237"/>
      <c r="F1040" s="237"/>
      <c r="G1040" s="237"/>
      <c r="H1040" s="237"/>
      <c r="I1040" s="237"/>
      <c r="J1040" s="237"/>
      <c r="K1040" s="237"/>
      <c r="L1040" s="237"/>
      <c r="M1040" s="237"/>
      <c r="N1040" s="237"/>
      <c r="O1040" s="237"/>
      <c r="P1040" s="237"/>
      <c r="R1040" s="237"/>
      <c r="S1040" s="237"/>
      <c r="W1040" s="237"/>
      <c r="X1040" s="549" t="s">
        <v>1973</v>
      </c>
      <c r="Y1040" s="246" t="s">
        <v>1741</v>
      </c>
      <c r="Z1040" s="235" t="s">
        <v>175</v>
      </c>
      <c r="AA1040" s="235" t="s">
        <v>175</v>
      </c>
      <c r="AB1040" s="443" t="s">
        <v>1974</v>
      </c>
      <c r="AC1040" s="577"/>
      <c r="AD1040" s="292">
        <f>AD1041</f>
        <v>10956.2</v>
      </c>
      <c r="AE1040" s="476">
        <f>AE1041</f>
        <v>10968.2</v>
      </c>
      <c r="AF1040" s="476">
        <f>AF1041</f>
        <v>10968.2</v>
      </c>
      <c r="AG1040" s="554"/>
      <c r="AH1040" s="554"/>
      <c r="AI1040" s="456"/>
    </row>
    <row r="1041" spans="1:35" x14ac:dyDescent="0.25">
      <c r="A1041" s="237"/>
      <c r="B1041" s="237"/>
      <c r="C1041" s="237"/>
      <c r="D1041" s="237"/>
      <c r="E1041" s="237"/>
      <c r="F1041" s="237"/>
      <c r="G1041" s="237"/>
      <c r="H1041" s="237"/>
      <c r="I1041" s="237"/>
      <c r="J1041" s="237"/>
      <c r="K1041" s="237"/>
      <c r="L1041" s="237"/>
      <c r="M1041" s="237"/>
      <c r="N1041" s="237"/>
      <c r="O1041" s="237"/>
      <c r="P1041" s="237"/>
      <c r="R1041" s="237"/>
      <c r="S1041" s="237"/>
      <c r="W1041" s="237"/>
      <c r="X1041" s="549" t="s">
        <v>1908</v>
      </c>
      <c r="Y1041" s="246" t="s">
        <v>1741</v>
      </c>
      <c r="Z1041" s="235" t="s">
        <v>175</v>
      </c>
      <c r="AA1041" s="235" t="s">
        <v>175</v>
      </c>
      <c r="AB1041" s="443" t="s">
        <v>1980</v>
      </c>
      <c r="AC1041" s="238"/>
      <c r="AD1041" s="292">
        <f t="shared" ref="AD1041:AF1042" si="270">AD1042</f>
        <v>10956.2</v>
      </c>
      <c r="AE1041" s="476">
        <f t="shared" si="270"/>
        <v>10968.2</v>
      </c>
      <c r="AF1041" s="476">
        <f t="shared" si="270"/>
        <v>10968.2</v>
      </c>
      <c r="AG1041" s="554"/>
      <c r="AH1041" s="554"/>
      <c r="AI1041" s="456"/>
    </row>
    <row r="1042" spans="1:35" ht="31.5" x14ac:dyDescent="0.25">
      <c r="A1042" s="237"/>
      <c r="B1042" s="237"/>
      <c r="C1042" s="237"/>
      <c r="D1042" s="237"/>
      <c r="E1042" s="237"/>
      <c r="F1042" s="237"/>
      <c r="G1042" s="237"/>
      <c r="H1042" s="237"/>
      <c r="I1042" s="237"/>
      <c r="J1042" s="237"/>
      <c r="K1042" s="237"/>
      <c r="L1042" s="237"/>
      <c r="M1042" s="237"/>
      <c r="N1042" s="237"/>
      <c r="O1042" s="237"/>
      <c r="P1042" s="237"/>
      <c r="R1042" s="237"/>
      <c r="S1042" s="237"/>
      <c r="W1042" s="237"/>
      <c r="X1042" s="549" t="s">
        <v>1910</v>
      </c>
      <c r="Y1042" s="246" t="s">
        <v>1741</v>
      </c>
      <c r="Z1042" s="235" t="s">
        <v>175</v>
      </c>
      <c r="AA1042" s="235" t="s">
        <v>175</v>
      </c>
      <c r="AB1042" s="443" t="s">
        <v>1981</v>
      </c>
      <c r="AC1042" s="577"/>
      <c r="AD1042" s="292">
        <f t="shared" si="270"/>
        <v>10956.2</v>
      </c>
      <c r="AE1042" s="476">
        <f t="shared" si="270"/>
        <v>10968.2</v>
      </c>
      <c r="AF1042" s="476">
        <f t="shared" si="270"/>
        <v>10968.2</v>
      </c>
      <c r="AG1042" s="554"/>
      <c r="AH1042" s="554"/>
      <c r="AI1042" s="456"/>
    </row>
    <row r="1043" spans="1:35" x14ac:dyDescent="0.25">
      <c r="A1043" s="237"/>
      <c r="B1043" s="237"/>
      <c r="C1043" s="237"/>
      <c r="D1043" s="237"/>
      <c r="E1043" s="237"/>
      <c r="F1043" s="237"/>
      <c r="G1043" s="237"/>
      <c r="H1043" s="237"/>
      <c r="I1043" s="237"/>
      <c r="J1043" s="237"/>
      <c r="K1043" s="237"/>
      <c r="L1043" s="237"/>
      <c r="M1043" s="237"/>
      <c r="N1043" s="237"/>
      <c r="O1043" s="237"/>
      <c r="P1043" s="237"/>
      <c r="R1043" s="237"/>
      <c r="S1043" s="237"/>
      <c r="W1043" s="237"/>
      <c r="X1043" s="530" t="s">
        <v>1924</v>
      </c>
      <c r="Y1043" s="246" t="s">
        <v>1741</v>
      </c>
      <c r="Z1043" s="235" t="s">
        <v>175</v>
      </c>
      <c r="AA1043" s="235" t="s">
        <v>175</v>
      </c>
      <c r="AB1043" s="443" t="s">
        <v>1982</v>
      </c>
      <c r="AC1043" s="577"/>
      <c r="AD1043" s="292">
        <f>AD1044+AD1049+AD1052</f>
        <v>10956.2</v>
      </c>
      <c r="AE1043" s="476">
        <f>AE1044+AE1049+AE1052</f>
        <v>10968.2</v>
      </c>
      <c r="AF1043" s="476">
        <f>AF1044+AF1049+AF1052</f>
        <v>10968.2</v>
      </c>
      <c r="AG1043" s="554"/>
      <c r="AH1043" s="554"/>
      <c r="AI1043" s="456"/>
    </row>
    <row r="1044" spans="1:35" ht="31.5" x14ac:dyDescent="0.25">
      <c r="A1044" s="237"/>
      <c r="B1044" s="237"/>
      <c r="C1044" s="237"/>
      <c r="D1044" s="237"/>
      <c r="E1044" s="237"/>
      <c r="F1044" s="237"/>
      <c r="G1044" s="237"/>
      <c r="H1044" s="237"/>
      <c r="I1044" s="237"/>
      <c r="J1044" s="237"/>
      <c r="K1044" s="237"/>
      <c r="L1044" s="237"/>
      <c r="M1044" s="237"/>
      <c r="N1044" s="237"/>
      <c r="O1044" s="237"/>
      <c r="P1044" s="237"/>
      <c r="R1044" s="237"/>
      <c r="S1044" s="237"/>
      <c r="W1044" s="237"/>
      <c r="X1044" s="520" t="s">
        <v>1925</v>
      </c>
      <c r="Y1044" s="246" t="s">
        <v>1741</v>
      </c>
      <c r="Z1044" s="235" t="s">
        <v>175</v>
      </c>
      <c r="AA1044" s="235" t="s">
        <v>175</v>
      </c>
      <c r="AB1044" s="443" t="s">
        <v>1983</v>
      </c>
      <c r="AC1044" s="238"/>
      <c r="AD1044" s="292">
        <f>AD1045+AD1047</f>
        <v>1866</v>
      </c>
      <c r="AE1044" s="476">
        <f>AE1045</f>
        <v>1878</v>
      </c>
      <c r="AF1044" s="476">
        <f>AF1045</f>
        <v>1878</v>
      </c>
      <c r="AG1044" s="554"/>
      <c r="AH1044" s="554"/>
      <c r="AI1044" s="456"/>
    </row>
    <row r="1045" spans="1:35" x14ac:dyDescent="0.25">
      <c r="A1045" s="237"/>
      <c r="B1045" s="237"/>
      <c r="C1045" s="237"/>
      <c r="D1045" s="237"/>
      <c r="E1045" s="237"/>
      <c r="F1045" s="237"/>
      <c r="G1045" s="237"/>
      <c r="H1045" s="237"/>
      <c r="I1045" s="237"/>
      <c r="J1045" s="237"/>
      <c r="K1045" s="237"/>
      <c r="L1045" s="237"/>
      <c r="M1045" s="237"/>
      <c r="N1045" s="237"/>
      <c r="O1045" s="237"/>
      <c r="P1045" s="237"/>
      <c r="R1045" s="237"/>
      <c r="S1045" s="237"/>
      <c r="W1045" s="237"/>
      <c r="X1045" s="520" t="s">
        <v>1782</v>
      </c>
      <c r="Y1045" s="246" t="s">
        <v>1741</v>
      </c>
      <c r="Z1045" s="235" t="s">
        <v>175</v>
      </c>
      <c r="AA1045" s="235" t="s">
        <v>175</v>
      </c>
      <c r="AB1045" s="443" t="s">
        <v>1983</v>
      </c>
      <c r="AC1045" s="238">
        <v>200</v>
      </c>
      <c r="AD1045" s="292">
        <f>AD1046</f>
        <v>1857.9</v>
      </c>
      <c r="AE1045" s="476">
        <f>AE1046</f>
        <v>1878</v>
      </c>
      <c r="AF1045" s="476">
        <f>AF1046</f>
        <v>1878</v>
      </c>
      <c r="AG1045" s="554"/>
      <c r="AH1045" s="554"/>
      <c r="AI1045" s="456"/>
    </row>
    <row r="1046" spans="1:35" ht="31.5" x14ac:dyDescent="0.25">
      <c r="A1046" s="237"/>
      <c r="B1046" s="237"/>
      <c r="C1046" s="237"/>
      <c r="D1046" s="237"/>
      <c r="E1046" s="237"/>
      <c r="F1046" s="237"/>
      <c r="G1046" s="237"/>
      <c r="H1046" s="237"/>
      <c r="I1046" s="237"/>
      <c r="J1046" s="237"/>
      <c r="K1046" s="237"/>
      <c r="L1046" s="237"/>
      <c r="M1046" s="237"/>
      <c r="N1046" s="237"/>
      <c r="O1046" s="237"/>
      <c r="P1046" s="237"/>
      <c r="R1046" s="237"/>
      <c r="S1046" s="237"/>
      <c r="W1046" s="237"/>
      <c r="X1046" s="520" t="s">
        <v>1274</v>
      </c>
      <c r="Y1046" s="246" t="s">
        <v>1741</v>
      </c>
      <c r="Z1046" s="235" t="s">
        <v>175</v>
      </c>
      <c r="AA1046" s="235" t="s">
        <v>175</v>
      </c>
      <c r="AB1046" s="443" t="s">
        <v>1983</v>
      </c>
      <c r="AC1046" s="238">
        <v>240</v>
      </c>
      <c r="AD1046" s="292">
        <f>1878-0.1-10-10</f>
        <v>1857.9</v>
      </c>
      <c r="AE1046" s="476">
        <v>1878</v>
      </c>
      <c r="AF1046" s="476">
        <v>1878</v>
      </c>
      <c r="AG1046" s="554"/>
      <c r="AH1046" s="554"/>
      <c r="AI1046" s="456"/>
    </row>
    <row r="1047" spans="1:35" x14ac:dyDescent="0.25">
      <c r="A1047" s="237"/>
      <c r="B1047" s="237"/>
      <c r="C1047" s="237"/>
      <c r="D1047" s="237"/>
      <c r="E1047" s="237"/>
      <c r="F1047" s="237"/>
      <c r="G1047" s="237"/>
      <c r="H1047" s="237"/>
      <c r="I1047" s="237"/>
      <c r="J1047" s="237"/>
      <c r="K1047" s="237"/>
      <c r="L1047" s="237"/>
      <c r="M1047" s="237"/>
      <c r="N1047" s="237"/>
      <c r="O1047" s="237"/>
      <c r="P1047" s="237"/>
      <c r="R1047" s="237"/>
      <c r="S1047" s="237"/>
      <c r="W1047" s="237"/>
      <c r="X1047" s="520" t="s">
        <v>924</v>
      </c>
      <c r="Y1047" s="246" t="s">
        <v>1741</v>
      </c>
      <c r="Z1047" s="235" t="s">
        <v>175</v>
      </c>
      <c r="AA1047" s="235" t="s">
        <v>175</v>
      </c>
      <c r="AB1047" s="443" t="s">
        <v>1983</v>
      </c>
      <c r="AC1047" s="238">
        <v>800</v>
      </c>
      <c r="AD1047" s="292">
        <f>AD1048</f>
        <v>8.1</v>
      </c>
      <c r="AE1047" s="476">
        <f>AE1048</f>
        <v>0</v>
      </c>
      <c r="AF1047" s="476">
        <f>AF1048</f>
        <v>0</v>
      </c>
      <c r="AG1047" s="554"/>
      <c r="AH1047" s="554"/>
      <c r="AI1047" s="456"/>
    </row>
    <row r="1048" spans="1:35" x14ac:dyDescent="0.25">
      <c r="A1048" s="237"/>
      <c r="B1048" s="237"/>
      <c r="C1048" s="237"/>
      <c r="D1048" s="237"/>
      <c r="E1048" s="237"/>
      <c r="F1048" s="237"/>
      <c r="G1048" s="237"/>
      <c r="H1048" s="237"/>
      <c r="I1048" s="237"/>
      <c r="J1048" s="237"/>
      <c r="K1048" s="237"/>
      <c r="L1048" s="237"/>
      <c r="M1048" s="237"/>
      <c r="N1048" s="237"/>
      <c r="O1048" s="237"/>
      <c r="P1048" s="237"/>
      <c r="R1048" s="237"/>
      <c r="S1048" s="237"/>
      <c r="W1048" s="237"/>
      <c r="X1048" s="520" t="s">
        <v>1320</v>
      </c>
      <c r="Y1048" s="246" t="s">
        <v>1741</v>
      </c>
      <c r="Z1048" s="235" t="s">
        <v>175</v>
      </c>
      <c r="AA1048" s="235" t="s">
        <v>175</v>
      </c>
      <c r="AB1048" s="443" t="s">
        <v>1983</v>
      </c>
      <c r="AC1048" s="238">
        <v>850</v>
      </c>
      <c r="AD1048" s="292">
        <f>7+0.1+1</f>
        <v>8.1</v>
      </c>
      <c r="AE1048" s="476">
        <v>0</v>
      </c>
      <c r="AF1048" s="476">
        <v>0</v>
      </c>
      <c r="AG1048" s="554"/>
      <c r="AH1048" s="554"/>
      <c r="AI1048" s="456"/>
    </row>
    <row r="1049" spans="1:35" ht="31.5" x14ac:dyDescent="0.25">
      <c r="A1049" s="237"/>
      <c r="B1049" s="237"/>
      <c r="C1049" s="237"/>
      <c r="D1049" s="237"/>
      <c r="E1049" s="237"/>
      <c r="F1049" s="237"/>
      <c r="G1049" s="237"/>
      <c r="H1049" s="237"/>
      <c r="I1049" s="237"/>
      <c r="J1049" s="237"/>
      <c r="K1049" s="237"/>
      <c r="L1049" s="237"/>
      <c r="M1049" s="237"/>
      <c r="N1049" s="237"/>
      <c r="O1049" s="237"/>
      <c r="P1049" s="237"/>
      <c r="R1049" s="237"/>
      <c r="S1049" s="237"/>
      <c r="W1049" s="237"/>
      <c r="X1049" s="520" t="s">
        <v>1926</v>
      </c>
      <c r="Y1049" s="246" t="s">
        <v>1741</v>
      </c>
      <c r="Z1049" s="235" t="s">
        <v>175</v>
      </c>
      <c r="AA1049" s="235" t="s">
        <v>175</v>
      </c>
      <c r="AB1049" s="443" t="s">
        <v>1984</v>
      </c>
      <c r="AC1049" s="238"/>
      <c r="AD1049" s="292">
        <f t="shared" ref="AD1049:AF1050" si="271">AD1050</f>
        <v>4198.8999999999996</v>
      </c>
      <c r="AE1049" s="476">
        <f t="shared" si="271"/>
        <v>4198.8999999999996</v>
      </c>
      <c r="AF1049" s="476">
        <f t="shared" si="271"/>
        <v>4198.8999999999996</v>
      </c>
      <c r="AG1049" s="554"/>
      <c r="AH1049" s="554"/>
      <c r="AI1049" s="456"/>
    </row>
    <row r="1050" spans="1:35" ht="47.25" x14ac:dyDescent="0.25">
      <c r="X1050" s="520" t="s">
        <v>922</v>
      </c>
      <c r="Y1050" s="246" t="s">
        <v>1741</v>
      </c>
      <c r="Z1050" s="235" t="s">
        <v>175</v>
      </c>
      <c r="AA1050" s="235" t="s">
        <v>175</v>
      </c>
      <c r="AB1050" s="443" t="s">
        <v>1984</v>
      </c>
      <c r="AC1050" s="238">
        <v>100</v>
      </c>
      <c r="AD1050" s="292">
        <f t="shared" si="271"/>
        <v>4198.8999999999996</v>
      </c>
      <c r="AE1050" s="476">
        <f t="shared" si="271"/>
        <v>4198.8999999999996</v>
      </c>
      <c r="AF1050" s="476">
        <f t="shared" si="271"/>
        <v>4198.8999999999996</v>
      </c>
      <c r="AG1050" s="554"/>
      <c r="AH1050" s="554"/>
      <c r="AI1050" s="456"/>
    </row>
    <row r="1051" spans="1:35" x14ac:dyDescent="0.25">
      <c r="X1051" s="520" t="s">
        <v>1748</v>
      </c>
      <c r="Y1051" s="246" t="s">
        <v>1741</v>
      </c>
      <c r="Z1051" s="235" t="s">
        <v>175</v>
      </c>
      <c r="AA1051" s="235" t="s">
        <v>175</v>
      </c>
      <c r="AB1051" s="443" t="s">
        <v>1984</v>
      </c>
      <c r="AC1051" s="238">
        <v>120</v>
      </c>
      <c r="AD1051" s="292">
        <f>4198.9</f>
        <v>4198.8999999999996</v>
      </c>
      <c r="AE1051" s="476">
        <v>4198.8999999999996</v>
      </c>
      <c r="AF1051" s="476">
        <v>4198.8999999999996</v>
      </c>
      <c r="AG1051" s="554"/>
      <c r="AH1051" s="554"/>
      <c r="AI1051" s="456"/>
    </row>
    <row r="1052" spans="1:35" ht="31.5" x14ac:dyDescent="0.25">
      <c r="X1052" s="520" t="s">
        <v>1927</v>
      </c>
      <c r="Y1052" s="246" t="s">
        <v>1741</v>
      </c>
      <c r="Z1052" s="235" t="s">
        <v>175</v>
      </c>
      <c r="AA1052" s="235" t="s">
        <v>175</v>
      </c>
      <c r="AB1052" s="443" t="s">
        <v>1985</v>
      </c>
      <c r="AC1052" s="238"/>
      <c r="AD1052" s="292">
        <f t="shared" ref="AD1052:AF1053" si="272">AD1053</f>
        <v>4891.3</v>
      </c>
      <c r="AE1052" s="476">
        <f t="shared" si="272"/>
        <v>4891.3</v>
      </c>
      <c r="AF1052" s="476">
        <f t="shared" si="272"/>
        <v>4891.3</v>
      </c>
      <c r="AG1052" s="554"/>
      <c r="AH1052" s="554"/>
      <c r="AI1052" s="456"/>
    </row>
    <row r="1053" spans="1:35" ht="47.25" x14ac:dyDescent="0.25">
      <c r="X1053" s="520" t="s">
        <v>922</v>
      </c>
      <c r="Y1053" s="246" t="s">
        <v>1741</v>
      </c>
      <c r="Z1053" s="235" t="s">
        <v>175</v>
      </c>
      <c r="AA1053" s="235" t="s">
        <v>175</v>
      </c>
      <c r="AB1053" s="443" t="s">
        <v>1985</v>
      </c>
      <c r="AC1053" s="238">
        <v>100</v>
      </c>
      <c r="AD1053" s="292">
        <f t="shared" si="272"/>
        <v>4891.3</v>
      </c>
      <c r="AE1053" s="476">
        <f t="shared" si="272"/>
        <v>4891.3</v>
      </c>
      <c r="AF1053" s="476">
        <f t="shared" si="272"/>
        <v>4891.3</v>
      </c>
      <c r="AG1053" s="554"/>
      <c r="AH1053" s="554"/>
      <c r="AI1053" s="456"/>
    </row>
    <row r="1054" spans="1:35" x14ac:dyDescent="0.25">
      <c r="X1054" s="520" t="s">
        <v>1748</v>
      </c>
      <c r="Y1054" s="246" t="s">
        <v>1741</v>
      </c>
      <c r="Z1054" s="235" t="s">
        <v>175</v>
      </c>
      <c r="AA1054" s="235" t="s">
        <v>175</v>
      </c>
      <c r="AB1054" s="443" t="s">
        <v>1985</v>
      </c>
      <c r="AC1054" s="238">
        <v>120</v>
      </c>
      <c r="AD1054" s="292">
        <v>4891.3</v>
      </c>
      <c r="AE1054" s="476">
        <v>4891.3</v>
      </c>
      <c r="AF1054" s="476">
        <v>4891.3</v>
      </c>
      <c r="AG1054" s="554"/>
      <c r="AH1054" s="554"/>
      <c r="AI1054" s="456"/>
    </row>
    <row r="1055" spans="1:35" x14ac:dyDescent="0.25">
      <c r="X1055" s="651" t="s">
        <v>866</v>
      </c>
      <c r="Y1055" s="575" t="s">
        <v>1741</v>
      </c>
      <c r="Z1055" s="247" t="s">
        <v>1747</v>
      </c>
      <c r="AA1055" s="235"/>
      <c r="AB1055" s="249"/>
      <c r="AC1055" s="238"/>
      <c r="AD1055" s="745">
        <f t="shared" ref="AD1055:AF1066" si="273">AD1056</f>
        <v>1712885.9000000001</v>
      </c>
      <c r="AE1055" s="479">
        <f t="shared" si="273"/>
        <v>651397.6</v>
      </c>
      <c r="AF1055" s="479">
        <f t="shared" si="273"/>
        <v>10</v>
      </c>
      <c r="AG1055" s="554"/>
      <c r="AH1055" s="554"/>
      <c r="AI1055" s="456"/>
    </row>
    <row r="1056" spans="1:35" x14ac:dyDescent="0.25">
      <c r="X1056" s="623" t="s">
        <v>1702</v>
      </c>
      <c r="Y1056" s="246" t="s">
        <v>1741</v>
      </c>
      <c r="Z1056" s="255" t="s">
        <v>1747</v>
      </c>
      <c r="AA1056" s="235" t="s">
        <v>567</v>
      </c>
      <c r="AB1056" s="249"/>
      <c r="AC1056" s="238"/>
      <c r="AD1056" s="292">
        <f t="shared" si="273"/>
        <v>1712885.9000000001</v>
      </c>
      <c r="AE1056" s="476">
        <f t="shared" si="273"/>
        <v>651397.6</v>
      </c>
      <c r="AF1056" s="476">
        <f t="shared" si="273"/>
        <v>10</v>
      </c>
      <c r="AG1056" s="554"/>
      <c r="AH1056" s="554"/>
      <c r="AI1056" s="456"/>
    </row>
    <row r="1057" spans="24:35" ht="31.5" x14ac:dyDescent="0.25">
      <c r="X1057" s="622" t="s">
        <v>1949</v>
      </c>
      <c r="Y1057" s="246" t="s">
        <v>1741</v>
      </c>
      <c r="Z1057" s="255" t="s">
        <v>1747</v>
      </c>
      <c r="AA1057" s="235" t="s">
        <v>567</v>
      </c>
      <c r="AB1057" s="443" t="s">
        <v>1771</v>
      </c>
      <c r="AC1057" s="238"/>
      <c r="AD1057" s="292">
        <f t="shared" si="273"/>
        <v>1712885.9000000001</v>
      </c>
      <c r="AE1057" s="476">
        <f t="shared" si="273"/>
        <v>651397.6</v>
      </c>
      <c r="AF1057" s="476">
        <f t="shared" si="273"/>
        <v>10</v>
      </c>
      <c r="AG1057" s="554"/>
      <c r="AH1057" s="554"/>
      <c r="AI1057" s="456"/>
    </row>
    <row r="1058" spans="24:35" x14ac:dyDescent="0.25">
      <c r="X1058" s="622" t="s">
        <v>2307</v>
      </c>
      <c r="Y1058" s="246" t="s">
        <v>1741</v>
      </c>
      <c r="Z1058" s="255" t="s">
        <v>1747</v>
      </c>
      <c r="AA1058" s="235" t="s">
        <v>567</v>
      </c>
      <c r="AB1058" s="443" t="s">
        <v>2308</v>
      </c>
      <c r="AC1058" s="238"/>
      <c r="AD1058" s="292">
        <f>AD1063+AD1059</f>
        <v>1712885.9000000001</v>
      </c>
      <c r="AE1058" s="292">
        <f t="shared" ref="AE1058:AF1058" si="274">AE1063+AE1059</f>
        <v>651397.6</v>
      </c>
      <c r="AF1058" s="292">
        <f t="shared" si="274"/>
        <v>10</v>
      </c>
      <c r="AG1058" s="554"/>
      <c r="AH1058" s="554"/>
      <c r="AI1058" s="456"/>
    </row>
    <row r="1059" spans="24:35" ht="57" customHeight="1" x14ac:dyDescent="0.25">
      <c r="X1059" s="622" t="s">
        <v>2430</v>
      </c>
      <c r="Y1059" s="246" t="s">
        <v>1741</v>
      </c>
      <c r="Z1059" s="255" t="s">
        <v>1747</v>
      </c>
      <c r="AA1059" s="235" t="s">
        <v>567</v>
      </c>
      <c r="AB1059" s="443" t="s">
        <v>2432</v>
      </c>
      <c r="AC1059" s="238"/>
      <c r="AD1059" s="292">
        <f>AD1060</f>
        <v>10</v>
      </c>
      <c r="AE1059" s="292">
        <f t="shared" ref="AE1059:AF1059" si="275">AE1060</f>
        <v>0</v>
      </c>
      <c r="AF1059" s="292">
        <f t="shared" si="275"/>
        <v>10</v>
      </c>
      <c r="AG1059" s="554"/>
      <c r="AH1059" s="554"/>
      <c r="AI1059" s="456"/>
    </row>
    <row r="1060" spans="24:35" ht="22.15" customHeight="1" x14ac:dyDescent="0.25">
      <c r="X1060" s="622" t="s">
        <v>2431</v>
      </c>
      <c r="Y1060" s="246" t="s">
        <v>1741</v>
      </c>
      <c r="Z1060" s="255" t="s">
        <v>1747</v>
      </c>
      <c r="AA1060" s="235" t="s">
        <v>567</v>
      </c>
      <c r="AB1060" s="443" t="s">
        <v>2433</v>
      </c>
      <c r="AC1060" s="238"/>
      <c r="AD1060" s="292">
        <f>AD1061</f>
        <v>10</v>
      </c>
      <c r="AE1060" s="292">
        <f t="shared" ref="AE1060:AF1060" si="276">AE1061</f>
        <v>0</v>
      </c>
      <c r="AF1060" s="292">
        <f t="shared" si="276"/>
        <v>10</v>
      </c>
      <c r="AG1060" s="554"/>
      <c r="AH1060" s="554"/>
      <c r="AI1060" s="456"/>
    </row>
    <row r="1061" spans="24:35" ht="23.45" customHeight="1" x14ac:dyDescent="0.25">
      <c r="X1061" s="520" t="s">
        <v>1782</v>
      </c>
      <c r="Y1061" s="246" t="s">
        <v>1741</v>
      </c>
      <c r="Z1061" s="255" t="s">
        <v>1747</v>
      </c>
      <c r="AA1061" s="235" t="s">
        <v>567</v>
      </c>
      <c r="AB1061" s="443" t="s">
        <v>2433</v>
      </c>
      <c r="AC1061" s="238">
        <v>200</v>
      </c>
      <c r="AD1061" s="292">
        <f>AD1062</f>
        <v>10</v>
      </c>
      <c r="AE1061" s="292">
        <f t="shared" ref="AE1061:AF1061" si="277">AE1062</f>
        <v>0</v>
      </c>
      <c r="AF1061" s="292">
        <f t="shared" si="277"/>
        <v>10</v>
      </c>
      <c r="AG1061" s="554"/>
      <c r="AH1061" s="554"/>
      <c r="AI1061" s="456"/>
    </row>
    <row r="1062" spans="24:35" ht="31.5" x14ac:dyDescent="0.25">
      <c r="X1062" s="520" t="s">
        <v>1274</v>
      </c>
      <c r="Y1062" s="246" t="s">
        <v>1741</v>
      </c>
      <c r="Z1062" s="255" t="s">
        <v>1747</v>
      </c>
      <c r="AA1062" s="235" t="s">
        <v>567</v>
      </c>
      <c r="AB1062" s="443" t="s">
        <v>2433</v>
      </c>
      <c r="AC1062" s="238">
        <v>240</v>
      </c>
      <c r="AD1062" s="292">
        <f>10+10-10</f>
        <v>10</v>
      </c>
      <c r="AE1062" s="476">
        <v>0</v>
      </c>
      <c r="AF1062" s="476">
        <v>10</v>
      </c>
      <c r="AG1062" s="554"/>
      <c r="AH1062" s="554"/>
      <c r="AI1062" s="456"/>
    </row>
    <row r="1063" spans="24:35" x14ac:dyDescent="0.25">
      <c r="X1063" s="652" t="s">
        <v>2309</v>
      </c>
      <c r="Y1063" s="246" t="s">
        <v>1741</v>
      </c>
      <c r="Z1063" s="255" t="s">
        <v>1747</v>
      </c>
      <c r="AA1063" s="235" t="s">
        <v>567</v>
      </c>
      <c r="AB1063" s="443" t="s">
        <v>2310</v>
      </c>
      <c r="AC1063" s="580"/>
      <c r="AD1063" s="292">
        <f t="shared" si="273"/>
        <v>1712875.9000000001</v>
      </c>
      <c r="AE1063" s="476">
        <f t="shared" si="273"/>
        <v>651397.6</v>
      </c>
      <c r="AF1063" s="476">
        <f t="shared" si="273"/>
        <v>0</v>
      </c>
      <c r="AG1063" s="554"/>
      <c r="AH1063" s="554"/>
      <c r="AI1063" s="456"/>
    </row>
    <row r="1064" spans="24:35" x14ac:dyDescent="0.25">
      <c r="X1064" s="652" t="s">
        <v>2311</v>
      </c>
      <c r="Y1064" s="246" t="s">
        <v>1741</v>
      </c>
      <c r="Z1064" s="255" t="s">
        <v>1747</v>
      </c>
      <c r="AA1064" s="235" t="s">
        <v>567</v>
      </c>
      <c r="AB1064" s="443" t="s">
        <v>2312</v>
      </c>
      <c r="AC1064" s="580"/>
      <c r="AD1064" s="292">
        <f t="shared" si="273"/>
        <v>1712875.9000000001</v>
      </c>
      <c r="AE1064" s="476">
        <f t="shared" si="273"/>
        <v>651397.6</v>
      </c>
      <c r="AF1064" s="476">
        <f t="shared" si="273"/>
        <v>0</v>
      </c>
      <c r="AG1064" s="554"/>
      <c r="AH1064" s="554"/>
      <c r="AI1064" s="456"/>
    </row>
    <row r="1065" spans="24:35" ht="31.5" x14ac:dyDescent="0.25">
      <c r="X1065" s="652" t="s">
        <v>2313</v>
      </c>
      <c r="Y1065" s="246" t="s">
        <v>1741</v>
      </c>
      <c r="Z1065" s="255" t="s">
        <v>1747</v>
      </c>
      <c r="AA1065" s="235" t="s">
        <v>567</v>
      </c>
      <c r="AB1065" s="443" t="s">
        <v>2314</v>
      </c>
      <c r="AC1065" s="580"/>
      <c r="AD1065" s="292">
        <f t="shared" si="273"/>
        <v>1712875.9000000001</v>
      </c>
      <c r="AE1065" s="476">
        <f t="shared" si="273"/>
        <v>651397.6</v>
      </c>
      <c r="AF1065" s="476">
        <f t="shared" si="273"/>
        <v>0</v>
      </c>
      <c r="AG1065" s="554"/>
      <c r="AH1065" s="554"/>
      <c r="AI1065" s="456"/>
    </row>
    <row r="1066" spans="24:35" x14ac:dyDescent="0.25">
      <c r="X1066" s="653" t="s">
        <v>1837</v>
      </c>
      <c r="Y1066" s="246" t="s">
        <v>1741</v>
      </c>
      <c r="Z1066" s="255" t="s">
        <v>1747</v>
      </c>
      <c r="AA1066" s="235" t="s">
        <v>567</v>
      </c>
      <c r="AB1066" s="443" t="s">
        <v>2314</v>
      </c>
      <c r="AC1066" s="580" t="s">
        <v>1838</v>
      </c>
      <c r="AD1066" s="292">
        <f t="shared" si="273"/>
        <v>1712875.9000000001</v>
      </c>
      <c r="AE1066" s="476">
        <f t="shared" si="273"/>
        <v>651397.6</v>
      </c>
      <c r="AF1066" s="476">
        <f t="shared" si="273"/>
        <v>0</v>
      </c>
      <c r="AG1066" s="554"/>
      <c r="AH1066" s="554"/>
      <c r="AI1066" s="456"/>
    </row>
    <row r="1067" spans="24:35" x14ac:dyDescent="0.25">
      <c r="X1067" s="623" t="s">
        <v>232</v>
      </c>
      <c r="Y1067" s="246" t="s">
        <v>1741</v>
      </c>
      <c r="Z1067" s="255" t="s">
        <v>1747</v>
      </c>
      <c r="AA1067" s="235" t="s">
        <v>567</v>
      </c>
      <c r="AB1067" s="443" t="s">
        <v>2314</v>
      </c>
      <c r="AC1067" s="580" t="s">
        <v>1839</v>
      </c>
      <c r="AD1067" s="292">
        <f>1695747.1+17128.8</f>
        <v>1712875.9000000001</v>
      </c>
      <c r="AE1067" s="476">
        <f>644883.6+6514</f>
        <v>651397.6</v>
      </c>
      <c r="AF1067" s="476">
        <v>0</v>
      </c>
      <c r="AG1067" s="554"/>
      <c r="AH1067" s="554"/>
      <c r="AI1067" s="456"/>
    </row>
    <row r="1068" spans="24:35" x14ac:dyDescent="0.25">
      <c r="X1068" s="559" t="s">
        <v>174</v>
      </c>
      <c r="Y1068" s="575">
        <v>902</v>
      </c>
      <c r="Z1068" s="247" t="s">
        <v>205</v>
      </c>
      <c r="AA1068" s="235"/>
      <c r="AB1068" s="249"/>
      <c r="AC1068" s="238"/>
      <c r="AD1068" s="745">
        <f t="shared" ref="AD1068:AF1070" si="278">AD1069</f>
        <v>0</v>
      </c>
      <c r="AE1068" s="479">
        <f t="shared" si="278"/>
        <v>0</v>
      </c>
      <c r="AF1068" s="479">
        <f t="shared" si="278"/>
        <v>8105.2999999999993</v>
      </c>
      <c r="AG1068" s="647"/>
      <c r="AH1068" s="647"/>
      <c r="AI1068" s="456"/>
    </row>
    <row r="1069" spans="24:35" x14ac:dyDescent="0.25">
      <c r="X1069" s="520" t="s">
        <v>734</v>
      </c>
      <c r="Y1069" s="246" t="s">
        <v>1741</v>
      </c>
      <c r="Z1069" s="236" t="s">
        <v>205</v>
      </c>
      <c r="AA1069" s="235" t="s">
        <v>567</v>
      </c>
      <c r="AB1069" s="249"/>
      <c r="AC1069" s="238"/>
      <c r="AD1069" s="292">
        <f t="shared" si="278"/>
        <v>0</v>
      </c>
      <c r="AE1069" s="476">
        <f t="shared" si="278"/>
        <v>0</v>
      </c>
      <c r="AF1069" s="476">
        <f t="shared" si="278"/>
        <v>8105.2999999999993</v>
      </c>
      <c r="AG1069" s="554"/>
      <c r="AH1069" s="554"/>
      <c r="AI1069" s="456"/>
    </row>
    <row r="1070" spans="24:35" x14ac:dyDescent="0.25">
      <c r="X1070" s="549" t="s">
        <v>1992</v>
      </c>
      <c r="Y1070" s="246" t="s">
        <v>1741</v>
      </c>
      <c r="Z1070" s="235" t="s">
        <v>205</v>
      </c>
      <c r="AA1070" s="235" t="s">
        <v>567</v>
      </c>
      <c r="AB1070" s="443" t="s">
        <v>1993</v>
      </c>
      <c r="AC1070" s="238"/>
      <c r="AD1070" s="292">
        <f t="shared" si="278"/>
        <v>0</v>
      </c>
      <c r="AE1070" s="476">
        <f t="shared" si="278"/>
        <v>0</v>
      </c>
      <c r="AF1070" s="476">
        <f t="shared" si="278"/>
        <v>8105.2999999999993</v>
      </c>
      <c r="AG1070" s="554"/>
      <c r="AH1070" s="554"/>
      <c r="AI1070" s="456"/>
    </row>
    <row r="1071" spans="24:35" x14ac:dyDescent="0.25">
      <c r="X1071" s="566" t="s">
        <v>2233</v>
      </c>
      <c r="Y1071" s="246" t="s">
        <v>1741</v>
      </c>
      <c r="Z1071" s="235" t="s">
        <v>205</v>
      </c>
      <c r="AA1071" s="235" t="s">
        <v>567</v>
      </c>
      <c r="AB1071" s="443" t="s">
        <v>2234</v>
      </c>
      <c r="AC1071" s="238"/>
      <c r="AD1071" s="292">
        <f t="shared" ref="AD1071:AF1072" si="279">AD1072</f>
        <v>0</v>
      </c>
      <c r="AE1071" s="476">
        <f t="shared" si="279"/>
        <v>0</v>
      </c>
      <c r="AF1071" s="476">
        <f t="shared" si="279"/>
        <v>8105.2999999999993</v>
      </c>
      <c r="AG1071" s="554"/>
      <c r="AH1071" s="554"/>
      <c r="AI1071" s="456"/>
    </row>
    <row r="1072" spans="24:35" x14ac:dyDescent="0.25">
      <c r="X1072" s="532" t="s">
        <v>1994</v>
      </c>
      <c r="Y1072" s="246" t="s">
        <v>1741</v>
      </c>
      <c r="Z1072" s="235" t="s">
        <v>205</v>
      </c>
      <c r="AA1072" s="235" t="s">
        <v>567</v>
      </c>
      <c r="AB1072" s="443" t="s">
        <v>1995</v>
      </c>
      <c r="AC1072" s="238"/>
      <c r="AD1072" s="292">
        <f>AD1073</f>
        <v>0</v>
      </c>
      <c r="AE1072" s="476">
        <f t="shared" si="279"/>
        <v>0</v>
      </c>
      <c r="AF1072" s="476">
        <f t="shared" si="279"/>
        <v>8105.2999999999993</v>
      </c>
      <c r="AG1072" s="554"/>
      <c r="AH1072" s="554"/>
      <c r="AI1072" s="456"/>
    </row>
    <row r="1073" spans="1:35" ht="31.5" x14ac:dyDescent="0.25">
      <c r="X1073" s="567" t="s">
        <v>1996</v>
      </c>
      <c r="Y1073" s="246" t="s">
        <v>1741</v>
      </c>
      <c r="Z1073" s="235" t="s">
        <v>205</v>
      </c>
      <c r="AA1073" s="235" t="s">
        <v>567</v>
      </c>
      <c r="AB1073" s="443" t="s">
        <v>1997</v>
      </c>
      <c r="AC1073" s="238"/>
      <c r="AD1073" s="292">
        <f t="shared" ref="AD1073:AF1075" si="280">AD1074</f>
        <v>0</v>
      </c>
      <c r="AE1073" s="476">
        <f t="shared" si="280"/>
        <v>0</v>
      </c>
      <c r="AF1073" s="476">
        <f t="shared" si="280"/>
        <v>8105.2999999999993</v>
      </c>
      <c r="AG1073" s="554"/>
      <c r="AH1073" s="554"/>
      <c r="AI1073" s="456"/>
    </row>
    <row r="1074" spans="1:35" ht="47.25" x14ac:dyDescent="0.25">
      <c r="X1074" s="552" t="s">
        <v>2272</v>
      </c>
      <c r="Y1074" s="246" t="s">
        <v>1741</v>
      </c>
      <c r="Z1074" s="255" t="s">
        <v>205</v>
      </c>
      <c r="AA1074" s="255" t="s">
        <v>567</v>
      </c>
      <c r="AB1074" s="443" t="s">
        <v>1998</v>
      </c>
      <c r="AC1074" s="238"/>
      <c r="AD1074" s="292">
        <f t="shared" si="280"/>
        <v>0</v>
      </c>
      <c r="AE1074" s="476">
        <f t="shared" si="280"/>
        <v>0</v>
      </c>
      <c r="AF1074" s="476">
        <f t="shared" si="280"/>
        <v>8105.2999999999993</v>
      </c>
      <c r="AG1074" s="554"/>
      <c r="AH1074" s="554"/>
      <c r="AI1074" s="456"/>
    </row>
    <row r="1075" spans="1:35" x14ac:dyDescent="0.25">
      <c r="X1075" s="568" t="s">
        <v>1818</v>
      </c>
      <c r="Y1075" s="246" t="s">
        <v>1741</v>
      </c>
      <c r="Z1075" s="255" t="s">
        <v>205</v>
      </c>
      <c r="AA1075" s="255" t="s">
        <v>567</v>
      </c>
      <c r="AB1075" s="272" t="s">
        <v>1998</v>
      </c>
      <c r="AC1075" s="590">
        <v>400</v>
      </c>
      <c r="AD1075" s="292">
        <f t="shared" si="280"/>
        <v>0</v>
      </c>
      <c r="AE1075" s="476">
        <f t="shared" si="280"/>
        <v>0</v>
      </c>
      <c r="AF1075" s="476">
        <f t="shared" si="280"/>
        <v>8105.2999999999993</v>
      </c>
      <c r="AG1075" s="554"/>
      <c r="AH1075" s="554"/>
      <c r="AI1075" s="456"/>
    </row>
    <row r="1076" spans="1:35" x14ac:dyDescent="0.25">
      <c r="X1076" s="520" t="s">
        <v>232</v>
      </c>
      <c r="Y1076" s="246" t="s">
        <v>1741</v>
      </c>
      <c r="Z1076" s="255" t="s">
        <v>205</v>
      </c>
      <c r="AA1076" s="255" t="s">
        <v>567</v>
      </c>
      <c r="AB1076" s="443" t="s">
        <v>1998</v>
      </c>
      <c r="AC1076" s="590">
        <v>410</v>
      </c>
      <c r="AD1076" s="292">
        <v>0</v>
      </c>
      <c r="AE1076" s="476">
        <v>0</v>
      </c>
      <c r="AF1076" s="476">
        <f>7699.4+405.9</f>
        <v>8105.2999999999993</v>
      </c>
      <c r="AG1076" s="554"/>
      <c r="AH1076" s="554"/>
      <c r="AI1076" s="456"/>
    </row>
    <row r="1077" spans="1:35" s="363" customFormat="1" x14ac:dyDescent="0.25">
      <c r="A1077" s="424"/>
      <c r="B1077" s="425"/>
      <c r="C1077" s="426"/>
      <c r="D1077" s="426"/>
      <c r="E1077" s="426"/>
      <c r="F1077" s="426"/>
      <c r="G1077" s="426"/>
      <c r="I1077" s="427"/>
      <c r="J1077" s="427"/>
      <c r="K1077" s="427"/>
      <c r="L1077" s="427"/>
      <c r="M1077" s="427"/>
      <c r="N1077" s="427"/>
      <c r="O1077" s="428"/>
      <c r="P1077" s="429"/>
      <c r="R1077" s="430"/>
      <c r="S1077" s="431"/>
      <c r="W1077" s="367"/>
      <c r="X1077" s="559" t="s">
        <v>1746</v>
      </c>
      <c r="Y1077" s="575" t="s">
        <v>1741</v>
      </c>
      <c r="Z1077" s="247" t="s">
        <v>768</v>
      </c>
      <c r="AA1077" s="247"/>
      <c r="AB1077" s="271"/>
      <c r="AC1077" s="589"/>
      <c r="AD1077" s="745">
        <f>AD1078+AD1085+AD1094</f>
        <v>31028</v>
      </c>
      <c r="AE1077" s="479">
        <f>AE1078+AE1085+AE1094</f>
        <v>30175.7</v>
      </c>
      <c r="AF1077" s="479">
        <f>AF1078+AF1085+AF1094</f>
        <v>30909.7</v>
      </c>
      <c r="AG1077" s="647"/>
      <c r="AH1077" s="647"/>
      <c r="AI1077" s="456"/>
    </row>
    <row r="1078" spans="1:35" s="363" customFormat="1" x14ac:dyDescent="0.25">
      <c r="A1078" s="424"/>
      <c r="B1078" s="425"/>
      <c r="C1078" s="426"/>
      <c r="D1078" s="426"/>
      <c r="E1078" s="426"/>
      <c r="F1078" s="426"/>
      <c r="G1078" s="426"/>
      <c r="I1078" s="427"/>
      <c r="J1078" s="427"/>
      <c r="K1078" s="427"/>
      <c r="L1078" s="427"/>
      <c r="M1078" s="427"/>
      <c r="N1078" s="427"/>
      <c r="O1078" s="428"/>
      <c r="P1078" s="429"/>
      <c r="R1078" s="430"/>
      <c r="S1078" s="431"/>
      <c r="W1078" s="367"/>
      <c r="X1078" s="520" t="s">
        <v>1313</v>
      </c>
      <c r="Y1078" s="246" t="s">
        <v>1741</v>
      </c>
      <c r="Z1078" s="235">
        <v>10</v>
      </c>
      <c r="AA1078" s="235" t="s">
        <v>566</v>
      </c>
      <c r="AB1078" s="249"/>
      <c r="AC1078" s="589"/>
      <c r="AD1078" s="292">
        <f t="shared" ref="AD1078:AF1083" si="281">AD1079</f>
        <v>861.7</v>
      </c>
      <c r="AE1078" s="476">
        <f t="shared" si="281"/>
        <v>869.7</v>
      </c>
      <c r="AF1078" s="476">
        <f t="shared" si="281"/>
        <v>869.7</v>
      </c>
      <c r="AG1078" s="554"/>
      <c r="AH1078" s="554"/>
      <c r="AI1078" s="456"/>
    </row>
    <row r="1079" spans="1:35" s="363" customFormat="1" x14ac:dyDescent="0.25">
      <c r="A1079" s="424"/>
      <c r="B1079" s="425"/>
      <c r="C1079" s="426"/>
      <c r="D1079" s="426"/>
      <c r="E1079" s="426"/>
      <c r="F1079" s="426"/>
      <c r="G1079" s="426"/>
      <c r="I1079" s="427"/>
      <c r="J1079" s="427"/>
      <c r="K1079" s="427"/>
      <c r="L1079" s="427"/>
      <c r="M1079" s="427"/>
      <c r="N1079" s="427"/>
      <c r="O1079" s="428"/>
      <c r="P1079" s="429"/>
      <c r="R1079" s="430"/>
      <c r="S1079" s="431"/>
      <c r="W1079" s="367"/>
      <c r="X1079" s="549" t="s">
        <v>2075</v>
      </c>
      <c r="Y1079" s="246" t="s">
        <v>1741</v>
      </c>
      <c r="Z1079" s="235">
        <v>10</v>
      </c>
      <c r="AA1079" s="235" t="s">
        <v>566</v>
      </c>
      <c r="AB1079" s="443" t="s">
        <v>1769</v>
      </c>
      <c r="AC1079" s="589"/>
      <c r="AD1079" s="292">
        <f t="shared" si="281"/>
        <v>861.7</v>
      </c>
      <c r="AE1079" s="476">
        <f t="shared" si="281"/>
        <v>869.7</v>
      </c>
      <c r="AF1079" s="476">
        <f t="shared" si="281"/>
        <v>869.7</v>
      </c>
      <c r="AG1079" s="554"/>
      <c r="AH1079" s="554"/>
      <c r="AI1079" s="456"/>
    </row>
    <row r="1080" spans="1:35" s="363" customFormat="1" x14ac:dyDescent="0.25">
      <c r="A1080" s="424"/>
      <c r="B1080" s="425"/>
      <c r="C1080" s="426"/>
      <c r="D1080" s="426"/>
      <c r="E1080" s="426"/>
      <c r="F1080" s="426"/>
      <c r="G1080" s="426"/>
      <c r="I1080" s="427"/>
      <c r="J1080" s="427"/>
      <c r="K1080" s="427"/>
      <c r="L1080" s="427"/>
      <c r="M1080" s="427"/>
      <c r="N1080" s="427"/>
      <c r="O1080" s="428"/>
      <c r="P1080" s="429"/>
      <c r="R1080" s="430"/>
      <c r="S1080" s="431"/>
      <c r="W1080" s="367"/>
      <c r="X1080" s="625" t="s">
        <v>2076</v>
      </c>
      <c r="Y1080" s="246" t="s">
        <v>1741</v>
      </c>
      <c r="Z1080" s="235">
        <v>10</v>
      </c>
      <c r="AA1080" s="235" t="s">
        <v>566</v>
      </c>
      <c r="AB1080" s="443" t="s">
        <v>1780</v>
      </c>
      <c r="AC1080" s="589"/>
      <c r="AD1080" s="292">
        <f t="shared" ref="AD1080:AF1082" si="282">AD1081</f>
        <v>861.7</v>
      </c>
      <c r="AE1080" s="476">
        <f t="shared" si="282"/>
        <v>869.7</v>
      </c>
      <c r="AF1080" s="476">
        <f t="shared" si="282"/>
        <v>869.7</v>
      </c>
      <c r="AG1080" s="554"/>
      <c r="AH1080" s="554"/>
      <c r="AI1080" s="456"/>
    </row>
    <row r="1081" spans="1:35" s="363" customFormat="1" ht="31.5" x14ac:dyDescent="0.25">
      <c r="A1081" s="424"/>
      <c r="B1081" s="425"/>
      <c r="C1081" s="426"/>
      <c r="D1081" s="426"/>
      <c r="E1081" s="426"/>
      <c r="F1081" s="426"/>
      <c r="G1081" s="426"/>
      <c r="I1081" s="427"/>
      <c r="J1081" s="427"/>
      <c r="K1081" s="427"/>
      <c r="L1081" s="427"/>
      <c r="M1081" s="427"/>
      <c r="N1081" s="427"/>
      <c r="O1081" s="428"/>
      <c r="P1081" s="429"/>
      <c r="R1081" s="430"/>
      <c r="S1081" s="431"/>
      <c r="W1081" s="367"/>
      <c r="X1081" s="549" t="s">
        <v>2082</v>
      </c>
      <c r="Y1081" s="246" t="s">
        <v>1741</v>
      </c>
      <c r="Z1081" s="235">
        <v>10</v>
      </c>
      <c r="AA1081" s="235" t="s">
        <v>566</v>
      </c>
      <c r="AB1081" s="443" t="s">
        <v>2083</v>
      </c>
      <c r="AC1081" s="589"/>
      <c r="AD1081" s="292">
        <f t="shared" si="282"/>
        <v>861.7</v>
      </c>
      <c r="AE1081" s="476">
        <f t="shared" si="282"/>
        <v>869.7</v>
      </c>
      <c r="AF1081" s="476">
        <f t="shared" si="282"/>
        <v>869.7</v>
      </c>
      <c r="AG1081" s="554"/>
      <c r="AH1081" s="554"/>
      <c r="AI1081" s="456"/>
    </row>
    <row r="1082" spans="1:35" s="363" customFormat="1" ht="31.5" x14ac:dyDescent="0.25">
      <c r="A1082" s="424"/>
      <c r="B1082" s="425"/>
      <c r="C1082" s="426"/>
      <c r="D1082" s="426"/>
      <c r="E1082" s="426"/>
      <c r="F1082" s="426"/>
      <c r="G1082" s="426"/>
      <c r="I1082" s="427"/>
      <c r="J1082" s="427"/>
      <c r="K1082" s="427"/>
      <c r="L1082" s="427"/>
      <c r="M1082" s="427"/>
      <c r="N1082" s="427"/>
      <c r="O1082" s="428"/>
      <c r="P1082" s="429"/>
      <c r="R1082" s="430"/>
      <c r="S1082" s="431"/>
      <c r="W1082" s="367"/>
      <c r="X1082" s="530" t="s">
        <v>2084</v>
      </c>
      <c r="Y1082" s="246" t="s">
        <v>1741</v>
      </c>
      <c r="Z1082" s="235">
        <v>10</v>
      </c>
      <c r="AA1082" s="235" t="s">
        <v>566</v>
      </c>
      <c r="AB1082" s="443" t="s">
        <v>2085</v>
      </c>
      <c r="AC1082" s="589"/>
      <c r="AD1082" s="292">
        <f t="shared" si="282"/>
        <v>861.7</v>
      </c>
      <c r="AE1082" s="476">
        <f t="shared" si="282"/>
        <v>869.7</v>
      </c>
      <c r="AF1082" s="476">
        <f t="shared" si="282"/>
        <v>869.7</v>
      </c>
      <c r="AG1082" s="554"/>
      <c r="AH1082" s="554"/>
      <c r="AI1082" s="456"/>
    </row>
    <row r="1083" spans="1:35" x14ac:dyDescent="0.25">
      <c r="X1083" s="520" t="s">
        <v>1755</v>
      </c>
      <c r="Y1083" s="246" t="s">
        <v>1741</v>
      </c>
      <c r="Z1083" s="235">
        <v>10</v>
      </c>
      <c r="AA1083" s="235" t="s">
        <v>566</v>
      </c>
      <c r="AB1083" s="443" t="s">
        <v>2085</v>
      </c>
      <c r="AC1083" s="238">
        <v>300</v>
      </c>
      <c r="AD1083" s="292">
        <f t="shared" si="281"/>
        <v>861.7</v>
      </c>
      <c r="AE1083" s="476">
        <f t="shared" si="281"/>
        <v>869.7</v>
      </c>
      <c r="AF1083" s="476">
        <f t="shared" si="281"/>
        <v>869.7</v>
      </c>
      <c r="AG1083" s="554"/>
      <c r="AH1083" s="554"/>
      <c r="AI1083" s="456"/>
    </row>
    <row r="1084" spans="1:35" x14ac:dyDescent="0.25">
      <c r="X1084" s="520" t="s">
        <v>868</v>
      </c>
      <c r="Y1084" s="246" t="s">
        <v>1741</v>
      </c>
      <c r="Z1084" s="235">
        <v>10</v>
      </c>
      <c r="AA1084" s="235" t="s">
        <v>566</v>
      </c>
      <c r="AB1084" s="443" t="s">
        <v>2085</v>
      </c>
      <c r="AC1084" s="238">
        <v>320</v>
      </c>
      <c r="AD1084" s="292">
        <f>869.7-7-1</f>
        <v>861.7</v>
      </c>
      <c r="AE1084" s="476">
        <v>869.7</v>
      </c>
      <c r="AF1084" s="476">
        <v>869.7</v>
      </c>
      <c r="AG1084" s="554"/>
      <c r="AH1084" s="554"/>
      <c r="AI1084" s="456"/>
    </row>
    <row r="1085" spans="1:35" x14ac:dyDescent="0.25">
      <c r="X1085" s="520" t="s">
        <v>1323</v>
      </c>
      <c r="Y1085" s="246" t="s">
        <v>1741</v>
      </c>
      <c r="Z1085" s="235">
        <v>10</v>
      </c>
      <c r="AA1085" s="235" t="s">
        <v>193</v>
      </c>
      <c r="AB1085" s="249"/>
      <c r="AC1085" s="238"/>
      <c r="AD1085" s="292">
        <f t="shared" ref="AD1085:AF1086" si="283">AD1086</f>
        <v>19062</v>
      </c>
      <c r="AE1085" s="476">
        <f t="shared" si="283"/>
        <v>19747</v>
      </c>
      <c r="AF1085" s="476">
        <f t="shared" si="283"/>
        <v>20478</v>
      </c>
      <c r="AG1085" s="554"/>
      <c r="AH1085" s="554"/>
      <c r="AI1085" s="456"/>
    </row>
    <row r="1086" spans="1:35" x14ac:dyDescent="0.25">
      <c r="X1086" s="549" t="s">
        <v>2075</v>
      </c>
      <c r="Y1086" s="246" t="s">
        <v>1741</v>
      </c>
      <c r="Z1086" s="235">
        <v>10</v>
      </c>
      <c r="AA1086" s="235" t="s">
        <v>193</v>
      </c>
      <c r="AB1086" s="443" t="s">
        <v>1769</v>
      </c>
      <c r="AC1086" s="238"/>
      <c r="AD1086" s="292">
        <f t="shared" si="283"/>
        <v>19062</v>
      </c>
      <c r="AE1086" s="476">
        <f t="shared" si="283"/>
        <v>19747</v>
      </c>
      <c r="AF1086" s="476">
        <f t="shared" si="283"/>
        <v>20478</v>
      </c>
      <c r="AG1086" s="554"/>
      <c r="AH1086" s="554"/>
      <c r="AI1086" s="456"/>
    </row>
    <row r="1087" spans="1:35" x14ac:dyDescent="0.25">
      <c r="A1087" s="237"/>
      <c r="B1087" s="237"/>
      <c r="C1087" s="237"/>
      <c r="D1087" s="237"/>
      <c r="E1087" s="237"/>
      <c r="F1087" s="237"/>
      <c r="G1087" s="237"/>
      <c r="H1087" s="237"/>
      <c r="I1087" s="237"/>
      <c r="J1087" s="237"/>
      <c r="K1087" s="237"/>
      <c r="L1087" s="237"/>
      <c r="M1087" s="237"/>
      <c r="N1087" s="237"/>
      <c r="O1087" s="237"/>
      <c r="P1087" s="237"/>
      <c r="R1087" s="237"/>
      <c r="S1087" s="237"/>
      <c r="W1087" s="237"/>
      <c r="X1087" s="549" t="s">
        <v>2076</v>
      </c>
      <c r="Y1087" s="246" t="s">
        <v>1741</v>
      </c>
      <c r="Z1087" s="235">
        <v>10</v>
      </c>
      <c r="AA1087" s="235" t="s">
        <v>193</v>
      </c>
      <c r="AB1087" s="443" t="s">
        <v>1780</v>
      </c>
      <c r="AC1087" s="238"/>
      <c r="AD1087" s="292">
        <f>AD1089</f>
        <v>19062</v>
      </c>
      <c r="AE1087" s="476">
        <f>AE1089</f>
        <v>19747</v>
      </c>
      <c r="AF1087" s="476">
        <f>AF1089</f>
        <v>20478</v>
      </c>
      <c r="AG1087" s="554"/>
      <c r="AH1087" s="554"/>
      <c r="AI1087" s="456"/>
    </row>
    <row r="1088" spans="1:35" ht="47.25" x14ac:dyDescent="0.25">
      <c r="A1088" s="237"/>
      <c r="B1088" s="237"/>
      <c r="C1088" s="237"/>
      <c r="D1088" s="237"/>
      <c r="E1088" s="237"/>
      <c r="F1088" s="237"/>
      <c r="G1088" s="237"/>
      <c r="H1088" s="237"/>
      <c r="I1088" s="237"/>
      <c r="J1088" s="237"/>
      <c r="K1088" s="237"/>
      <c r="L1088" s="237"/>
      <c r="M1088" s="237"/>
      <c r="N1088" s="237"/>
      <c r="O1088" s="237"/>
      <c r="P1088" s="237"/>
      <c r="R1088" s="237"/>
      <c r="S1088" s="237"/>
      <c r="W1088" s="237"/>
      <c r="X1088" s="549" t="s">
        <v>2077</v>
      </c>
      <c r="Y1088" s="246" t="s">
        <v>1741</v>
      </c>
      <c r="Z1088" s="235">
        <v>10</v>
      </c>
      <c r="AA1088" s="235" t="s">
        <v>193</v>
      </c>
      <c r="AB1088" s="443" t="s">
        <v>2078</v>
      </c>
      <c r="AC1088" s="238"/>
      <c r="AD1088" s="292">
        <f>AD1089</f>
        <v>19062</v>
      </c>
      <c r="AE1088" s="476">
        <f>AE1089</f>
        <v>19747</v>
      </c>
      <c r="AF1088" s="476">
        <f>AF1089</f>
        <v>20478</v>
      </c>
      <c r="AG1088" s="554"/>
      <c r="AH1088" s="554"/>
      <c r="AI1088" s="456"/>
    </row>
    <row r="1089" spans="1:35" x14ac:dyDescent="0.25">
      <c r="A1089" s="237"/>
      <c r="B1089" s="237"/>
      <c r="C1089" s="237"/>
      <c r="D1089" s="237"/>
      <c r="E1089" s="237"/>
      <c r="F1089" s="237"/>
      <c r="G1089" s="237"/>
      <c r="H1089" s="237"/>
      <c r="I1089" s="237"/>
      <c r="J1089" s="237"/>
      <c r="K1089" s="237"/>
      <c r="L1089" s="237"/>
      <c r="M1089" s="237"/>
      <c r="N1089" s="237"/>
      <c r="O1089" s="237"/>
      <c r="P1089" s="237"/>
      <c r="R1089" s="237"/>
      <c r="S1089" s="237"/>
      <c r="W1089" s="237"/>
      <c r="X1089" s="532" t="s">
        <v>1784</v>
      </c>
      <c r="Y1089" s="246" t="s">
        <v>1741</v>
      </c>
      <c r="Z1089" s="235">
        <v>10</v>
      </c>
      <c r="AA1089" s="235" t="s">
        <v>193</v>
      </c>
      <c r="AB1089" s="443" t="s">
        <v>2079</v>
      </c>
      <c r="AC1089" s="238"/>
      <c r="AD1089" s="292">
        <f>AD1090+AD1092</f>
        <v>19062</v>
      </c>
      <c r="AE1089" s="476">
        <f>AE1090+AE1092</f>
        <v>19747</v>
      </c>
      <c r="AF1089" s="476">
        <f>AF1090+AF1092</f>
        <v>20478</v>
      </c>
      <c r="AG1089" s="554"/>
      <c r="AH1089" s="554"/>
      <c r="AI1089" s="456"/>
    </row>
    <row r="1090" spans="1:35" x14ac:dyDescent="0.25">
      <c r="A1090" s="237"/>
      <c r="B1090" s="237"/>
      <c r="C1090" s="237"/>
      <c r="D1090" s="237"/>
      <c r="E1090" s="237"/>
      <c r="F1090" s="237"/>
      <c r="G1090" s="237"/>
      <c r="H1090" s="237"/>
      <c r="I1090" s="237"/>
      <c r="J1090" s="237"/>
      <c r="K1090" s="237"/>
      <c r="L1090" s="237"/>
      <c r="M1090" s="237"/>
      <c r="N1090" s="237"/>
      <c r="O1090" s="237"/>
      <c r="P1090" s="237"/>
      <c r="R1090" s="237"/>
      <c r="S1090" s="237"/>
      <c r="W1090" s="237"/>
      <c r="X1090" s="520" t="s">
        <v>1782</v>
      </c>
      <c r="Y1090" s="246" t="s">
        <v>1741</v>
      </c>
      <c r="Z1090" s="235">
        <v>10</v>
      </c>
      <c r="AA1090" s="235" t="s">
        <v>193</v>
      </c>
      <c r="AB1090" s="443" t="s">
        <v>2079</v>
      </c>
      <c r="AC1090" s="238">
        <v>200</v>
      </c>
      <c r="AD1090" s="292">
        <f>AD1091</f>
        <v>153.5</v>
      </c>
      <c r="AE1090" s="476">
        <f>AE1091</f>
        <v>167</v>
      </c>
      <c r="AF1090" s="476">
        <f>AF1091</f>
        <v>170</v>
      </c>
      <c r="AG1090" s="554"/>
      <c r="AH1090" s="554"/>
      <c r="AI1090" s="456"/>
    </row>
    <row r="1091" spans="1:35" ht="31.5" x14ac:dyDescent="0.25">
      <c r="X1091" s="520" t="s">
        <v>1274</v>
      </c>
      <c r="Y1091" s="246" t="s">
        <v>1741</v>
      </c>
      <c r="Z1091" s="235">
        <v>10</v>
      </c>
      <c r="AA1091" s="235" t="s">
        <v>193</v>
      </c>
      <c r="AB1091" s="443" t="s">
        <v>2079</v>
      </c>
      <c r="AC1091" s="238">
        <v>240</v>
      </c>
      <c r="AD1091" s="292">
        <v>153.5</v>
      </c>
      <c r="AE1091" s="476">
        <v>167</v>
      </c>
      <c r="AF1091" s="476">
        <v>170</v>
      </c>
      <c r="AG1091" s="554"/>
      <c r="AH1091" s="554"/>
      <c r="AI1091" s="456"/>
    </row>
    <row r="1092" spans="1:35" x14ac:dyDescent="0.25">
      <c r="X1092" s="520" t="s">
        <v>1755</v>
      </c>
      <c r="Y1092" s="246" t="s">
        <v>1741</v>
      </c>
      <c r="Z1092" s="235">
        <v>10</v>
      </c>
      <c r="AA1092" s="235" t="s">
        <v>193</v>
      </c>
      <c r="AB1092" s="443" t="s">
        <v>2079</v>
      </c>
      <c r="AC1092" s="238">
        <v>300</v>
      </c>
      <c r="AD1092" s="292">
        <f>AD1093</f>
        <v>18908.5</v>
      </c>
      <c r="AE1092" s="476">
        <f>AE1093</f>
        <v>19580</v>
      </c>
      <c r="AF1092" s="476">
        <f>AF1093</f>
        <v>20308</v>
      </c>
      <c r="AG1092" s="554"/>
      <c r="AH1092" s="554"/>
      <c r="AI1092" s="456"/>
    </row>
    <row r="1093" spans="1:35" x14ac:dyDescent="0.25">
      <c r="X1093" s="520" t="s">
        <v>1805</v>
      </c>
      <c r="Y1093" s="246" t="s">
        <v>1741</v>
      </c>
      <c r="Z1093" s="235">
        <v>10</v>
      </c>
      <c r="AA1093" s="235" t="s">
        <v>193</v>
      </c>
      <c r="AB1093" s="443" t="s">
        <v>2079</v>
      </c>
      <c r="AC1093" s="238">
        <v>310</v>
      </c>
      <c r="AD1093" s="292">
        <v>18908.5</v>
      </c>
      <c r="AE1093" s="476">
        <v>19580</v>
      </c>
      <c r="AF1093" s="476">
        <v>20308</v>
      </c>
      <c r="AG1093" s="554"/>
      <c r="AH1093" s="554"/>
      <c r="AI1093" s="456"/>
    </row>
    <row r="1094" spans="1:35" x14ac:dyDescent="0.25">
      <c r="X1094" s="520" t="s">
        <v>605</v>
      </c>
      <c r="Y1094" s="246" t="s">
        <v>1741</v>
      </c>
      <c r="Z1094" s="235">
        <v>10</v>
      </c>
      <c r="AA1094" s="235" t="s">
        <v>1182</v>
      </c>
      <c r="AB1094" s="249"/>
      <c r="AC1094" s="238"/>
      <c r="AD1094" s="292">
        <f t="shared" ref="AD1094:AF1102" si="284">AD1095</f>
        <v>11104.3</v>
      </c>
      <c r="AE1094" s="476">
        <f t="shared" si="284"/>
        <v>9559</v>
      </c>
      <c r="AF1094" s="476">
        <f t="shared" si="284"/>
        <v>9562</v>
      </c>
      <c r="AG1094" s="554"/>
      <c r="AH1094" s="554"/>
      <c r="AI1094" s="456"/>
    </row>
    <row r="1095" spans="1:35" x14ac:dyDescent="0.25">
      <c r="X1095" s="549" t="s">
        <v>1891</v>
      </c>
      <c r="Y1095" s="246" t="s">
        <v>1741</v>
      </c>
      <c r="Z1095" s="235">
        <v>10</v>
      </c>
      <c r="AA1095" s="235" t="s">
        <v>1182</v>
      </c>
      <c r="AB1095" s="443" t="s">
        <v>1777</v>
      </c>
      <c r="AC1095" s="238"/>
      <c r="AD1095" s="292">
        <f t="shared" si="284"/>
        <v>11104.3</v>
      </c>
      <c r="AE1095" s="476">
        <f t="shared" si="284"/>
        <v>9559</v>
      </c>
      <c r="AF1095" s="476">
        <f t="shared" si="284"/>
        <v>9562</v>
      </c>
      <c r="AG1095" s="554"/>
      <c r="AH1095" s="554"/>
      <c r="AI1095" s="456"/>
    </row>
    <row r="1096" spans="1:35" x14ac:dyDescent="0.25">
      <c r="X1096" s="549" t="s">
        <v>1890</v>
      </c>
      <c r="Y1096" s="246" t="s">
        <v>1741</v>
      </c>
      <c r="Z1096" s="235">
        <v>10</v>
      </c>
      <c r="AA1096" s="235" t="s">
        <v>1182</v>
      </c>
      <c r="AB1096" s="443" t="s">
        <v>1825</v>
      </c>
      <c r="AC1096" s="238"/>
      <c r="AD1096" s="292">
        <f t="shared" si="284"/>
        <v>11104.3</v>
      </c>
      <c r="AE1096" s="476">
        <f t="shared" si="284"/>
        <v>9559</v>
      </c>
      <c r="AF1096" s="476">
        <f t="shared" si="284"/>
        <v>9562</v>
      </c>
      <c r="AG1096" s="554"/>
      <c r="AH1096" s="554"/>
      <c r="AI1096" s="456"/>
    </row>
    <row r="1097" spans="1:35" ht="47.25" x14ac:dyDescent="0.25">
      <c r="X1097" s="549" t="s">
        <v>1887</v>
      </c>
      <c r="Y1097" s="246" t="s">
        <v>1741</v>
      </c>
      <c r="Z1097" s="235">
        <v>10</v>
      </c>
      <c r="AA1097" s="235" t="s">
        <v>1182</v>
      </c>
      <c r="AB1097" s="443" t="s">
        <v>1824</v>
      </c>
      <c r="AC1097" s="238"/>
      <c r="AD1097" s="292">
        <f>AD1101+AD1098</f>
        <v>11104.3</v>
      </c>
      <c r="AE1097" s="476">
        <f>AE1101+AE1098</f>
        <v>9559</v>
      </c>
      <c r="AF1097" s="476">
        <f>AF1101+AF1098</f>
        <v>9562</v>
      </c>
      <c r="AG1097" s="554"/>
      <c r="AH1097" s="554"/>
      <c r="AI1097" s="456"/>
    </row>
    <row r="1098" spans="1:35" x14ac:dyDescent="0.25">
      <c r="X1098" s="723" t="s">
        <v>2359</v>
      </c>
      <c r="Y1098" s="246" t="s">
        <v>1741</v>
      </c>
      <c r="Z1098" s="235">
        <v>10</v>
      </c>
      <c r="AA1098" s="235" t="s">
        <v>1182</v>
      </c>
      <c r="AB1098" s="443" t="s">
        <v>2360</v>
      </c>
      <c r="AC1098" s="238"/>
      <c r="AD1098" s="292">
        <f t="shared" ref="AD1098:AF1099" si="285">AD1099</f>
        <v>1352.3999999999999</v>
      </c>
      <c r="AE1098" s="476">
        <f t="shared" si="285"/>
        <v>0</v>
      </c>
      <c r="AF1098" s="476">
        <f t="shared" si="285"/>
        <v>0</v>
      </c>
      <c r="AG1098" s="554"/>
      <c r="AH1098" s="554"/>
      <c r="AI1098" s="456"/>
    </row>
    <row r="1099" spans="1:35" x14ac:dyDescent="0.25">
      <c r="X1099" s="520" t="s">
        <v>1755</v>
      </c>
      <c r="Y1099" s="246" t="s">
        <v>1741</v>
      </c>
      <c r="Z1099" s="235">
        <v>10</v>
      </c>
      <c r="AA1099" s="235" t="s">
        <v>1182</v>
      </c>
      <c r="AB1099" s="443" t="s">
        <v>2360</v>
      </c>
      <c r="AC1099" s="238">
        <v>300</v>
      </c>
      <c r="AD1099" s="292">
        <f t="shared" si="285"/>
        <v>1352.3999999999999</v>
      </c>
      <c r="AE1099" s="476">
        <f t="shared" si="285"/>
        <v>0</v>
      </c>
      <c r="AF1099" s="476">
        <f t="shared" si="285"/>
        <v>0</v>
      </c>
      <c r="AG1099" s="554"/>
      <c r="AH1099" s="554"/>
      <c r="AI1099" s="456"/>
    </row>
    <row r="1100" spans="1:35" x14ac:dyDescent="0.25">
      <c r="X1100" s="520" t="s">
        <v>444</v>
      </c>
      <c r="Y1100" s="246" t="s">
        <v>1741</v>
      </c>
      <c r="Z1100" s="235">
        <v>10</v>
      </c>
      <c r="AA1100" s="235" t="s">
        <v>1182</v>
      </c>
      <c r="AB1100" s="443" t="s">
        <v>2360</v>
      </c>
      <c r="AC1100" s="238">
        <v>320</v>
      </c>
      <c r="AD1100" s="292">
        <f>1383.6-31.2</f>
        <v>1352.3999999999999</v>
      </c>
      <c r="AE1100" s="476">
        <v>0</v>
      </c>
      <c r="AF1100" s="476">
        <v>0</v>
      </c>
      <c r="AG1100" s="554"/>
      <c r="AH1100" s="554"/>
      <c r="AI1100" s="456"/>
    </row>
    <row r="1101" spans="1:35" x14ac:dyDescent="0.25">
      <c r="X1101" s="549" t="s">
        <v>1888</v>
      </c>
      <c r="Y1101" s="246" t="s">
        <v>1741</v>
      </c>
      <c r="Z1101" s="235">
        <v>10</v>
      </c>
      <c r="AA1101" s="235" t="s">
        <v>1182</v>
      </c>
      <c r="AB1101" s="443" t="s">
        <v>1889</v>
      </c>
      <c r="AC1101" s="238"/>
      <c r="AD1101" s="292">
        <f t="shared" si="284"/>
        <v>9751.9</v>
      </c>
      <c r="AE1101" s="476">
        <f t="shared" si="284"/>
        <v>9559</v>
      </c>
      <c r="AF1101" s="476">
        <f t="shared" si="284"/>
        <v>9562</v>
      </c>
      <c r="AG1101" s="554"/>
      <c r="AH1101" s="554"/>
      <c r="AI1101" s="456"/>
    </row>
    <row r="1102" spans="1:35" x14ac:dyDescent="0.25">
      <c r="X1102" s="520" t="s">
        <v>1755</v>
      </c>
      <c r="Y1102" s="246" t="s">
        <v>1741</v>
      </c>
      <c r="Z1102" s="235">
        <v>10</v>
      </c>
      <c r="AA1102" s="235" t="s">
        <v>1182</v>
      </c>
      <c r="AB1102" s="443" t="s">
        <v>1889</v>
      </c>
      <c r="AC1102" s="238">
        <v>300</v>
      </c>
      <c r="AD1102" s="292">
        <f t="shared" si="284"/>
        <v>9751.9</v>
      </c>
      <c r="AE1102" s="476">
        <f t="shared" si="284"/>
        <v>9559</v>
      </c>
      <c r="AF1102" s="476">
        <f t="shared" si="284"/>
        <v>9562</v>
      </c>
      <c r="AG1102" s="554"/>
      <c r="AH1102" s="554"/>
      <c r="AI1102" s="456"/>
    </row>
    <row r="1103" spans="1:35" x14ac:dyDescent="0.25">
      <c r="X1103" s="520" t="s">
        <v>444</v>
      </c>
      <c r="Y1103" s="246" t="s">
        <v>1741</v>
      </c>
      <c r="Z1103" s="235">
        <v>10</v>
      </c>
      <c r="AA1103" s="235" t="s">
        <v>1182</v>
      </c>
      <c r="AB1103" s="443" t="s">
        <v>1889</v>
      </c>
      <c r="AC1103" s="238">
        <v>320</v>
      </c>
      <c r="AD1103" s="292">
        <f>5288.2+4397.1-893.7-743.1+743.2+893.7+35.3+31.2</f>
        <v>9751.9</v>
      </c>
      <c r="AE1103" s="476">
        <f>5282+4277</f>
        <v>9559</v>
      </c>
      <c r="AF1103" s="476">
        <f>5275+4287</f>
        <v>9562</v>
      </c>
      <c r="AG1103" s="554"/>
      <c r="AH1103" s="554"/>
      <c r="AI1103" s="456"/>
    </row>
    <row r="1104" spans="1:35" x14ac:dyDescent="0.25">
      <c r="X1104" s="559" t="s">
        <v>282</v>
      </c>
      <c r="Y1104" s="575" t="s">
        <v>1741</v>
      </c>
      <c r="Z1104" s="263">
        <v>11</v>
      </c>
      <c r="AA1104" s="235"/>
      <c r="AB1104" s="443"/>
      <c r="AC1104" s="238"/>
      <c r="AD1104" s="745">
        <f t="shared" ref="AD1104:AD1110" si="286">AD1105</f>
        <v>5100</v>
      </c>
      <c r="AE1104" s="479">
        <f t="shared" ref="AE1104:AF1110" si="287">AE1105</f>
        <v>0</v>
      </c>
      <c r="AF1104" s="479">
        <f t="shared" si="287"/>
        <v>0</v>
      </c>
      <c r="AG1104" s="554"/>
      <c r="AH1104" s="554"/>
      <c r="AI1104" s="456"/>
    </row>
    <row r="1105" spans="1:35" x14ac:dyDescent="0.25">
      <c r="X1105" s="520" t="s">
        <v>758</v>
      </c>
      <c r="Y1105" s="246" t="s">
        <v>1741</v>
      </c>
      <c r="Z1105" s="235">
        <v>11</v>
      </c>
      <c r="AA1105" s="235" t="s">
        <v>567</v>
      </c>
      <c r="AB1105" s="443"/>
      <c r="AC1105" s="584"/>
      <c r="AD1105" s="292">
        <f t="shared" si="286"/>
        <v>5100</v>
      </c>
      <c r="AE1105" s="476">
        <f t="shared" si="287"/>
        <v>0</v>
      </c>
      <c r="AF1105" s="476">
        <f t="shared" si="287"/>
        <v>0</v>
      </c>
      <c r="AG1105" s="554"/>
      <c r="AH1105" s="554"/>
      <c r="AI1105" s="456"/>
    </row>
    <row r="1106" spans="1:35" x14ac:dyDescent="0.25">
      <c r="X1106" s="521" t="s">
        <v>1847</v>
      </c>
      <c r="Y1106" s="246" t="s">
        <v>1741</v>
      </c>
      <c r="Z1106" s="235">
        <v>11</v>
      </c>
      <c r="AA1106" s="235" t="s">
        <v>567</v>
      </c>
      <c r="AB1106" s="443" t="s">
        <v>1776</v>
      </c>
      <c r="AC1106" s="584"/>
      <c r="AD1106" s="292">
        <f t="shared" si="286"/>
        <v>5100</v>
      </c>
      <c r="AE1106" s="476">
        <f t="shared" si="287"/>
        <v>0</v>
      </c>
      <c r="AF1106" s="476">
        <f t="shared" si="287"/>
        <v>0</v>
      </c>
      <c r="AG1106" s="554"/>
      <c r="AH1106" s="554"/>
      <c r="AI1106" s="456"/>
    </row>
    <row r="1107" spans="1:35" x14ac:dyDescent="0.25">
      <c r="X1107" s="521" t="s">
        <v>1848</v>
      </c>
      <c r="Y1107" s="246" t="s">
        <v>1741</v>
      </c>
      <c r="Z1107" s="235">
        <v>11</v>
      </c>
      <c r="AA1107" s="235" t="s">
        <v>567</v>
      </c>
      <c r="AB1107" s="443" t="s">
        <v>1781</v>
      </c>
      <c r="AC1107" s="584"/>
      <c r="AD1107" s="292">
        <f t="shared" si="286"/>
        <v>5100</v>
      </c>
      <c r="AE1107" s="476">
        <f t="shared" si="287"/>
        <v>0</v>
      </c>
      <c r="AF1107" s="476">
        <f t="shared" si="287"/>
        <v>0</v>
      </c>
      <c r="AG1107" s="554"/>
      <c r="AH1107" s="554"/>
      <c r="AI1107" s="456"/>
    </row>
    <row r="1108" spans="1:35" ht="31.5" x14ac:dyDescent="0.25">
      <c r="X1108" s="521" t="s">
        <v>1849</v>
      </c>
      <c r="Y1108" s="246" t="s">
        <v>1741</v>
      </c>
      <c r="Z1108" s="235">
        <v>11</v>
      </c>
      <c r="AA1108" s="235" t="s">
        <v>567</v>
      </c>
      <c r="AB1108" s="443" t="s">
        <v>1800</v>
      </c>
      <c r="AC1108" s="584"/>
      <c r="AD1108" s="292">
        <f t="shared" si="286"/>
        <v>5100</v>
      </c>
      <c r="AE1108" s="476">
        <f t="shared" si="287"/>
        <v>0</v>
      </c>
      <c r="AF1108" s="476">
        <f t="shared" si="287"/>
        <v>0</v>
      </c>
      <c r="AG1108" s="554"/>
      <c r="AH1108" s="554"/>
      <c r="AI1108" s="456"/>
    </row>
    <row r="1109" spans="1:35" ht="36.6" customHeight="1" x14ac:dyDescent="0.25">
      <c r="X1109" s="553" t="s">
        <v>2439</v>
      </c>
      <c r="Y1109" s="246" t="s">
        <v>1741</v>
      </c>
      <c r="Z1109" s="235">
        <v>11</v>
      </c>
      <c r="AA1109" s="235" t="s">
        <v>567</v>
      </c>
      <c r="AB1109" s="443" t="s">
        <v>2354</v>
      </c>
      <c r="AC1109" s="584"/>
      <c r="AD1109" s="292">
        <f t="shared" si="286"/>
        <v>5100</v>
      </c>
      <c r="AE1109" s="476">
        <f t="shared" si="287"/>
        <v>0</v>
      </c>
      <c r="AF1109" s="476">
        <f t="shared" si="287"/>
        <v>0</v>
      </c>
      <c r="AG1109" s="554"/>
      <c r="AH1109" s="554"/>
      <c r="AI1109" s="456"/>
    </row>
    <row r="1110" spans="1:35" x14ac:dyDescent="0.25">
      <c r="X1110" s="520" t="s">
        <v>1782</v>
      </c>
      <c r="Y1110" s="246" t="s">
        <v>1741</v>
      </c>
      <c r="Z1110" s="235">
        <v>11</v>
      </c>
      <c r="AA1110" s="235" t="s">
        <v>567</v>
      </c>
      <c r="AB1110" s="443" t="s">
        <v>2354</v>
      </c>
      <c r="AC1110" s="238">
        <v>200</v>
      </c>
      <c r="AD1110" s="292">
        <f t="shared" si="286"/>
        <v>5100</v>
      </c>
      <c r="AE1110" s="476">
        <f t="shared" si="287"/>
        <v>0</v>
      </c>
      <c r="AF1110" s="476">
        <f t="shared" si="287"/>
        <v>0</v>
      </c>
      <c r="AG1110" s="554"/>
      <c r="AH1110" s="554"/>
      <c r="AI1110" s="456"/>
    </row>
    <row r="1111" spans="1:35" ht="31.5" x14ac:dyDescent="0.25">
      <c r="X1111" s="520" t="s">
        <v>1274</v>
      </c>
      <c r="Y1111" s="246" t="s">
        <v>1741</v>
      </c>
      <c r="Z1111" s="235">
        <v>11</v>
      </c>
      <c r="AA1111" s="235" t="s">
        <v>567</v>
      </c>
      <c r="AB1111" s="443" t="s">
        <v>2354</v>
      </c>
      <c r="AC1111" s="238">
        <v>240</v>
      </c>
      <c r="AD1111" s="292">
        <f>6000-900</f>
        <v>5100</v>
      </c>
      <c r="AE1111" s="476">
        <v>0</v>
      </c>
      <c r="AF1111" s="476">
        <v>0</v>
      </c>
      <c r="AG1111" s="554"/>
      <c r="AH1111" s="554"/>
      <c r="AI1111" s="456"/>
    </row>
    <row r="1112" spans="1:35" s="363" customFormat="1" ht="18.75" x14ac:dyDescent="0.3">
      <c r="A1112" s="424"/>
      <c r="B1112" s="425"/>
      <c r="C1112" s="426"/>
      <c r="D1112" s="426"/>
      <c r="E1112" s="426"/>
      <c r="F1112" s="426"/>
      <c r="G1112" s="426"/>
      <c r="I1112" s="427"/>
      <c r="J1112" s="427"/>
      <c r="K1112" s="427"/>
      <c r="L1112" s="427"/>
      <c r="M1112" s="427"/>
      <c r="N1112" s="427"/>
      <c r="O1112" s="428"/>
      <c r="P1112" s="429"/>
      <c r="R1112" s="430"/>
      <c r="S1112" s="431"/>
      <c r="W1112" s="367"/>
      <c r="X1112" s="559" t="s">
        <v>1829</v>
      </c>
      <c r="Y1112" s="575">
        <v>904</v>
      </c>
      <c r="Z1112" s="264"/>
      <c r="AA1112" s="236"/>
      <c r="AB1112" s="249"/>
      <c r="AC1112" s="594"/>
      <c r="AD1112" s="745">
        <f>AD1113+AD1143</f>
        <v>7863.5</v>
      </c>
      <c r="AE1112" s="479">
        <f>AE1113+AE1143</f>
        <v>7806.7</v>
      </c>
      <c r="AF1112" s="479">
        <f>AF1113+AF1143</f>
        <v>7806.7</v>
      </c>
      <c r="AG1112" s="647"/>
      <c r="AH1112" s="647"/>
      <c r="AI1112" s="456"/>
    </row>
    <row r="1113" spans="1:35" s="363" customFormat="1" x14ac:dyDescent="0.25">
      <c r="A1113" s="424"/>
      <c r="B1113" s="425"/>
      <c r="C1113" s="426"/>
      <c r="D1113" s="426"/>
      <c r="E1113" s="426"/>
      <c r="F1113" s="426"/>
      <c r="G1113" s="426"/>
      <c r="I1113" s="427"/>
      <c r="J1113" s="427"/>
      <c r="K1113" s="427"/>
      <c r="L1113" s="427"/>
      <c r="M1113" s="427"/>
      <c r="N1113" s="427"/>
      <c r="O1113" s="428"/>
      <c r="P1113" s="429"/>
      <c r="R1113" s="430"/>
      <c r="S1113" s="431"/>
      <c r="W1113" s="367"/>
      <c r="X1113" s="559" t="s">
        <v>482</v>
      </c>
      <c r="Y1113" s="575">
        <v>904</v>
      </c>
      <c r="Z1113" s="262" t="s">
        <v>566</v>
      </c>
      <c r="AA1113" s="248"/>
      <c r="AB1113" s="271"/>
      <c r="AC1113" s="576"/>
      <c r="AD1113" s="745">
        <f>AD1114</f>
        <v>7348.2</v>
      </c>
      <c r="AE1113" s="479">
        <f>AE1114</f>
        <v>7291.4</v>
      </c>
      <c r="AF1113" s="479">
        <f>AF1114</f>
        <v>7291.4</v>
      </c>
      <c r="AG1113" s="647"/>
      <c r="AH1113" s="647"/>
      <c r="AI1113" s="456"/>
    </row>
    <row r="1114" spans="1:35" s="363" customFormat="1" ht="31.5" x14ac:dyDescent="0.25">
      <c r="A1114" s="424"/>
      <c r="B1114" s="425"/>
      <c r="C1114" s="426"/>
      <c r="D1114" s="426"/>
      <c r="E1114" s="426"/>
      <c r="F1114" s="426"/>
      <c r="G1114" s="426"/>
      <c r="I1114" s="427"/>
      <c r="J1114" s="427"/>
      <c r="K1114" s="427"/>
      <c r="L1114" s="427"/>
      <c r="M1114" s="427"/>
      <c r="N1114" s="427"/>
      <c r="O1114" s="428"/>
      <c r="P1114" s="429"/>
      <c r="R1114" s="430"/>
      <c r="S1114" s="431"/>
      <c r="W1114" s="367"/>
      <c r="X1114" s="520" t="s">
        <v>1470</v>
      </c>
      <c r="Y1114" s="246">
        <v>904</v>
      </c>
      <c r="Z1114" s="235" t="s">
        <v>566</v>
      </c>
      <c r="AA1114" s="235" t="s">
        <v>1747</v>
      </c>
      <c r="AB1114" s="271"/>
      <c r="AC1114" s="576"/>
      <c r="AD1114" s="292">
        <f>AD1127+AD1121+AD1115</f>
        <v>7348.2</v>
      </c>
      <c r="AE1114" s="476">
        <f>AE1127+AE1121+AE1115</f>
        <v>7291.4</v>
      </c>
      <c r="AF1114" s="476">
        <f>AF1127+AF1121+AF1115</f>
        <v>7291.4</v>
      </c>
      <c r="AG1114" s="554"/>
      <c r="AH1114" s="554"/>
      <c r="AI1114" s="456"/>
    </row>
    <row r="1115" spans="1:35" s="363" customFormat="1" x14ac:dyDescent="0.25">
      <c r="A1115" s="424"/>
      <c r="B1115" s="425"/>
      <c r="C1115" s="426"/>
      <c r="D1115" s="426"/>
      <c r="E1115" s="426"/>
      <c r="F1115" s="426"/>
      <c r="G1115" s="426"/>
      <c r="I1115" s="427"/>
      <c r="J1115" s="427"/>
      <c r="K1115" s="427"/>
      <c r="L1115" s="427"/>
      <c r="M1115" s="427"/>
      <c r="N1115" s="427"/>
      <c r="O1115" s="428"/>
      <c r="P1115" s="429"/>
      <c r="R1115" s="430"/>
      <c r="S1115" s="431"/>
      <c r="W1115" s="367"/>
      <c r="X1115" s="521" t="s">
        <v>1999</v>
      </c>
      <c r="Y1115" s="246">
        <v>904</v>
      </c>
      <c r="Z1115" s="235" t="s">
        <v>566</v>
      </c>
      <c r="AA1115" s="235" t="s">
        <v>1747</v>
      </c>
      <c r="AB1115" s="443" t="s">
        <v>1775</v>
      </c>
      <c r="AC1115" s="577"/>
      <c r="AD1115" s="292">
        <f t="shared" ref="AD1115:AF1116" si="288">AD1116</f>
        <v>56.8</v>
      </c>
      <c r="AE1115" s="476">
        <f t="shared" si="288"/>
        <v>0</v>
      </c>
      <c r="AF1115" s="476">
        <f t="shared" si="288"/>
        <v>0</v>
      </c>
      <c r="AG1115" s="554"/>
      <c r="AH1115" s="554"/>
      <c r="AI1115" s="456"/>
    </row>
    <row r="1116" spans="1:35" s="363" customFormat="1" x14ac:dyDescent="0.25">
      <c r="A1116" s="424"/>
      <c r="B1116" s="425"/>
      <c r="C1116" s="426"/>
      <c r="D1116" s="426"/>
      <c r="E1116" s="426"/>
      <c r="F1116" s="426"/>
      <c r="G1116" s="426"/>
      <c r="I1116" s="427"/>
      <c r="J1116" s="427"/>
      <c r="K1116" s="427"/>
      <c r="L1116" s="427"/>
      <c r="M1116" s="427"/>
      <c r="N1116" s="427"/>
      <c r="O1116" s="428"/>
      <c r="P1116" s="429"/>
      <c r="R1116" s="430"/>
      <c r="S1116" s="431"/>
      <c r="W1116" s="367"/>
      <c r="X1116" s="518" t="s">
        <v>2340</v>
      </c>
      <c r="Y1116" s="246">
        <v>904</v>
      </c>
      <c r="Z1116" s="235" t="s">
        <v>566</v>
      </c>
      <c r="AA1116" s="235" t="s">
        <v>1747</v>
      </c>
      <c r="AB1116" s="443" t="s">
        <v>1802</v>
      </c>
      <c r="AC1116" s="577"/>
      <c r="AD1116" s="292">
        <f t="shared" si="288"/>
        <v>56.8</v>
      </c>
      <c r="AE1116" s="476">
        <f t="shared" si="288"/>
        <v>0</v>
      </c>
      <c r="AF1116" s="476">
        <f t="shared" si="288"/>
        <v>0</v>
      </c>
      <c r="AG1116" s="554"/>
      <c r="AH1116" s="554"/>
      <c r="AI1116" s="456"/>
    </row>
    <row r="1117" spans="1:35" s="363" customFormat="1" ht="31.5" x14ac:dyDescent="0.25">
      <c r="A1117" s="424"/>
      <c r="B1117" s="425"/>
      <c r="C1117" s="426"/>
      <c r="D1117" s="426"/>
      <c r="E1117" s="426"/>
      <c r="F1117" s="426"/>
      <c r="G1117" s="426"/>
      <c r="I1117" s="427"/>
      <c r="J1117" s="427"/>
      <c r="K1117" s="427"/>
      <c r="L1117" s="427"/>
      <c r="M1117" s="427"/>
      <c r="N1117" s="427"/>
      <c r="O1117" s="428"/>
      <c r="P1117" s="429"/>
      <c r="R1117" s="430"/>
      <c r="S1117" s="431"/>
      <c r="W1117" s="367"/>
      <c r="X1117" s="522" t="s">
        <v>2015</v>
      </c>
      <c r="Y1117" s="246">
        <v>904</v>
      </c>
      <c r="Z1117" s="235" t="s">
        <v>566</v>
      </c>
      <c r="AA1117" s="235" t="s">
        <v>1747</v>
      </c>
      <c r="AB1117" s="443" t="s">
        <v>1803</v>
      </c>
      <c r="AC1117" s="577"/>
      <c r="AD1117" s="292">
        <f t="shared" ref="AD1117:AF1118" si="289">AD1118</f>
        <v>56.8</v>
      </c>
      <c r="AE1117" s="476">
        <f t="shared" si="289"/>
        <v>0</v>
      </c>
      <c r="AF1117" s="476">
        <f t="shared" si="289"/>
        <v>0</v>
      </c>
      <c r="AG1117" s="554"/>
      <c r="AH1117" s="554"/>
      <c r="AI1117" s="456"/>
    </row>
    <row r="1118" spans="1:35" s="363" customFormat="1" x14ac:dyDescent="0.25">
      <c r="A1118" s="424"/>
      <c r="B1118" s="425"/>
      <c r="C1118" s="426"/>
      <c r="D1118" s="426"/>
      <c r="E1118" s="426"/>
      <c r="F1118" s="426"/>
      <c r="G1118" s="426"/>
      <c r="I1118" s="427"/>
      <c r="J1118" s="427"/>
      <c r="K1118" s="427"/>
      <c r="L1118" s="427"/>
      <c r="M1118" s="427"/>
      <c r="N1118" s="427"/>
      <c r="O1118" s="428"/>
      <c r="P1118" s="429"/>
      <c r="R1118" s="430"/>
      <c r="S1118" s="431"/>
      <c r="W1118" s="367"/>
      <c r="X1118" s="522" t="s">
        <v>2016</v>
      </c>
      <c r="Y1118" s="246">
        <v>904</v>
      </c>
      <c r="Z1118" s="235" t="s">
        <v>566</v>
      </c>
      <c r="AA1118" s="235" t="s">
        <v>1747</v>
      </c>
      <c r="AB1118" s="443" t="s">
        <v>2017</v>
      </c>
      <c r="AC1118" s="577"/>
      <c r="AD1118" s="292">
        <f t="shared" si="289"/>
        <v>56.8</v>
      </c>
      <c r="AE1118" s="476">
        <f t="shared" si="289"/>
        <v>0</v>
      </c>
      <c r="AF1118" s="476">
        <f t="shared" si="289"/>
        <v>0</v>
      </c>
      <c r="AG1118" s="554"/>
      <c r="AH1118" s="554"/>
      <c r="AI1118" s="456"/>
    </row>
    <row r="1119" spans="1:35" s="363" customFormat="1" x14ac:dyDescent="0.25">
      <c r="A1119" s="424"/>
      <c r="B1119" s="425"/>
      <c r="C1119" s="426"/>
      <c r="D1119" s="426"/>
      <c r="E1119" s="426"/>
      <c r="F1119" s="426"/>
      <c r="G1119" s="426"/>
      <c r="I1119" s="427"/>
      <c r="J1119" s="427"/>
      <c r="K1119" s="427"/>
      <c r="L1119" s="427"/>
      <c r="M1119" s="427"/>
      <c r="N1119" s="427"/>
      <c r="O1119" s="428"/>
      <c r="P1119" s="429"/>
      <c r="R1119" s="430"/>
      <c r="S1119" s="431"/>
      <c r="W1119" s="367"/>
      <c r="X1119" s="520" t="s">
        <v>1782</v>
      </c>
      <c r="Y1119" s="246">
        <v>904</v>
      </c>
      <c r="Z1119" s="235" t="s">
        <v>566</v>
      </c>
      <c r="AA1119" s="235" t="s">
        <v>1747</v>
      </c>
      <c r="AB1119" s="443" t="s">
        <v>2017</v>
      </c>
      <c r="AC1119" s="238">
        <v>200</v>
      </c>
      <c r="AD1119" s="292">
        <f>AD1120</f>
        <v>56.8</v>
      </c>
      <c r="AE1119" s="476">
        <f>AE1120</f>
        <v>0</v>
      </c>
      <c r="AF1119" s="476">
        <f>AF1120</f>
        <v>0</v>
      </c>
      <c r="AG1119" s="554"/>
      <c r="AH1119" s="554"/>
      <c r="AI1119" s="456"/>
    </row>
    <row r="1120" spans="1:35" s="363" customFormat="1" ht="31.5" x14ac:dyDescent="0.25">
      <c r="A1120" s="424"/>
      <c r="B1120" s="425"/>
      <c r="C1120" s="426"/>
      <c r="D1120" s="426"/>
      <c r="E1120" s="426"/>
      <c r="F1120" s="426"/>
      <c r="G1120" s="426"/>
      <c r="I1120" s="427"/>
      <c r="J1120" s="427"/>
      <c r="K1120" s="427"/>
      <c r="L1120" s="427"/>
      <c r="M1120" s="427"/>
      <c r="N1120" s="427"/>
      <c r="O1120" s="428"/>
      <c r="P1120" s="429"/>
      <c r="R1120" s="430"/>
      <c r="S1120" s="431"/>
      <c r="W1120" s="367"/>
      <c r="X1120" s="520" t="s">
        <v>1274</v>
      </c>
      <c r="Y1120" s="246">
        <v>904</v>
      </c>
      <c r="Z1120" s="235" t="s">
        <v>566</v>
      </c>
      <c r="AA1120" s="235" t="s">
        <v>1747</v>
      </c>
      <c r="AB1120" s="443" t="s">
        <v>2017</v>
      </c>
      <c r="AC1120" s="577">
        <v>240</v>
      </c>
      <c r="AD1120" s="292">
        <v>56.8</v>
      </c>
      <c r="AE1120" s="476">
        <v>0</v>
      </c>
      <c r="AF1120" s="476">
        <v>0</v>
      </c>
      <c r="AG1120" s="554"/>
      <c r="AH1120" s="554"/>
      <c r="AI1120" s="456"/>
    </row>
    <row r="1121" spans="1:35" s="363" customFormat="1" ht="31.5" x14ac:dyDescent="0.25">
      <c r="A1121" s="424"/>
      <c r="B1121" s="425"/>
      <c r="C1121" s="426"/>
      <c r="D1121" s="426"/>
      <c r="E1121" s="426"/>
      <c r="F1121" s="426"/>
      <c r="G1121" s="426"/>
      <c r="I1121" s="427"/>
      <c r="J1121" s="427"/>
      <c r="K1121" s="427"/>
      <c r="L1121" s="427"/>
      <c r="M1121" s="427"/>
      <c r="N1121" s="427"/>
      <c r="O1121" s="428"/>
      <c r="P1121" s="429"/>
      <c r="R1121" s="430"/>
      <c r="S1121" s="431"/>
      <c r="W1121" s="367"/>
      <c r="X1121" s="521" t="s">
        <v>2104</v>
      </c>
      <c r="Y1121" s="246">
        <v>904</v>
      </c>
      <c r="Z1121" s="235" t="s">
        <v>566</v>
      </c>
      <c r="AA1121" s="235" t="s">
        <v>1747</v>
      </c>
      <c r="AB1121" s="443" t="s">
        <v>1806</v>
      </c>
      <c r="AC1121" s="238"/>
      <c r="AD1121" s="292">
        <f t="shared" ref="AD1121:AF1125" si="290">AD1122</f>
        <v>4.5</v>
      </c>
      <c r="AE1121" s="476">
        <f t="shared" si="290"/>
        <v>4.5</v>
      </c>
      <c r="AF1121" s="476">
        <f t="shared" si="290"/>
        <v>4.5</v>
      </c>
      <c r="AG1121" s="554"/>
      <c r="AH1121" s="554"/>
      <c r="AI1121" s="456"/>
    </row>
    <row r="1122" spans="1:35" s="363" customFormat="1" ht="47.25" x14ac:dyDescent="0.25">
      <c r="A1122" s="424"/>
      <c r="B1122" s="425"/>
      <c r="C1122" s="426"/>
      <c r="D1122" s="426"/>
      <c r="E1122" s="426"/>
      <c r="F1122" s="426"/>
      <c r="G1122" s="426"/>
      <c r="I1122" s="427"/>
      <c r="J1122" s="427"/>
      <c r="K1122" s="427"/>
      <c r="L1122" s="427"/>
      <c r="M1122" s="427"/>
      <c r="N1122" s="427"/>
      <c r="O1122" s="428"/>
      <c r="P1122" s="429"/>
      <c r="R1122" s="430"/>
      <c r="S1122" s="431"/>
      <c r="W1122" s="367"/>
      <c r="X1122" s="521" t="s">
        <v>2105</v>
      </c>
      <c r="Y1122" s="246">
        <v>904</v>
      </c>
      <c r="Z1122" s="235" t="s">
        <v>566</v>
      </c>
      <c r="AA1122" s="235" t="s">
        <v>1747</v>
      </c>
      <c r="AB1122" s="443" t="s">
        <v>2106</v>
      </c>
      <c r="AC1122" s="238"/>
      <c r="AD1122" s="292">
        <f t="shared" si="290"/>
        <v>4.5</v>
      </c>
      <c r="AE1122" s="476">
        <f t="shared" si="290"/>
        <v>4.5</v>
      </c>
      <c r="AF1122" s="476">
        <f t="shared" si="290"/>
        <v>4.5</v>
      </c>
      <c r="AG1122" s="554"/>
      <c r="AH1122" s="554"/>
      <c r="AI1122" s="456"/>
    </row>
    <row r="1123" spans="1:35" s="363" customFormat="1" ht="31.5" x14ac:dyDescent="0.25">
      <c r="A1123" s="424"/>
      <c r="B1123" s="425"/>
      <c r="C1123" s="426"/>
      <c r="D1123" s="426"/>
      <c r="E1123" s="426"/>
      <c r="F1123" s="426"/>
      <c r="G1123" s="426"/>
      <c r="I1123" s="427"/>
      <c r="J1123" s="427"/>
      <c r="K1123" s="427"/>
      <c r="L1123" s="427"/>
      <c r="M1123" s="427"/>
      <c r="N1123" s="427"/>
      <c r="O1123" s="428"/>
      <c r="P1123" s="429"/>
      <c r="R1123" s="430"/>
      <c r="S1123" s="431"/>
      <c r="W1123" s="367"/>
      <c r="X1123" s="529" t="s">
        <v>2107</v>
      </c>
      <c r="Y1123" s="246">
        <v>904</v>
      </c>
      <c r="Z1123" s="235" t="s">
        <v>566</v>
      </c>
      <c r="AA1123" s="235" t="s">
        <v>1747</v>
      </c>
      <c r="AB1123" s="443" t="s">
        <v>2108</v>
      </c>
      <c r="AC1123" s="238"/>
      <c r="AD1123" s="292">
        <f t="shared" si="290"/>
        <v>4.5</v>
      </c>
      <c r="AE1123" s="476">
        <f t="shared" si="290"/>
        <v>4.5</v>
      </c>
      <c r="AF1123" s="476">
        <f t="shared" si="290"/>
        <v>4.5</v>
      </c>
      <c r="AG1123" s="554"/>
      <c r="AH1123" s="554"/>
      <c r="AI1123" s="456"/>
    </row>
    <row r="1124" spans="1:35" s="363" customFormat="1" ht="94.5" x14ac:dyDescent="0.25">
      <c r="A1124" s="424"/>
      <c r="B1124" s="425"/>
      <c r="C1124" s="426"/>
      <c r="D1124" s="426"/>
      <c r="E1124" s="426"/>
      <c r="F1124" s="426"/>
      <c r="G1124" s="426"/>
      <c r="I1124" s="427"/>
      <c r="J1124" s="427"/>
      <c r="K1124" s="427"/>
      <c r="L1124" s="427"/>
      <c r="M1124" s="427"/>
      <c r="N1124" s="427"/>
      <c r="O1124" s="428"/>
      <c r="P1124" s="429"/>
      <c r="R1124" s="430"/>
      <c r="S1124" s="431"/>
      <c r="W1124" s="367"/>
      <c r="X1124" s="529" t="s">
        <v>2244</v>
      </c>
      <c r="Y1124" s="246">
        <v>904</v>
      </c>
      <c r="Z1124" s="235" t="s">
        <v>566</v>
      </c>
      <c r="AA1124" s="235" t="s">
        <v>1747</v>
      </c>
      <c r="AB1124" s="472" t="s">
        <v>2109</v>
      </c>
      <c r="AC1124" s="238"/>
      <c r="AD1124" s="292">
        <f t="shared" si="290"/>
        <v>4.5</v>
      </c>
      <c r="AE1124" s="476">
        <f t="shared" si="290"/>
        <v>4.5</v>
      </c>
      <c r="AF1124" s="476">
        <f t="shared" si="290"/>
        <v>4.5</v>
      </c>
      <c r="AG1124" s="554"/>
      <c r="AH1124" s="554"/>
      <c r="AI1124" s="456"/>
    </row>
    <row r="1125" spans="1:35" s="363" customFormat="1" x14ac:dyDescent="0.25">
      <c r="A1125" s="424"/>
      <c r="B1125" s="425"/>
      <c r="C1125" s="426"/>
      <c r="D1125" s="426"/>
      <c r="E1125" s="426"/>
      <c r="F1125" s="426"/>
      <c r="G1125" s="426"/>
      <c r="I1125" s="427"/>
      <c r="J1125" s="427"/>
      <c r="K1125" s="427"/>
      <c r="L1125" s="427"/>
      <c r="M1125" s="427"/>
      <c r="N1125" s="427"/>
      <c r="O1125" s="428"/>
      <c r="P1125" s="429"/>
      <c r="R1125" s="430"/>
      <c r="S1125" s="431"/>
      <c r="W1125" s="367"/>
      <c r="X1125" s="520" t="s">
        <v>1782</v>
      </c>
      <c r="Y1125" s="246">
        <v>904</v>
      </c>
      <c r="Z1125" s="235" t="s">
        <v>566</v>
      </c>
      <c r="AA1125" s="235" t="s">
        <v>1747</v>
      </c>
      <c r="AB1125" s="472" t="s">
        <v>2109</v>
      </c>
      <c r="AC1125" s="238">
        <v>200</v>
      </c>
      <c r="AD1125" s="292">
        <f t="shared" si="290"/>
        <v>4.5</v>
      </c>
      <c r="AE1125" s="476">
        <f t="shared" si="290"/>
        <v>4.5</v>
      </c>
      <c r="AF1125" s="476">
        <f t="shared" si="290"/>
        <v>4.5</v>
      </c>
      <c r="AG1125" s="554"/>
      <c r="AH1125" s="554"/>
      <c r="AI1125" s="456"/>
    </row>
    <row r="1126" spans="1:35" s="363" customFormat="1" ht="31.5" x14ac:dyDescent="0.25">
      <c r="A1126" s="424"/>
      <c r="B1126" s="425"/>
      <c r="C1126" s="426"/>
      <c r="D1126" s="426"/>
      <c r="E1126" s="426"/>
      <c r="F1126" s="426"/>
      <c r="G1126" s="426"/>
      <c r="I1126" s="427"/>
      <c r="J1126" s="427"/>
      <c r="K1126" s="427"/>
      <c r="L1126" s="427"/>
      <c r="M1126" s="427"/>
      <c r="N1126" s="427"/>
      <c r="O1126" s="428"/>
      <c r="P1126" s="429"/>
      <c r="R1126" s="430"/>
      <c r="S1126" s="431"/>
      <c r="W1126" s="367"/>
      <c r="X1126" s="520" t="s">
        <v>1274</v>
      </c>
      <c r="Y1126" s="246">
        <v>904</v>
      </c>
      <c r="Z1126" s="235" t="s">
        <v>566</v>
      </c>
      <c r="AA1126" s="235" t="s">
        <v>1747</v>
      </c>
      <c r="AB1126" s="472" t="s">
        <v>2109</v>
      </c>
      <c r="AC1126" s="238">
        <v>240</v>
      </c>
      <c r="AD1126" s="292">
        <v>4.5</v>
      </c>
      <c r="AE1126" s="476">
        <v>4.5</v>
      </c>
      <c r="AF1126" s="476">
        <v>4.5</v>
      </c>
      <c r="AG1126" s="554"/>
      <c r="AH1126" s="554"/>
      <c r="AI1126" s="456"/>
    </row>
    <row r="1127" spans="1:35" ht="31.5" x14ac:dyDescent="0.25">
      <c r="X1127" s="549" t="s">
        <v>2049</v>
      </c>
      <c r="Y1127" s="246">
        <v>904</v>
      </c>
      <c r="Z1127" s="235" t="s">
        <v>566</v>
      </c>
      <c r="AA1127" s="235" t="s">
        <v>1747</v>
      </c>
      <c r="AB1127" s="443" t="s">
        <v>1757</v>
      </c>
      <c r="AC1127" s="238"/>
      <c r="AD1127" s="292">
        <f>AD1131+AD1128</f>
        <v>7286.9</v>
      </c>
      <c r="AE1127" s="476">
        <f>AE1131+AE1128</f>
        <v>7286.9</v>
      </c>
      <c r="AF1127" s="476">
        <f>AF1131+AF1128</f>
        <v>7286.9</v>
      </c>
      <c r="AG1127" s="554"/>
      <c r="AH1127" s="554"/>
      <c r="AI1127" s="456"/>
    </row>
    <row r="1128" spans="1:35" x14ac:dyDescent="0.25">
      <c r="X1128" s="532" t="s">
        <v>2046</v>
      </c>
      <c r="Y1128" s="246">
        <v>904</v>
      </c>
      <c r="Z1128" s="235" t="s">
        <v>566</v>
      </c>
      <c r="AA1128" s="235" t="s">
        <v>1747</v>
      </c>
      <c r="AB1128" s="443" t="s">
        <v>2056</v>
      </c>
      <c r="AC1128" s="594"/>
      <c r="AD1128" s="292">
        <f t="shared" ref="AD1128:AF1129" si="291">AD1129</f>
        <v>1968</v>
      </c>
      <c r="AE1128" s="476">
        <f t="shared" si="291"/>
        <v>1880</v>
      </c>
      <c r="AF1128" s="476">
        <f t="shared" si="291"/>
        <v>1880</v>
      </c>
      <c r="AG1128" s="554"/>
      <c r="AH1128" s="554"/>
      <c r="AI1128" s="456"/>
    </row>
    <row r="1129" spans="1:35" ht="47.25" x14ac:dyDescent="0.25">
      <c r="X1129" s="520" t="s">
        <v>922</v>
      </c>
      <c r="Y1129" s="246">
        <v>904</v>
      </c>
      <c r="Z1129" s="235" t="s">
        <v>566</v>
      </c>
      <c r="AA1129" s="235" t="s">
        <v>1747</v>
      </c>
      <c r="AB1129" s="443" t="s">
        <v>2056</v>
      </c>
      <c r="AC1129" s="238">
        <v>100</v>
      </c>
      <c r="AD1129" s="292">
        <f t="shared" si="291"/>
        <v>1968</v>
      </c>
      <c r="AE1129" s="476">
        <f t="shared" si="291"/>
        <v>1880</v>
      </c>
      <c r="AF1129" s="476">
        <f t="shared" si="291"/>
        <v>1880</v>
      </c>
      <c r="AG1129" s="554"/>
      <c r="AH1129" s="554"/>
      <c r="AI1129" s="456"/>
    </row>
    <row r="1130" spans="1:35" x14ac:dyDescent="0.25">
      <c r="X1130" s="520" t="s">
        <v>1748</v>
      </c>
      <c r="Y1130" s="246">
        <v>904</v>
      </c>
      <c r="Z1130" s="235" t="s">
        <v>566</v>
      </c>
      <c r="AA1130" s="235" t="s">
        <v>1747</v>
      </c>
      <c r="AB1130" s="443" t="s">
        <v>2056</v>
      </c>
      <c r="AC1130" s="238">
        <v>120</v>
      </c>
      <c r="AD1130" s="292">
        <f>1880+88</f>
        <v>1968</v>
      </c>
      <c r="AE1130" s="476">
        <v>1880</v>
      </c>
      <c r="AF1130" s="476">
        <v>1880</v>
      </c>
      <c r="AG1130" s="554"/>
      <c r="AH1130" s="554"/>
      <c r="AI1130" s="456"/>
    </row>
    <row r="1131" spans="1:35"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32" t="s">
        <v>2047</v>
      </c>
      <c r="Y1131" s="246">
        <v>904</v>
      </c>
      <c r="Z1131" s="235" t="s">
        <v>566</v>
      </c>
      <c r="AA1131" s="235" t="s">
        <v>1747</v>
      </c>
      <c r="AB1131" s="443" t="s">
        <v>2048</v>
      </c>
      <c r="AC1131" s="238"/>
      <c r="AD1131" s="292">
        <f>AD1132+AD1140+AD1137</f>
        <v>5318.9</v>
      </c>
      <c r="AE1131" s="476">
        <f>AE1132+AE1140+AE1137</f>
        <v>5406.9</v>
      </c>
      <c r="AF1131" s="476">
        <f>AF1132+AF1140+AF1137</f>
        <v>5406.9</v>
      </c>
      <c r="AG1131" s="554"/>
      <c r="AH1131" s="554"/>
      <c r="AI1131" s="456"/>
    </row>
    <row r="1132" spans="1:35"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20" t="s">
        <v>2050</v>
      </c>
      <c r="Y1132" s="246">
        <v>904</v>
      </c>
      <c r="Z1132" s="235" t="s">
        <v>566</v>
      </c>
      <c r="AA1132" s="235" t="s">
        <v>1747</v>
      </c>
      <c r="AB1132" s="443" t="s">
        <v>2051</v>
      </c>
      <c r="AC1132" s="238"/>
      <c r="AD1132" s="292">
        <f>AD1133+AD1135</f>
        <v>918.1</v>
      </c>
      <c r="AE1132" s="292">
        <f t="shared" ref="AE1132:AF1132" si="292">AE1133+AE1135</f>
        <v>988.1</v>
      </c>
      <c r="AF1132" s="292">
        <f t="shared" si="292"/>
        <v>988.1</v>
      </c>
      <c r="AG1132" s="554"/>
      <c r="AH1132" s="554"/>
      <c r="AI1132" s="456"/>
    </row>
    <row r="1133" spans="1:35"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20" t="s">
        <v>1782</v>
      </c>
      <c r="Y1133" s="246">
        <v>904</v>
      </c>
      <c r="Z1133" s="235" t="s">
        <v>566</v>
      </c>
      <c r="AA1133" s="235" t="s">
        <v>1747</v>
      </c>
      <c r="AB1133" s="443" t="s">
        <v>2051</v>
      </c>
      <c r="AC1133" s="238">
        <v>200</v>
      </c>
      <c r="AD1133" s="292">
        <f t="shared" ref="AD1133:AF1133" si="293">AD1134</f>
        <v>903.9</v>
      </c>
      <c r="AE1133" s="476">
        <f t="shared" si="293"/>
        <v>988.1</v>
      </c>
      <c r="AF1133" s="476">
        <f t="shared" si="293"/>
        <v>988.1</v>
      </c>
      <c r="AG1133" s="554"/>
      <c r="AH1133" s="554"/>
      <c r="AI1133" s="456"/>
    </row>
    <row r="1134" spans="1:35" ht="31.5"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20" t="s">
        <v>1274</v>
      </c>
      <c r="Y1134" s="246">
        <v>904</v>
      </c>
      <c r="Z1134" s="235" t="s">
        <v>566</v>
      </c>
      <c r="AA1134" s="235" t="s">
        <v>1747</v>
      </c>
      <c r="AB1134" s="443" t="s">
        <v>2051</v>
      </c>
      <c r="AC1134" s="238">
        <v>240</v>
      </c>
      <c r="AD1134" s="292">
        <f>988.1-70-13.2-1</f>
        <v>903.9</v>
      </c>
      <c r="AE1134" s="476">
        <v>988.1</v>
      </c>
      <c r="AF1134" s="476">
        <v>988.1</v>
      </c>
      <c r="AG1134" s="554"/>
      <c r="AH1134" s="554"/>
      <c r="AI1134" s="456"/>
    </row>
    <row r="1135" spans="1:35"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20" t="s">
        <v>924</v>
      </c>
      <c r="Y1135" s="246">
        <v>904</v>
      </c>
      <c r="Z1135" s="235" t="s">
        <v>566</v>
      </c>
      <c r="AA1135" s="235" t="s">
        <v>1747</v>
      </c>
      <c r="AB1135" s="443" t="s">
        <v>2051</v>
      </c>
      <c r="AC1135" s="238">
        <v>800</v>
      </c>
      <c r="AD1135" s="292">
        <f>AD1136</f>
        <v>14.2</v>
      </c>
      <c r="AE1135" s="292">
        <f t="shared" ref="AE1135:AF1135" si="294">AE1136</f>
        <v>0</v>
      </c>
      <c r="AF1135" s="292">
        <f t="shared" si="294"/>
        <v>0</v>
      </c>
      <c r="AG1135" s="554"/>
      <c r="AH1135" s="554"/>
      <c r="AI1135" s="456"/>
    </row>
    <row r="1136" spans="1:35"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20" t="s">
        <v>1320</v>
      </c>
      <c r="Y1136" s="246">
        <v>904</v>
      </c>
      <c r="Z1136" s="235" t="s">
        <v>566</v>
      </c>
      <c r="AA1136" s="235" t="s">
        <v>1747</v>
      </c>
      <c r="AB1136" s="443" t="s">
        <v>2051</v>
      </c>
      <c r="AC1136" s="238">
        <v>850</v>
      </c>
      <c r="AD1136" s="292">
        <f>13.2+1</f>
        <v>14.2</v>
      </c>
      <c r="AE1136" s="476">
        <v>0</v>
      </c>
      <c r="AF1136" s="476">
        <v>0</v>
      </c>
      <c r="AG1136" s="554"/>
      <c r="AH1136" s="554"/>
      <c r="AI1136" s="456"/>
    </row>
    <row r="1137" spans="1:35" ht="31.5"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520" t="s">
        <v>2052</v>
      </c>
      <c r="Y1137" s="246">
        <v>904</v>
      </c>
      <c r="Z1137" s="235" t="s">
        <v>566</v>
      </c>
      <c r="AA1137" s="235" t="s">
        <v>1747</v>
      </c>
      <c r="AB1137" s="443" t="s">
        <v>2053</v>
      </c>
      <c r="AC1137" s="238"/>
      <c r="AD1137" s="292">
        <f t="shared" ref="AD1137:AF1138" si="295">AD1138</f>
        <v>1481.2</v>
      </c>
      <c r="AE1137" s="476">
        <f t="shared" si="295"/>
        <v>1411.2</v>
      </c>
      <c r="AF1137" s="476">
        <f t="shared" si="295"/>
        <v>1411.2</v>
      </c>
      <c r="AG1137" s="554"/>
      <c r="AH1137" s="554"/>
      <c r="AI1137" s="456"/>
    </row>
    <row r="1138" spans="1:35" ht="47.25"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20" t="s">
        <v>922</v>
      </c>
      <c r="Y1138" s="246">
        <v>904</v>
      </c>
      <c r="Z1138" s="235" t="s">
        <v>566</v>
      </c>
      <c r="AA1138" s="235" t="s">
        <v>1747</v>
      </c>
      <c r="AB1138" s="443" t="s">
        <v>2053</v>
      </c>
      <c r="AC1138" s="238">
        <v>100</v>
      </c>
      <c r="AD1138" s="292">
        <f t="shared" si="295"/>
        <v>1481.2</v>
      </c>
      <c r="AE1138" s="476">
        <f t="shared" si="295"/>
        <v>1411.2</v>
      </c>
      <c r="AF1138" s="476">
        <f t="shared" si="295"/>
        <v>1411.2</v>
      </c>
      <c r="AG1138" s="554"/>
      <c r="AH1138" s="554"/>
      <c r="AI1138" s="456"/>
    </row>
    <row r="1139" spans="1:35"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20" t="s">
        <v>1748</v>
      </c>
      <c r="Y1139" s="246">
        <v>904</v>
      </c>
      <c r="Z1139" s="235" t="s">
        <v>566</v>
      </c>
      <c r="AA1139" s="235" t="s">
        <v>1747</v>
      </c>
      <c r="AB1139" s="443" t="s">
        <v>2053</v>
      </c>
      <c r="AC1139" s="238">
        <v>120</v>
      </c>
      <c r="AD1139" s="292">
        <f>1411.2+70</f>
        <v>1481.2</v>
      </c>
      <c r="AE1139" s="476">
        <v>1411.2</v>
      </c>
      <c r="AF1139" s="476">
        <v>1411.2</v>
      </c>
      <c r="AG1139" s="554"/>
      <c r="AH1139" s="554"/>
      <c r="AI1139" s="456"/>
    </row>
    <row r="1140" spans="1:35" ht="31.5"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20" t="s">
        <v>2055</v>
      </c>
      <c r="Y1140" s="246">
        <v>904</v>
      </c>
      <c r="Z1140" s="235" t="s">
        <v>566</v>
      </c>
      <c r="AA1140" s="235" t="s">
        <v>1747</v>
      </c>
      <c r="AB1140" s="443" t="s">
        <v>2054</v>
      </c>
      <c r="AC1140" s="238"/>
      <c r="AD1140" s="292">
        <f t="shared" ref="AD1140:AF1141" si="296">AD1141</f>
        <v>2919.6</v>
      </c>
      <c r="AE1140" s="476">
        <f t="shared" si="296"/>
        <v>3007.6</v>
      </c>
      <c r="AF1140" s="476">
        <f t="shared" si="296"/>
        <v>3007.6</v>
      </c>
      <c r="AG1140" s="554"/>
      <c r="AH1140" s="554"/>
      <c r="AI1140" s="456"/>
    </row>
    <row r="1141" spans="1:35" ht="47.25" x14ac:dyDescent="0.25">
      <c r="A1141" s="237"/>
      <c r="B1141" s="237"/>
      <c r="C1141" s="237"/>
      <c r="D1141" s="237"/>
      <c r="E1141" s="237"/>
      <c r="F1141" s="237"/>
      <c r="G1141" s="237"/>
      <c r="H1141" s="237"/>
      <c r="I1141" s="237"/>
      <c r="J1141" s="237"/>
      <c r="K1141" s="237"/>
      <c r="L1141" s="237"/>
      <c r="M1141" s="237"/>
      <c r="N1141" s="237"/>
      <c r="O1141" s="237"/>
      <c r="P1141" s="237"/>
      <c r="R1141" s="237"/>
      <c r="S1141" s="237"/>
      <c r="W1141" s="237"/>
      <c r="X1141" s="520" t="s">
        <v>922</v>
      </c>
      <c r="Y1141" s="246">
        <v>904</v>
      </c>
      <c r="Z1141" s="235" t="s">
        <v>566</v>
      </c>
      <c r="AA1141" s="235" t="s">
        <v>1747</v>
      </c>
      <c r="AB1141" s="443" t="s">
        <v>2054</v>
      </c>
      <c r="AC1141" s="238">
        <v>100</v>
      </c>
      <c r="AD1141" s="292">
        <f t="shared" si="296"/>
        <v>2919.6</v>
      </c>
      <c r="AE1141" s="476">
        <f t="shared" si="296"/>
        <v>3007.6</v>
      </c>
      <c r="AF1141" s="476">
        <f t="shared" si="296"/>
        <v>3007.6</v>
      </c>
      <c r="AG1141" s="554"/>
      <c r="AH1141" s="554"/>
      <c r="AI1141" s="456"/>
    </row>
    <row r="1142" spans="1:35" x14ac:dyDescent="0.25">
      <c r="A1142" s="237"/>
      <c r="B1142" s="237"/>
      <c r="C1142" s="237"/>
      <c r="D1142" s="237"/>
      <c r="E1142" s="237"/>
      <c r="F1142" s="237"/>
      <c r="G1142" s="237"/>
      <c r="H1142" s="237"/>
      <c r="I1142" s="237"/>
      <c r="J1142" s="237"/>
      <c r="K1142" s="237"/>
      <c r="L1142" s="237"/>
      <c r="M1142" s="237"/>
      <c r="N1142" s="237"/>
      <c r="O1142" s="237"/>
      <c r="P1142" s="237"/>
      <c r="R1142" s="237"/>
      <c r="S1142" s="237"/>
      <c r="W1142" s="237"/>
      <c r="X1142" s="520" t="s">
        <v>1748</v>
      </c>
      <c r="Y1142" s="246">
        <v>904</v>
      </c>
      <c r="Z1142" s="235" t="s">
        <v>566</v>
      </c>
      <c r="AA1142" s="235" t="s">
        <v>1747</v>
      </c>
      <c r="AB1142" s="443" t="s">
        <v>2054</v>
      </c>
      <c r="AC1142" s="238">
        <v>120</v>
      </c>
      <c r="AD1142" s="292">
        <f>3007.6-88</f>
        <v>2919.6</v>
      </c>
      <c r="AE1142" s="476">
        <v>3007.6</v>
      </c>
      <c r="AF1142" s="476">
        <v>3007.6</v>
      </c>
      <c r="AG1142" s="554"/>
      <c r="AH1142" s="554"/>
      <c r="AI1142" s="456"/>
    </row>
    <row r="1143" spans="1:3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X1143" s="559" t="s">
        <v>1746</v>
      </c>
      <c r="Y1143" s="575" t="s">
        <v>1507</v>
      </c>
      <c r="Z1143" s="247" t="s">
        <v>768</v>
      </c>
      <c r="AA1143" s="248"/>
      <c r="AB1143" s="271"/>
      <c r="AC1143" s="576"/>
      <c r="AD1143" s="745">
        <f t="shared" ref="AD1143:AF1149" si="297">AD1144</f>
        <v>515.29999999999995</v>
      </c>
      <c r="AE1143" s="479">
        <f t="shared" si="297"/>
        <v>515.29999999999995</v>
      </c>
      <c r="AF1143" s="479">
        <f t="shared" si="297"/>
        <v>515.29999999999995</v>
      </c>
      <c r="AG1143" s="647"/>
      <c r="AH1143" s="647"/>
      <c r="AI1143" s="456"/>
    </row>
    <row r="1144" spans="1:3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c r="X1144" s="520" t="s">
        <v>1313</v>
      </c>
      <c r="Y1144" s="246">
        <v>904</v>
      </c>
      <c r="Z1144" s="235">
        <v>10</v>
      </c>
      <c r="AA1144" s="235" t="s">
        <v>566</v>
      </c>
      <c r="AB1144" s="249"/>
      <c r="AC1144" s="589"/>
      <c r="AD1144" s="292">
        <f t="shared" si="297"/>
        <v>515.29999999999995</v>
      </c>
      <c r="AE1144" s="476">
        <f t="shared" si="297"/>
        <v>515.29999999999995</v>
      </c>
      <c r="AF1144" s="476">
        <f t="shared" si="297"/>
        <v>515.29999999999995</v>
      </c>
      <c r="AG1144" s="554"/>
      <c r="AH1144" s="554"/>
      <c r="AI1144" s="456"/>
    </row>
    <row r="1145" spans="1:3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49" t="s">
        <v>2075</v>
      </c>
      <c r="Y1145" s="246">
        <v>904</v>
      </c>
      <c r="Z1145" s="235">
        <v>10</v>
      </c>
      <c r="AA1145" s="235" t="s">
        <v>566</v>
      </c>
      <c r="AB1145" s="443" t="s">
        <v>1769</v>
      </c>
      <c r="AC1145" s="589"/>
      <c r="AD1145" s="292">
        <f t="shared" si="297"/>
        <v>515.29999999999995</v>
      </c>
      <c r="AE1145" s="476">
        <f t="shared" si="297"/>
        <v>515.29999999999995</v>
      </c>
      <c r="AF1145" s="476">
        <f t="shared" si="297"/>
        <v>515.29999999999995</v>
      </c>
      <c r="AG1145" s="554"/>
      <c r="AH1145" s="554"/>
      <c r="AI1145" s="456"/>
    </row>
    <row r="1146" spans="1:3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625" t="s">
        <v>2076</v>
      </c>
      <c r="Y1146" s="246">
        <v>904</v>
      </c>
      <c r="Z1146" s="235">
        <v>10</v>
      </c>
      <c r="AA1146" s="235" t="s">
        <v>566</v>
      </c>
      <c r="AB1146" s="443" t="s">
        <v>1780</v>
      </c>
      <c r="AC1146" s="589"/>
      <c r="AD1146" s="292">
        <f>AD1147</f>
        <v>515.29999999999995</v>
      </c>
      <c r="AE1146" s="476">
        <f>AE1147</f>
        <v>515.29999999999995</v>
      </c>
      <c r="AF1146" s="476">
        <f>AF1147</f>
        <v>515.29999999999995</v>
      </c>
      <c r="AG1146" s="554"/>
      <c r="AH1146" s="554"/>
      <c r="AI1146" s="456"/>
    </row>
    <row r="1147" spans="1:35" ht="31.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49" t="s">
        <v>2082</v>
      </c>
      <c r="Y1147" s="246">
        <v>904</v>
      </c>
      <c r="Z1147" s="235">
        <v>10</v>
      </c>
      <c r="AA1147" s="235" t="s">
        <v>566</v>
      </c>
      <c r="AB1147" s="443" t="s">
        <v>2083</v>
      </c>
      <c r="AC1147" s="589"/>
      <c r="AD1147" s="292">
        <f t="shared" si="297"/>
        <v>515.29999999999995</v>
      </c>
      <c r="AE1147" s="476">
        <f t="shared" si="297"/>
        <v>515.29999999999995</v>
      </c>
      <c r="AF1147" s="476">
        <f t="shared" si="297"/>
        <v>515.29999999999995</v>
      </c>
      <c r="AG1147" s="554"/>
      <c r="AH1147" s="554"/>
      <c r="AI1147" s="456"/>
    </row>
    <row r="1148" spans="1:35" ht="31.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30" t="s">
        <v>2084</v>
      </c>
      <c r="Y1148" s="246">
        <v>904</v>
      </c>
      <c r="Z1148" s="235">
        <v>10</v>
      </c>
      <c r="AA1148" s="235" t="s">
        <v>566</v>
      </c>
      <c r="AB1148" s="443" t="s">
        <v>2085</v>
      </c>
      <c r="AC1148" s="589"/>
      <c r="AD1148" s="292">
        <f t="shared" si="297"/>
        <v>515.29999999999995</v>
      </c>
      <c r="AE1148" s="476">
        <f t="shared" si="297"/>
        <v>515.29999999999995</v>
      </c>
      <c r="AF1148" s="476">
        <f t="shared" si="297"/>
        <v>515.29999999999995</v>
      </c>
      <c r="AG1148" s="554"/>
      <c r="AH1148" s="554"/>
      <c r="AI1148" s="456"/>
    </row>
    <row r="1149" spans="1:3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20" t="s">
        <v>1755</v>
      </c>
      <c r="Y1149" s="246">
        <v>904</v>
      </c>
      <c r="Z1149" s="235">
        <v>10</v>
      </c>
      <c r="AA1149" s="235" t="s">
        <v>566</v>
      </c>
      <c r="AB1149" s="443" t="s">
        <v>2085</v>
      </c>
      <c r="AC1149" s="238">
        <v>300</v>
      </c>
      <c r="AD1149" s="292">
        <f t="shared" si="297"/>
        <v>515.29999999999995</v>
      </c>
      <c r="AE1149" s="476">
        <f t="shared" si="297"/>
        <v>515.29999999999995</v>
      </c>
      <c r="AF1149" s="476">
        <f t="shared" si="297"/>
        <v>515.29999999999995</v>
      </c>
      <c r="AG1149" s="554"/>
      <c r="AH1149" s="554"/>
      <c r="AI1149" s="456"/>
    </row>
    <row r="1150" spans="1:3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20" t="s">
        <v>868</v>
      </c>
      <c r="Y1150" s="246">
        <v>904</v>
      </c>
      <c r="Z1150" s="235">
        <v>10</v>
      </c>
      <c r="AA1150" s="235" t="s">
        <v>566</v>
      </c>
      <c r="AB1150" s="443" t="s">
        <v>2085</v>
      </c>
      <c r="AC1150" s="238">
        <v>320</v>
      </c>
      <c r="AD1150" s="292">
        <v>515.29999999999995</v>
      </c>
      <c r="AE1150" s="476">
        <v>515.29999999999995</v>
      </c>
      <c r="AF1150" s="476">
        <v>515.29999999999995</v>
      </c>
      <c r="AG1150" s="554"/>
      <c r="AH1150" s="554"/>
      <c r="AI1150" s="456"/>
    </row>
    <row r="1151" spans="1:3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59" t="s">
        <v>1832</v>
      </c>
      <c r="Y1151" s="575">
        <v>905</v>
      </c>
      <c r="Z1151" s="235"/>
      <c r="AA1151" s="235"/>
      <c r="AB1151" s="249"/>
      <c r="AC1151" s="238"/>
      <c r="AD1151" s="745">
        <f>AD1152+AD1171</f>
        <v>4808.7</v>
      </c>
      <c r="AE1151" s="479">
        <f>AE1152+AE1171</f>
        <v>4808.7</v>
      </c>
      <c r="AF1151" s="479">
        <f>AF1152+AF1171</f>
        <v>4808.7</v>
      </c>
      <c r="AG1151" s="647"/>
      <c r="AH1151" s="647"/>
      <c r="AI1151" s="456"/>
    </row>
    <row r="1152" spans="1:3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59" t="s">
        <v>482</v>
      </c>
      <c r="Y1152" s="575">
        <v>905</v>
      </c>
      <c r="Z1152" s="262" t="s">
        <v>566</v>
      </c>
      <c r="AA1152" s="235"/>
      <c r="AB1152" s="249"/>
      <c r="AC1152" s="238"/>
      <c r="AD1152" s="745">
        <f>AD1153</f>
        <v>4405</v>
      </c>
      <c r="AE1152" s="479">
        <f>AE1153</f>
        <v>4405</v>
      </c>
      <c r="AF1152" s="479">
        <f>AF1153</f>
        <v>4405</v>
      </c>
      <c r="AG1152" s="647"/>
      <c r="AH1152" s="647"/>
      <c r="AI1152" s="456"/>
    </row>
    <row r="1153" spans="1:3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20" t="s">
        <v>938</v>
      </c>
      <c r="Y1153" s="600">
        <v>905</v>
      </c>
      <c r="Z1153" s="235" t="s">
        <v>566</v>
      </c>
      <c r="AA1153" s="235" t="s">
        <v>205</v>
      </c>
      <c r="AB1153" s="249"/>
      <c r="AC1153" s="238"/>
      <c r="AD1153" s="292">
        <f>AD1154+AD1160</f>
        <v>4405</v>
      </c>
      <c r="AE1153" s="476">
        <f>AE1154+AE1160</f>
        <v>4405</v>
      </c>
      <c r="AF1153" s="476">
        <f>AF1154+AF1160</f>
        <v>4405</v>
      </c>
      <c r="AG1153" s="554"/>
      <c r="AH1153" s="554"/>
      <c r="AI1153" s="456"/>
    </row>
    <row r="1154" spans="1:35" ht="31.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21" t="s">
        <v>2104</v>
      </c>
      <c r="Y1154" s="600">
        <v>905</v>
      </c>
      <c r="Z1154" s="235" t="s">
        <v>566</v>
      </c>
      <c r="AA1154" s="235" t="s">
        <v>205</v>
      </c>
      <c r="AB1154" s="443" t="s">
        <v>1806</v>
      </c>
      <c r="AC1154" s="238"/>
      <c r="AD1154" s="292">
        <f t="shared" ref="AD1154:AF1158" si="298">AD1155</f>
        <v>1</v>
      </c>
      <c r="AE1154" s="476">
        <f t="shared" si="298"/>
        <v>1</v>
      </c>
      <c r="AF1154" s="476">
        <f t="shared" si="298"/>
        <v>1</v>
      </c>
      <c r="AG1154" s="554"/>
      <c r="AH1154" s="554"/>
      <c r="AI1154" s="456"/>
    </row>
    <row r="1155" spans="1:35" ht="47.2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21" t="s">
        <v>2105</v>
      </c>
      <c r="Y1155" s="600">
        <v>905</v>
      </c>
      <c r="Z1155" s="235" t="s">
        <v>566</v>
      </c>
      <c r="AA1155" s="235" t="s">
        <v>205</v>
      </c>
      <c r="AB1155" s="443" t="s">
        <v>2106</v>
      </c>
      <c r="AC1155" s="238"/>
      <c r="AD1155" s="292">
        <f t="shared" si="298"/>
        <v>1</v>
      </c>
      <c r="AE1155" s="476">
        <f t="shared" si="298"/>
        <v>1</v>
      </c>
      <c r="AF1155" s="476">
        <f t="shared" si="298"/>
        <v>1</v>
      </c>
      <c r="AG1155" s="554"/>
      <c r="AH1155" s="554"/>
      <c r="AI1155" s="456"/>
    </row>
    <row r="1156" spans="1:35" ht="31.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29" t="s">
        <v>2107</v>
      </c>
      <c r="Y1156" s="600">
        <v>905</v>
      </c>
      <c r="Z1156" s="235" t="s">
        <v>566</v>
      </c>
      <c r="AA1156" s="235" t="s">
        <v>205</v>
      </c>
      <c r="AB1156" s="443" t="s">
        <v>2108</v>
      </c>
      <c r="AC1156" s="238"/>
      <c r="AD1156" s="292">
        <f t="shared" si="298"/>
        <v>1</v>
      </c>
      <c r="AE1156" s="476">
        <f t="shared" si="298"/>
        <v>1</v>
      </c>
      <c r="AF1156" s="476">
        <f t="shared" si="298"/>
        <v>1</v>
      </c>
      <c r="AG1156" s="554"/>
      <c r="AH1156" s="554"/>
      <c r="AI1156" s="456"/>
    </row>
    <row r="1157" spans="1:35" ht="94.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29" t="s">
        <v>2244</v>
      </c>
      <c r="Y1157" s="600">
        <v>905</v>
      </c>
      <c r="Z1157" s="235" t="s">
        <v>566</v>
      </c>
      <c r="AA1157" s="235" t="s">
        <v>205</v>
      </c>
      <c r="AB1157" s="472" t="s">
        <v>2109</v>
      </c>
      <c r="AC1157" s="238"/>
      <c r="AD1157" s="292">
        <f t="shared" si="298"/>
        <v>1</v>
      </c>
      <c r="AE1157" s="476">
        <f t="shared" si="298"/>
        <v>1</v>
      </c>
      <c r="AF1157" s="476">
        <f t="shared" si="298"/>
        <v>1</v>
      </c>
      <c r="AG1157" s="554"/>
      <c r="AH1157" s="554"/>
      <c r="AI1157" s="456"/>
    </row>
    <row r="1158" spans="1:3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20" t="s">
        <v>1782</v>
      </c>
      <c r="Y1158" s="600">
        <v>905</v>
      </c>
      <c r="Z1158" s="235" t="s">
        <v>566</v>
      </c>
      <c r="AA1158" s="235" t="s">
        <v>205</v>
      </c>
      <c r="AB1158" s="472" t="s">
        <v>2109</v>
      </c>
      <c r="AC1158" s="238">
        <v>200</v>
      </c>
      <c r="AD1158" s="292">
        <f t="shared" si="298"/>
        <v>1</v>
      </c>
      <c r="AE1158" s="476">
        <f t="shared" si="298"/>
        <v>1</v>
      </c>
      <c r="AF1158" s="476">
        <f t="shared" si="298"/>
        <v>1</v>
      </c>
      <c r="AG1158" s="554"/>
      <c r="AH1158" s="554"/>
      <c r="AI1158" s="456"/>
    </row>
    <row r="1159" spans="1:35" ht="31.5"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20" t="s">
        <v>1274</v>
      </c>
      <c r="Y1159" s="600">
        <v>905</v>
      </c>
      <c r="Z1159" s="235" t="s">
        <v>566</v>
      </c>
      <c r="AA1159" s="235" t="s">
        <v>205</v>
      </c>
      <c r="AB1159" s="472" t="s">
        <v>2109</v>
      </c>
      <c r="AC1159" s="238">
        <v>240</v>
      </c>
      <c r="AD1159" s="292">
        <v>1</v>
      </c>
      <c r="AE1159" s="476">
        <v>1</v>
      </c>
      <c r="AF1159" s="476">
        <v>1</v>
      </c>
      <c r="AG1159" s="554"/>
      <c r="AH1159" s="554"/>
      <c r="AI1159" s="456"/>
    </row>
    <row r="1160" spans="1:35" ht="31.5"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49" t="s">
        <v>2049</v>
      </c>
      <c r="Y1160" s="600">
        <v>905</v>
      </c>
      <c r="Z1160" s="235" t="s">
        <v>566</v>
      </c>
      <c r="AA1160" s="235" t="s">
        <v>205</v>
      </c>
      <c r="AB1160" s="443" t="s">
        <v>1757</v>
      </c>
      <c r="AC1160" s="238"/>
      <c r="AD1160" s="292">
        <f>AD1161</f>
        <v>4404</v>
      </c>
      <c r="AE1160" s="476">
        <f>AE1161</f>
        <v>4404</v>
      </c>
      <c r="AF1160" s="476">
        <f>AF1161</f>
        <v>4404</v>
      </c>
      <c r="AG1160" s="554"/>
      <c r="AH1160" s="554"/>
      <c r="AI1160" s="456"/>
    </row>
    <row r="1161" spans="1:35"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32" t="s">
        <v>2057</v>
      </c>
      <c r="Y1161" s="600">
        <v>905</v>
      </c>
      <c r="Z1161" s="235" t="s">
        <v>566</v>
      </c>
      <c r="AA1161" s="235" t="s">
        <v>205</v>
      </c>
      <c r="AB1161" s="443" t="s">
        <v>2058</v>
      </c>
      <c r="AC1161" s="238"/>
      <c r="AD1161" s="292">
        <f>AD1162+AD1165+AD1168</f>
        <v>4404</v>
      </c>
      <c r="AE1161" s="476">
        <f>AE1162+AE1165+AE1168</f>
        <v>4404</v>
      </c>
      <c r="AF1161" s="476">
        <f>AF1162+AF1165+AF1168</f>
        <v>4404</v>
      </c>
      <c r="AG1161" s="554"/>
      <c r="AH1161" s="554"/>
      <c r="AI1161" s="456"/>
    </row>
    <row r="1162" spans="1:35" ht="31.5"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20" t="s">
        <v>2059</v>
      </c>
      <c r="Y1162" s="600">
        <v>905</v>
      </c>
      <c r="Z1162" s="235" t="s">
        <v>566</v>
      </c>
      <c r="AA1162" s="235" t="s">
        <v>205</v>
      </c>
      <c r="AB1162" s="443" t="s">
        <v>2060</v>
      </c>
      <c r="AC1162" s="238"/>
      <c r="AD1162" s="292">
        <f t="shared" ref="AD1162:AF1163" si="299">AD1163</f>
        <v>415.1</v>
      </c>
      <c r="AE1162" s="476">
        <f t="shared" si="299"/>
        <v>415.1</v>
      </c>
      <c r="AF1162" s="476">
        <f t="shared" si="299"/>
        <v>415.1</v>
      </c>
      <c r="AG1162" s="554"/>
      <c r="AH1162" s="554"/>
      <c r="AI1162" s="456"/>
    </row>
    <row r="1163" spans="1:35"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20" t="s">
        <v>1782</v>
      </c>
      <c r="Y1163" s="600">
        <v>905</v>
      </c>
      <c r="Z1163" s="235" t="s">
        <v>566</v>
      </c>
      <c r="AA1163" s="235" t="s">
        <v>205</v>
      </c>
      <c r="AB1163" s="443" t="s">
        <v>2060</v>
      </c>
      <c r="AC1163" s="238">
        <v>200</v>
      </c>
      <c r="AD1163" s="292">
        <f t="shared" si="299"/>
        <v>415.1</v>
      </c>
      <c r="AE1163" s="476">
        <f t="shared" si="299"/>
        <v>415.1</v>
      </c>
      <c r="AF1163" s="476">
        <f t="shared" si="299"/>
        <v>415.1</v>
      </c>
      <c r="AG1163" s="554"/>
      <c r="AH1163" s="554"/>
      <c r="AI1163" s="456"/>
    </row>
    <row r="1164" spans="1:35" ht="31.5"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20" t="s">
        <v>1274</v>
      </c>
      <c r="Y1164" s="600">
        <v>905</v>
      </c>
      <c r="Z1164" s="235" t="s">
        <v>566</v>
      </c>
      <c r="AA1164" s="235" t="s">
        <v>205</v>
      </c>
      <c r="AB1164" s="443" t="s">
        <v>2060</v>
      </c>
      <c r="AC1164" s="238">
        <v>240</v>
      </c>
      <c r="AD1164" s="292">
        <v>415.1</v>
      </c>
      <c r="AE1164" s="476">
        <v>415.1</v>
      </c>
      <c r="AF1164" s="476">
        <v>415.1</v>
      </c>
      <c r="AG1164" s="554"/>
      <c r="AH1164" s="554"/>
      <c r="AI1164" s="456"/>
    </row>
    <row r="1165" spans="1:35" ht="47.25"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15" t="s">
        <v>2258</v>
      </c>
      <c r="Y1165" s="600">
        <v>905</v>
      </c>
      <c r="Z1165" s="235" t="s">
        <v>566</v>
      </c>
      <c r="AA1165" s="235" t="s">
        <v>205</v>
      </c>
      <c r="AB1165" s="443" t="s">
        <v>2061</v>
      </c>
      <c r="AC1165" s="238"/>
      <c r="AD1165" s="292">
        <f t="shared" ref="AD1165:AF1166" si="300">AD1166</f>
        <v>1879.2</v>
      </c>
      <c r="AE1165" s="476">
        <f t="shared" si="300"/>
        <v>1879.2</v>
      </c>
      <c r="AF1165" s="476">
        <f t="shared" si="300"/>
        <v>1879.2</v>
      </c>
      <c r="AG1165" s="554"/>
      <c r="AH1165" s="554"/>
      <c r="AI1165" s="456"/>
    </row>
    <row r="1166" spans="1:35" ht="47.2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20" t="s">
        <v>922</v>
      </c>
      <c r="Y1166" s="600">
        <v>905</v>
      </c>
      <c r="Z1166" s="235" t="s">
        <v>566</v>
      </c>
      <c r="AA1166" s="235" t="s">
        <v>205</v>
      </c>
      <c r="AB1166" s="443" t="s">
        <v>2061</v>
      </c>
      <c r="AC1166" s="238">
        <v>100</v>
      </c>
      <c r="AD1166" s="292">
        <f t="shared" si="300"/>
        <v>1879.2</v>
      </c>
      <c r="AE1166" s="476">
        <f t="shared" si="300"/>
        <v>1879.2</v>
      </c>
      <c r="AF1166" s="476">
        <f t="shared" si="300"/>
        <v>1879.2</v>
      </c>
      <c r="AG1166" s="554"/>
      <c r="AH1166" s="554"/>
      <c r="AI1166" s="456"/>
    </row>
    <row r="1167" spans="1:3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20" t="s">
        <v>1748</v>
      </c>
      <c r="Y1167" s="600">
        <v>905</v>
      </c>
      <c r="Z1167" s="235" t="s">
        <v>566</v>
      </c>
      <c r="AA1167" s="235" t="s">
        <v>205</v>
      </c>
      <c r="AB1167" s="443" t="s">
        <v>2061</v>
      </c>
      <c r="AC1167" s="238">
        <v>120</v>
      </c>
      <c r="AD1167" s="292">
        <v>1879.2</v>
      </c>
      <c r="AE1167" s="476">
        <v>1879.2</v>
      </c>
      <c r="AF1167" s="476">
        <v>1879.2</v>
      </c>
      <c r="AG1167" s="554"/>
      <c r="AH1167" s="554"/>
      <c r="AI1167" s="456"/>
    </row>
    <row r="1168" spans="1:35" ht="47.2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24" t="s">
        <v>2062</v>
      </c>
      <c r="Y1168" s="600">
        <v>905</v>
      </c>
      <c r="Z1168" s="235" t="s">
        <v>566</v>
      </c>
      <c r="AA1168" s="235" t="s">
        <v>205</v>
      </c>
      <c r="AB1168" s="443" t="s">
        <v>2063</v>
      </c>
      <c r="AC1168" s="238"/>
      <c r="AD1168" s="746">
        <f t="shared" ref="AD1168:AF1169" si="301">AD1169</f>
        <v>2109.6999999999998</v>
      </c>
      <c r="AE1168" s="489">
        <f t="shared" si="301"/>
        <v>2109.6999999999998</v>
      </c>
      <c r="AF1168" s="489">
        <f t="shared" si="301"/>
        <v>2109.6999999999998</v>
      </c>
      <c r="AG1168" s="648"/>
      <c r="AH1168" s="648"/>
      <c r="AI1168" s="456"/>
    </row>
    <row r="1169" spans="1:35" ht="47.2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20" t="s">
        <v>922</v>
      </c>
      <c r="Y1169" s="600">
        <v>905</v>
      </c>
      <c r="Z1169" s="235" t="s">
        <v>566</v>
      </c>
      <c r="AA1169" s="235" t="s">
        <v>205</v>
      </c>
      <c r="AB1169" s="443" t="s">
        <v>2063</v>
      </c>
      <c r="AC1169" s="238">
        <v>100</v>
      </c>
      <c r="AD1169" s="746">
        <f t="shared" si="301"/>
        <v>2109.6999999999998</v>
      </c>
      <c r="AE1169" s="489">
        <f t="shared" si="301"/>
        <v>2109.6999999999998</v>
      </c>
      <c r="AF1169" s="489">
        <f t="shared" si="301"/>
        <v>2109.6999999999998</v>
      </c>
      <c r="AG1169" s="648"/>
      <c r="AH1169" s="648"/>
      <c r="AI1169" s="456"/>
    </row>
    <row r="1170" spans="1:3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20" t="s">
        <v>1748</v>
      </c>
      <c r="Y1170" s="600">
        <v>905</v>
      </c>
      <c r="Z1170" s="235" t="s">
        <v>566</v>
      </c>
      <c r="AA1170" s="235" t="s">
        <v>205</v>
      </c>
      <c r="AB1170" s="443" t="s">
        <v>2063</v>
      </c>
      <c r="AC1170" s="238">
        <v>120</v>
      </c>
      <c r="AD1170" s="746">
        <v>2109.6999999999998</v>
      </c>
      <c r="AE1170" s="489">
        <v>2109.6999999999998</v>
      </c>
      <c r="AF1170" s="489">
        <v>2109.6999999999998</v>
      </c>
      <c r="AG1170" s="648"/>
      <c r="AH1170" s="648"/>
      <c r="AI1170" s="456"/>
    </row>
    <row r="1171" spans="1:3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59" t="s">
        <v>1746</v>
      </c>
      <c r="Y1171" s="671">
        <v>905</v>
      </c>
      <c r="Z1171" s="247" t="s">
        <v>768</v>
      </c>
      <c r="AA1171" s="248"/>
      <c r="AB1171" s="271"/>
      <c r="AC1171" s="576"/>
      <c r="AD1171" s="745">
        <f t="shared" ref="AD1171:AF1177" si="302">AD1172</f>
        <v>403.7</v>
      </c>
      <c r="AE1171" s="479">
        <f t="shared" si="302"/>
        <v>403.7</v>
      </c>
      <c r="AF1171" s="479">
        <f t="shared" si="302"/>
        <v>403.7</v>
      </c>
      <c r="AG1171" s="648"/>
      <c r="AH1171" s="648"/>
      <c r="AI1171" s="456"/>
    </row>
    <row r="1172" spans="1:3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20" t="s">
        <v>1313</v>
      </c>
      <c r="Y1172" s="600">
        <v>905</v>
      </c>
      <c r="Z1172" s="235">
        <v>10</v>
      </c>
      <c r="AA1172" s="235" t="s">
        <v>566</v>
      </c>
      <c r="AB1172" s="249"/>
      <c r="AC1172" s="589"/>
      <c r="AD1172" s="292">
        <f t="shared" si="302"/>
        <v>403.7</v>
      </c>
      <c r="AE1172" s="476">
        <f t="shared" si="302"/>
        <v>403.7</v>
      </c>
      <c r="AF1172" s="476">
        <f t="shared" si="302"/>
        <v>403.7</v>
      </c>
      <c r="AG1172" s="648"/>
      <c r="AH1172" s="648"/>
      <c r="AI1172" s="456"/>
    </row>
    <row r="1173" spans="1:3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49" t="s">
        <v>2075</v>
      </c>
      <c r="Y1173" s="600">
        <v>905</v>
      </c>
      <c r="Z1173" s="235">
        <v>10</v>
      </c>
      <c r="AA1173" s="235" t="s">
        <v>566</v>
      </c>
      <c r="AB1173" s="443" t="s">
        <v>1769</v>
      </c>
      <c r="AC1173" s="589"/>
      <c r="AD1173" s="292">
        <f t="shared" si="302"/>
        <v>403.7</v>
      </c>
      <c r="AE1173" s="476">
        <f t="shared" si="302"/>
        <v>403.7</v>
      </c>
      <c r="AF1173" s="476">
        <f t="shared" si="302"/>
        <v>403.7</v>
      </c>
      <c r="AG1173" s="648"/>
      <c r="AH1173" s="648"/>
      <c r="AI1173" s="456"/>
    </row>
    <row r="1174" spans="1:3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625" t="s">
        <v>2076</v>
      </c>
      <c r="Y1174" s="600">
        <v>905</v>
      </c>
      <c r="Z1174" s="235">
        <v>10</v>
      </c>
      <c r="AA1174" s="235" t="s">
        <v>566</v>
      </c>
      <c r="AB1174" s="443" t="s">
        <v>1780</v>
      </c>
      <c r="AC1174" s="589"/>
      <c r="AD1174" s="292">
        <f t="shared" si="302"/>
        <v>403.7</v>
      </c>
      <c r="AE1174" s="476">
        <f t="shared" si="302"/>
        <v>403.7</v>
      </c>
      <c r="AF1174" s="476">
        <f t="shared" si="302"/>
        <v>403.7</v>
      </c>
      <c r="AG1174" s="648"/>
      <c r="AH1174" s="648"/>
      <c r="AI1174" s="456"/>
    </row>
    <row r="1175" spans="1:35" ht="31.5"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49" t="s">
        <v>2082</v>
      </c>
      <c r="Y1175" s="600">
        <v>905</v>
      </c>
      <c r="Z1175" s="235">
        <v>10</v>
      </c>
      <c r="AA1175" s="235" t="s">
        <v>566</v>
      </c>
      <c r="AB1175" s="443" t="s">
        <v>2083</v>
      </c>
      <c r="AC1175" s="589"/>
      <c r="AD1175" s="292">
        <f t="shared" si="302"/>
        <v>403.7</v>
      </c>
      <c r="AE1175" s="476">
        <f t="shared" si="302"/>
        <v>403.7</v>
      </c>
      <c r="AF1175" s="476">
        <f t="shared" si="302"/>
        <v>403.7</v>
      </c>
      <c r="AG1175" s="648"/>
      <c r="AH1175" s="648"/>
      <c r="AI1175" s="456"/>
    </row>
    <row r="1176" spans="1:35" ht="31.5"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30" t="s">
        <v>2084</v>
      </c>
      <c r="Y1176" s="601">
        <v>905</v>
      </c>
      <c r="Z1176" s="235">
        <v>10</v>
      </c>
      <c r="AA1176" s="235" t="s">
        <v>566</v>
      </c>
      <c r="AB1176" s="443" t="s">
        <v>2085</v>
      </c>
      <c r="AC1176" s="589"/>
      <c r="AD1176" s="292">
        <f t="shared" si="302"/>
        <v>403.7</v>
      </c>
      <c r="AE1176" s="476">
        <f t="shared" si="302"/>
        <v>403.7</v>
      </c>
      <c r="AF1176" s="476">
        <f t="shared" si="302"/>
        <v>403.7</v>
      </c>
      <c r="AG1176" s="648"/>
      <c r="AH1176" s="648"/>
      <c r="AI1176" s="456"/>
    </row>
    <row r="1177" spans="1:3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20" t="s">
        <v>1755</v>
      </c>
      <c r="Y1177" s="600">
        <v>905</v>
      </c>
      <c r="Z1177" s="235">
        <v>10</v>
      </c>
      <c r="AA1177" s="235" t="s">
        <v>566</v>
      </c>
      <c r="AB1177" s="443" t="s">
        <v>2085</v>
      </c>
      <c r="AC1177" s="238">
        <v>300</v>
      </c>
      <c r="AD1177" s="292">
        <f t="shared" si="302"/>
        <v>403.7</v>
      </c>
      <c r="AE1177" s="476">
        <f t="shared" si="302"/>
        <v>403.7</v>
      </c>
      <c r="AF1177" s="476">
        <f t="shared" si="302"/>
        <v>403.7</v>
      </c>
      <c r="AG1177" s="648"/>
      <c r="AH1177" s="648"/>
      <c r="AI1177" s="456"/>
    </row>
    <row r="1178" spans="1:35" ht="17.25" thickBot="1" x14ac:dyDescent="0.3">
      <c r="A1178" s="237"/>
      <c r="B1178" s="237"/>
      <c r="C1178" s="237"/>
      <c r="D1178" s="237"/>
      <c r="E1178" s="237"/>
      <c r="F1178" s="237"/>
      <c r="G1178" s="237"/>
      <c r="H1178" s="237"/>
      <c r="I1178" s="237"/>
      <c r="J1178" s="237"/>
      <c r="K1178" s="237"/>
      <c r="L1178" s="237"/>
      <c r="M1178" s="237"/>
      <c r="N1178" s="237"/>
      <c r="O1178" s="237"/>
      <c r="P1178" s="237"/>
      <c r="R1178" s="237"/>
      <c r="S1178" s="237"/>
      <c r="W1178" s="237"/>
      <c r="X1178" s="520" t="s">
        <v>868</v>
      </c>
      <c r="Y1178" s="601">
        <v>905</v>
      </c>
      <c r="Z1178" s="235">
        <v>10</v>
      </c>
      <c r="AA1178" s="235" t="s">
        <v>566</v>
      </c>
      <c r="AB1178" s="443" t="s">
        <v>2085</v>
      </c>
      <c r="AC1178" s="238">
        <v>320</v>
      </c>
      <c r="AD1178" s="292">
        <v>403.7</v>
      </c>
      <c r="AE1178" s="476">
        <v>403.7</v>
      </c>
      <c r="AF1178" s="476">
        <v>403.7</v>
      </c>
      <c r="AG1178" s="648"/>
      <c r="AH1178" s="648"/>
      <c r="AI1178" s="456"/>
    </row>
    <row r="1179" spans="1:35" ht="20.45" customHeight="1" thickBot="1" x14ac:dyDescent="0.3">
      <c r="A1179" s="237"/>
      <c r="B1179" s="237"/>
      <c r="C1179" s="237"/>
      <c r="D1179" s="237"/>
      <c r="E1179" s="237"/>
      <c r="F1179" s="237"/>
      <c r="G1179" s="237"/>
      <c r="H1179" s="237"/>
      <c r="I1179" s="237"/>
      <c r="J1179" s="237"/>
      <c r="K1179" s="237"/>
      <c r="L1179" s="237"/>
      <c r="M1179" s="237"/>
      <c r="N1179" s="237"/>
      <c r="O1179" s="237"/>
      <c r="P1179" s="237"/>
      <c r="R1179" s="237"/>
      <c r="S1179" s="237"/>
      <c r="W1179" s="237"/>
      <c r="X1179" s="569" t="s">
        <v>1314</v>
      </c>
      <c r="Y1179" s="603"/>
      <c r="Z1179" s="494"/>
      <c r="AA1179" s="494"/>
      <c r="AB1179" s="491"/>
      <c r="AC1179" s="498"/>
      <c r="AD1179" s="485">
        <f>AD1112+AD879+AD692+AD631+AD593+AD542+AD18+AD1151</f>
        <v>3740054.7</v>
      </c>
      <c r="AE1179" s="486">
        <f>AE1112+AE879+AE692+AE631+AE593+AE542+AE18+AE1151</f>
        <v>2395684.3000000003</v>
      </c>
      <c r="AF1179" s="486">
        <f>AF1112+AF879+AF692+AF631+AF593+AF542+AF18+AF1151</f>
        <v>1711212.6</v>
      </c>
      <c r="AG1179" s="647"/>
      <c r="AH1179" s="647"/>
      <c r="AI1179" s="456"/>
    </row>
    <row r="1180" spans="1:35"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AB1180" s="279"/>
    </row>
    <row r="1181" spans="1:35"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row>
    <row r="1182" spans="1:35" ht="15.75"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4"/>
      <c r="AA1182" s="534"/>
      <c r="AB1182" s="435"/>
      <c r="AC1182" s="534"/>
      <c r="AD1182" s="237"/>
      <c r="AE1182" s="237"/>
      <c r="AF1182" s="237"/>
      <c r="AG1182" s="237"/>
      <c r="AH1182" s="237"/>
    </row>
    <row r="1183" spans="1:35" ht="15.75"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4"/>
      <c r="AA1183" s="534"/>
      <c r="AB1183" s="435"/>
      <c r="AC1183" s="534"/>
      <c r="AD1183" s="838"/>
      <c r="AE1183" s="838"/>
      <c r="AF1183" s="838"/>
      <c r="AG1183" s="237"/>
      <c r="AH1183" s="237"/>
    </row>
    <row r="1184" spans="1:35" ht="15.75"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4"/>
      <c r="AA1184" s="534"/>
      <c r="AB1184" s="435"/>
      <c r="AC1184" s="534"/>
      <c r="AD1184" s="237"/>
      <c r="AE1184" s="237"/>
      <c r="AF1184" s="237"/>
      <c r="AG1184" s="237"/>
      <c r="AH1184" s="237"/>
    </row>
    <row r="1185" spans="1:34" ht="15.75"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4"/>
      <c r="AA1185" s="534"/>
      <c r="AB1185" s="435"/>
      <c r="AC1185" s="534"/>
      <c r="AD1185" s="237"/>
      <c r="AE1185" s="237"/>
      <c r="AF1185" s="237"/>
      <c r="AG1185" s="237"/>
      <c r="AH1185" s="237"/>
    </row>
    <row r="1186" spans="1:34" ht="15.75"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4"/>
      <c r="AA1186" s="534"/>
      <c r="AB1186" s="435"/>
      <c r="AC1186" s="534"/>
      <c r="AD1186" s="237"/>
      <c r="AE1186" s="237"/>
      <c r="AF1186" s="237"/>
      <c r="AG1186" s="237"/>
      <c r="AH1186" s="237"/>
    </row>
    <row r="1187" spans="1:34" ht="15.75"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4"/>
      <c r="AA1187" s="534"/>
      <c r="AB1187" s="435"/>
      <c r="AC1187" s="534"/>
      <c r="AD1187" s="237"/>
      <c r="AE1187" s="237"/>
      <c r="AF1187" s="237"/>
      <c r="AG1187" s="237"/>
      <c r="AH1187" s="237"/>
    </row>
    <row r="1188" spans="1:34" ht="15.75"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4"/>
      <c r="AA1188" s="534"/>
      <c r="AB1188" s="435"/>
      <c r="AC1188" s="534"/>
      <c r="AD1188" s="237"/>
      <c r="AE1188" s="237"/>
      <c r="AF1188" s="237"/>
      <c r="AG1188" s="237"/>
      <c r="AH1188" s="237"/>
    </row>
    <row r="1189" spans="1:34" ht="15.75"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4"/>
      <c r="AA1189" s="534"/>
      <c r="AB1189" s="435"/>
      <c r="AC1189" s="534"/>
      <c r="AD1189" s="237"/>
      <c r="AE1189" s="237"/>
      <c r="AF1189" s="237"/>
      <c r="AG1189" s="237"/>
      <c r="AH1189" s="237"/>
    </row>
    <row r="1190" spans="1:34" ht="15.75"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4"/>
      <c r="AA1190" s="534"/>
      <c r="AB1190" s="435"/>
      <c r="AC1190" s="534"/>
      <c r="AD1190" s="237"/>
      <c r="AE1190" s="237"/>
      <c r="AF1190" s="237"/>
      <c r="AG1190" s="237"/>
      <c r="AH1190" s="237"/>
    </row>
    <row r="1191" spans="1:34" ht="15.75"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4"/>
      <c r="AA1191" s="534"/>
      <c r="AB1191" s="435"/>
      <c r="AC1191" s="534"/>
      <c r="AD1191" s="237"/>
      <c r="AE1191" s="237"/>
      <c r="AF1191" s="237"/>
      <c r="AG1191" s="237"/>
      <c r="AH1191" s="237"/>
    </row>
    <row r="1192" spans="1:34" ht="15.75"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4"/>
      <c r="AA1192" s="534"/>
      <c r="AB1192" s="435"/>
      <c r="AC1192" s="534"/>
      <c r="AD1192" s="237"/>
      <c r="AE1192" s="237"/>
      <c r="AF1192" s="237"/>
      <c r="AG1192" s="237"/>
      <c r="AH1192" s="237"/>
    </row>
    <row r="1193" spans="1:34" ht="15.75"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4"/>
      <c r="AA1193" s="534"/>
      <c r="AB1193" s="435"/>
      <c r="AC1193" s="534"/>
      <c r="AD1193" s="237"/>
      <c r="AE1193" s="237"/>
      <c r="AF1193" s="237"/>
      <c r="AG1193" s="237"/>
      <c r="AH1193" s="237"/>
    </row>
    <row r="1194" spans="1:34" ht="15.75"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4"/>
      <c r="AA1194" s="534"/>
      <c r="AB1194" s="435"/>
      <c r="AC1194" s="534"/>
      <c r="AD1194" s="237"/>
      <c r="AE1194" s="237"/>
      <c r="AF1194" s="237"/>
      <c r="AG1194" s="237"/>
      <c r="AH1194" s="237"/>
    </row>
    <row r="1195" spans="1:34" ht="15.75"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4"/>
      <c r="AA1195" s="534"/>
      <c r="AB1195" s="435"/>
      <c r="AC1195" s="534"/>
      <c r="AD1195" s="237"/>
      <c r="AE1195" s="237"/>
      <c r="AF1195" s="237"/>
      <c r="AG1195" s="237"/>
      <c r="AH1195" s="237"/>
    </row>
    <row r="1196" spans="1:34" ht="15.75"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4"/>
      <c r="AA1196" s="534"/>
      <c r="AB1196" s="435"/>
      <c r="AC1196" s="534"/>
      <c r="AD1196" s="237"/>
      <c r="AE1196" s="237"/>
      <c r="AF1196" s="237"/>
      <c r="AG1196" s="237"/>
      <c r="AH1196" s="237"/>
    </row>
    <row r="1197" spans="1:34" ht="15.75"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4"/>
      <c r="AA1197" s="534"/>
      <c r="AB1197" s="435"/>
      <c r="AC1197" s="534"/>
      <c r="AD1197" s="237"/>
      <c r="AE1197" s="237"/>
      <c r="AF1197" s="237"/>
      <c r="AG1197" s="237"/>
      <c r="AH1197" s="237"/>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4"/>
      <c r="AA1198" s="534"/>
      <c r="AB1198" s="435"/>
      <c r="AC1198" s="534"/>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4"/>
      <c r="AA1199" s="534"/>
      <c r="AB1199" s="435"/>
      <c r="AC1199" s="534"/>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4"/>
      <c r="AA1200" s="534"/>
      <c r="AB1200" s="435"/>
      <c r="AC1200" s="534"/>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4"/>
      <c r="AA1201" s="534"/>
      <c r="AB1201" s="435"/>
      <c r="AC1201" s="534"/>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4"/>
      <c r="AA1202" s="534"/>
      <c r="AB1202" s="435"/>
      <c r="AC1202" s="534"/>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4"/>
      <c r="AA1203" s="534"/>
      <c r="AB1203" s="435"/>
      <c r="AC1203" s="534"/>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4"/>
      <c r="AA1204" s="534"/>
      <c r="AB1204" s="435"/>
      <c r="AC1204" s="534"/>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4"/>
      <c r="AA1205" s="534"/>
      <c r="AB1205" s="435"/>
      <c r="AC1205" s="534"/>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4"/>
      <c r="AA1206" s="534"/>
      <c r="AB1206" s="435"/>
      <c r="AC1206" s="534"/>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4"/>
      <c r="AA1207" s="534"/>
      <c r="AB1207" s="435"/>
      <c r="AC1207" s="534"/>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4"/>
      <c r="AA1208" s="534"/>
      <c r="AB1208" s="435"/>
      <c r="AC1208" s="534"/>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4"/>
      <c r="AA1209" s="534"/>
      <c r="AB1209" s="435"/>
      <c r="AC1209" s="534"/>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4"/>
      <c r="AA1210" s="534"/>
      <c r="AB1210" s="435"/>
      <c r="AC1210" s="534"/>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4"/>
      <c r="AA1211" s="534"/>
      <c r="AB1211" s="435"/>
      <c r="AC1211" s="534"/>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4"/>
      <c r="AA1212" s="534"/>
      <c r="AB1212" s="435"/>
      <c r="AC1212" s="534"/>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4"/>
      <c r="AA1213" s="534"/>
      <c r="AB1213" s="435"/>
      <c r="AC1213" s="534"/>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4"/>
      <c r="AA1214" s="534"/>
      <c r="AB1214" s="435"/>
      <c r="AC1214" s="534"/>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4"/>
      <c r="AA1215" s="534"/>
      <c r="AB1215" s="435"/>
      <c r="AC1215" s="534"/>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4"/>
      <c r="AA1216" s="534"/>
      <c r="AB1216" s="435"/>
      <c r="AC1216" s="534"/>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4"/>
      <c r="AA1217" s="534"/>
      <c r="AB1217" s="435"/>
      <c r="AC1217" s="534"/>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4"/>
      <c r="AA1218" s="534"/>
      <c r="AB1218" s="435"/>
      <c r="AC1218" s="534"/>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4"/>
      <c r="AA1219" s="534"/>
      <c r="AB1219" s="435"/>
      <c r="AC1219" s="534"/>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4"/>
      <c r="AA1220" s="534"/>
      <c r="AB1220" s="435"/>
      <c r="AC1220" s="534"/>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4"/>
      <c r="AA1221" s="534"/>
      <c r="AB1221" s="435"/>
      <c r="AC1221" s="534"/>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4"/>
      <c r="AA1222" s="534"/>
      <c r="AB1222" s="435"/>
      <c r="AC1222" s="534"/>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4"/>
      <c r="AA1223" s="534"/>
      <c r="AB1223" s="435"/>
      <c r="AC1223" s="534"/>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4"/>
      <c r="AA1224" s="534"/>
      <c r="AB1224" s="435"/>
      <c r="AC1224" s="534"/>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4"/>
      <c r="AA1225" s="534"/>
      <c r="AB1225" s="435"/>
      <c r="AC1225" s="534"/>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4"/>
      <c r="AA1226" s="534"/>
      <c r="AB1226" s="435"/>
      <c r="AC1226" s="534"/>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4"/>
      <c r="AA1227" s="534"/>
      <c r="AB1227" s="435"/>
      <c r="AC1227" s="534"/>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4"/>
      <c r="AA1228" s="534"/>
      <c r="AB1228" s="435"/>
      <c r="AC1228" s="534"/>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4"/>
      <c r="AA1229" s="534"/>
      <c r="AB1229" s="435"/>
      <c r="AC1229" s="534"/>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4"/>
      <c r="AA1230" s="534"/>
      <c r="AB1230" s="435"/>
      <c r="AC1230" s="534"/>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4"/>
      <c r="AA1231" s="534"/>
      <c r="AB1231" s="435"/>
      <c r="AC1231" s="534"/>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4"/>
      <c r="AA1232" s="534"/>
      <c r="AB1232" s="435"/>
      <c r="AC1232" s="534"/>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4"/>
      <c r="AA1233" s="534"/>
      <c r="AB1233" s="435"/>
      <c r="AC1233" s="534"/>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4"/>
      <c r="AA1234" s="534"/>
      <c r="AB1234" s="435"/>
      <c r="AC1234" s="534"/>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4"/>
      <c r="AA1235" s="534"/>
      <c r="AB1235" s="435"/>
      <c r="AC1235" s="534"/>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4"/>
      <c r="AA1236" s="534"/>
      <c r="AB1236" s="435"/>
      <c r="AC1236" s="534"/>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4"/>
      <c r="AA1237" s="534"/>
      <c r="AB1237" s="435"/>
      <c r="AC1237" s="534"/>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4"/>
      <c r="AA1238" s="534"/>
      <c r="AB1238" s="435"/>
      <c r="AC1238" s="534"/>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4"/>
      <c r="AA1239" s="534"/>
      <c r="AB1239" s="435"/>
      <c r="AC1239" s="534"/>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4"/>
      <c r="AA1240" s="534"/>
      <c r="AB1240" s="435"/>
      <c r="AC1240" s="534"/>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4"/>
      <c r="AA1241" s="534"/>
      <c r="AB1241" s="435"/>
      <c r="AC1241" s="534"/>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4"/>
      <c r="AA1242" s="534"/>
      <c r="AB1242" s="435"/>
      <c r="AC1242" s="534"/>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4"/>
      <c r="AA1243" s="534"/>
      <c r="AB1243" s="435"/>
      <c r="AC1243" s="534"/>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4"/>
      <c r="AA1244" s="534"/>
      <c r="AB1244" s="435"/>
      <c r="AC1244" s="534"/>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4"/>
      <c r="AA1245" s="534"/>
      <c r="AB1245" s="435"/>
      <c r="AC1245" s="534"/>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4"/>
      <c r="AA1246" s="534"/>
      <c r="AB1246" s="435"/>
      <c r="AC1246" s="534"/>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4"/>
      <c r="AA1247" s="534"/>
      <c r="AB1247" s="435"/>
      <c r="AC1247" s="534"/>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4"/>
      <c r="AA1248" s="534"/>
      <c r="AB1248" s="435"/>
      <c r="AC1248" s="534"/>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4"/>
      <c r="AA1249" s="534"/>
      <c r="AB1249" s="435"/>
      <c r="AC1249" s="534"/>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4"/>
      <c r="AA1250" s="534"/>
      <c r="AB1250" s="435"/>
      <c r="AC1250" s="534"/>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4"/>
      <c r="AA1251" s="534"/>
      <c r="AB1251" s="435"/>
      <c r="AC1251" s="534"/>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4"/>
      <c r="AA1252" s="534"/>
      <c r="AB1252" s="435"/>
      <c r="AC1252" s="534"/>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4"/>
      <c r="AA1253" s="534"/>
      <c r="AB1253" s="435"/>
      <c r="AC1253" s="534"/>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4"/>
      <c r="AA1254" s="534"/>
      <c r="AB1254" s="435"/>
      <c r="AC1254" s="534"/>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4"/>
      <c r="AA1255" s="534"/>
      <c r="AB1255" s="435"/>
      <c r="AC1255" s="534"/>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4"/>
      <c r="AA1256" s="534"/>
      <c r="AB1256" s="435"/>
      <c r="AC1256" s="534"/>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4"/>
      <c r="AA1257" s="534"/>
      <c r="AB1257" s="435"/>
      <c r="AC1257" s="534"/>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4"/>
      <c r="AA1258" s="534"/>
      <c r="AB1258" s="435"/>
      <c r="AC1258" s="534"/>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4"/>
      <c r="AA1259" s="534"/>
      <c r="AB1259" s="435"/>
      <c r="AC1259" s="534"/>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4"/>
      <c r="AA1260" s="534"/>
      <c r="AB1260" s="435"/>
      <c r="AC1260" s="534"/>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4"/>
      <c r="AA1261" s="534"/>
      <c r="AB1261" s="435"/>
      <c r="AC1261" s="534"/>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4"/>
      <c r="AA1262" s="534"/>
      <c r="AB1262" s="435"/>
      <c r="AC1262" s="534"/>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4"/>
      <c r="AA1263" s="534"/>
      <c r="AB1263" s="435"/>
      <c r="AC1263" s="534"/>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4"/>
      <c r="AA1264" s="534"/>
      <c r="AB1264" s="435"/>
      <c r="AC1264" s="534"/>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4"/>
      <c r="AA1265" s="534"/>
      <c r="AB1265" s="435"/>
      <c r="AC1265" s="534"/>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4"/>
      <c r="AA1266" s="534"/>
      <c r="AB1266" s="435"/>
      <c r="AC1266" s="534"/>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4"/>
      <c r="AA1267" s="534"/>
      <c r="AB1267" s="435"/>
      <c r="AC1267" s="534"/>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4"/>
      <c r="AA1268" s="534"/>
      <c r="AB1268" s="435"/>
      <c r="AC1268" s="534"/>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4"/>
      <c r="AA1269" s="534"/>
      <c r="AB1269" s="435"/>
      <c r="AC1269" s="534"/>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4"/>
      <c r="AA1270" s="534"/>
      <c r="AB1270" s="435"/>
      <c r="AC1270" s="534"/>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4"/>
      <c r="AA1271" s="534"/>
      <c r="AB1271" s="435"/>
      <c r="AC1271" s="534"/>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4"/>
      <c r="AA1272" s="534"/>
      <c r="AB1272" s="435"/>
      <c r="AC1272" s="534"/>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4"/>
      <c r="AA1273" s="534"/>
      <c r="AB1273" s="435"/>
      <c r="AC1273" s="534"/>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4"/>
      <c r="AA1274" s="534"/>
      <c r="AB1274" s="435"/>
      <c r="AC1274" s="534"/>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4"/>
      <c r="AA1275" s="534"/>
      <c r="AB1275" s="435"/>
      <c r="AC1275" s="534"/>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4"/>
      <c r="AA1276" s="534"/>
      <c r="AB1276" s="435"/>
      <c r="AC1276" s="534"/>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4"/>
      <c r="AA1277" s="534"/>
      <c r="AB1277" s="435"/>
      <c r="AC1277" s="534"/>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4"/>
      <c r="AA1278" s="534"/>
      <c r="AB1278" s="435"/>
      <c r="AC1278" s="534"/>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4"/>
      <c r="AA1279" s="534"/>
      <c r="AB1279" s="435"/>
      <c r="AC1279" s="534"/>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4"/>
      <c r="AA1280" s="534"/>
      <c r="AB1280" s="435"/>
      <c r="AC1280" s="534"/>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4"/>
      <c r="AA1281" s="534"/>
      <c r="AB1281" s="435"/>
      <c r="AC1281" s="534"/>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4"/>
      <c r="AA1282" s="534"/>
      <c r="AB1282" s="435"/>
      <c r="AC1282" s="534"/>
      <c r="AD1282" s="450"/>
      <c r="AE1282" s="450"/>
      <c r="AF1282" s="450"/>
      <c r="AG1282" s="450"/>
      <c r="AH1282" s="450"/>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3"/>
      <c r="Y1283" s="508"/>
      <c r="Z1283" s="534"/>
      <c r="AA1283" s="534"/>
      <c r="AB1283" s="435"/>
      <c r="AC1283" s="534"/>
      <c r="AD1283" s="450"/>
      <c r="AE1283" s="450"/>
      <c r="AF1283" s="450"/>
      <c r="AG1283" s="450"/>
      <c r="AH1283" s="450"/>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3"/>
      <c r="Y1284" s="508"/>
      <c r="Z1284" s="534"/>
      <c r="AA1284" s="534"/>
      <c r="AB1284" s="435"/>
      <c r="AC1284" s="534"/>
      <c r="AD1284" s="450"/>
      <c r="AE1284" s="450"/>
      <c r="AF1284" s="450"/>
      <c r="AG1284" s="450"/>
      <c r="AH1284" s="450"/>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3"/>
      <c r="Y1285" s="508"/>
      <c r="Z1285" s="534"/>
      <c r="AA1285" s="534"/>
      <c r="AB1285" s="435"/>
      <c r="AC1285" s="534"/>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4"/>
      <c r="AA1286" s="534"/>
      <c r="AB1286" s="435"/>
      <c r="AC1286" s="534"/>
      <c r="AD1286" s="450"/>
      <c r="AE1286" s="450"/>
      <c r="AF1286" s="450"/>
      <c r="AG1286" s="450"/>
      <c r="AH1286" s="450"/>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3"/>
      <c r="Y1287" s="508"/>
      <c r="Z1287" s="534"/>
      <c r="AA1287" s="534"/>
      <c r="AB1287" s="435"/>
      <c r="AC1287" s="534"/>
      <c r="AD1287" s="450"/>
      <c r="AE1287" s="450"/>
      <c r="AF1287" s="450"/>
      <c r="AG1287" s="450"/>
      <c r="AH1287" s="450"/>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3"/>
      <c r="Y1288" s="508"/>
      <c r="Z1288" s="534"/>
      <c r="AA1288" s="534"/>
      <c r="AB1288" s="435"/>
      <c r="AC1288" s="534"/>
      <c r="AD1288" s="450"/>
      <c r="AE1288" s="450"/>
      <c r="AF1288" s="450"/>
      <c r="AG1288" s="450"/>
      <c r="AH1288" s="450"/>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3"/>
      <c r="Y1289" s="508"/>
      <c r="Z1289" s="534"/>
      <c r="AA1289" s="534"/>
      <c r="AB1289" s="435"/>
      <c r="AC1289" s="534"/>
      <c r="AD1289" s="450"/>
      <c r="AE1289" s="450"/>
      <c r="AF1289" s="450"/>
      <c r="AG1289" s="450"/>
      <c r="AH1289" s="450"/>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3"/>
      <c r="Y1290" s="508"/>
      <c r="Z1290" s="534"/>
      <c r="AA1290" s="534"/>
      <c r="AB1290" s="435"/>
      <c r="AC1290" s="534"/>
      <c r="AD1290" s="450"/>
      <c r="AE1290" s="450"/>
      <c r="AF1290" s="450"/>
      <c r="AG1290" s="450"/>
      <c r="AH1290" s="450"/>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3"/>
      <c r="Y1291" s="508"/>
      <c r="Z1291" s="534"/>
      <c r="AA1291" s="534"/>
      <c r="AB1291" s="435"/>
      <c r="AC1291" s="534"/>
      <c r="AD1291" s="450"/>
      <c r="AE1291" s="450"/>
      <c r="AF1291" s="450"/>
      <c r="AG1291" s="450"/>
      <c r="AH1291" s="450"/>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3"/>
      <c r="Y1292" s="508"/>
      <c r="Z1292" s="534"/>
      <c r="AA1292" s="534"/>
      <c r="AB1292" s="435"/>
      <c r="AC1292" s="534"/>
      <c r="AD1292" s="450"/>
      <c r="AE1292" s="450"/>
      <c r="AF1292" s="450"/>
      <c r="AG1292" s="450"/>
      <c r="AH1292" s="450"/>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3"/>
      <c r="Y1293" s="508"/>
      <c r="Z1293" s="534"/>
      <c r="AA1293" s="534"/>
      <c r="AB1293" s="435"/>
      <c r="AC1293" s="534"/>
      <c r="AD1293" s="450"/>
      <c r="AE1293" s="450"/>
      <c r="AF1293" s="450"/>
      <c r="AG1293" s="450"/>
      <c r="AH1293" s="450"/>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3"/>
      <c r="Y1294" s="508"/>
      <c r="Z1294" s="534"/>
      <c r="AA1294" s="534"/>
      <c r="AB1294" s="435"/>
      <c r="AC1294" s="534"/>
      <c r="AD1294" s="450"/>
      <c r="AE1294" s="450"/>
      <c r="AF1294" s="450"/>
      <c r="AG1294" s="450"/>
      <c r="AH1294" s="450"/>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3"/>
      <c r="Y1295" s="508"/>
      <c r="Z1295" s="534"/>
      <c r="AA1295" s="534"/>
      <c r="AB1295" s="435"/>
      <c r="AC1295" s="534"/>
      <c r="AD1295" s="450"/>
      <c r="AE1295" s="450"/>
      <c r="AF1295" s="450"/>
      <c r="AG1295" s="450"/>
      <c r="AH1295" s="450"/>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3"/>
      <c r="Y1296" s="508"/>
      <c r="Z1296" s="534"/>
      <c r="AA1296" s="534"/>
      <c r="AB1296" s="435"/>
      <c r="AC1296" s="534"/>
      <c r="AD1296" s="450"/>
      <c r="AE1296" s="450"/>
      <c r="AF1296" s="450"/>
      <c r="AG1296" s="450"/>
      <c r="AH1296" s="450"/>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3"/>
      <c r="Y1297" s="508"/>
      <c r="Z1297" s="534"/>
      <c r="AA1297" s="534"/>
      <c r="AB1297" s="435"/>
      <c r="AC1297" s="534"/>
      <c r="AD1297" s="450"/>
      <c r="AE1297" s="450"/>
      <c r="AF1297" s="450"/>
      <c r="AG1297" s="450"/>
      <c r="AH1297" s="450"/>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3"/>
      <c r="Y1298" s="508"/>
      <c r="Z1298" s="534"/>
      <c r="AA1298" s="534"/>
      <c r="AB1298" s="435"/>
      <c r="AC1298" s="534"/>
      <c r="AD1298" s="450"/>
      <c r="AE1298" s="450"/>
      <c r="AF1298" s="450"/>
      <c r="AG1298" s="450"/>
      <c r="AH1298" s="450"/>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3"/>
      <c r="Y1299" s="508"/>
      <c r="Z1299" s="534"/>
      <c r="AA1299" s="534"/>
      <c r="AB1299" s="435"/>
      <c r="AC1299" s="534"/>
      <c r="AD1299" s="450"/>
      <c r="AE1299" s="450"/>
      <c r="AF1299" s="450"/>
      <c r="AG1299" s="450"/>
      <c r="AH1299" s="450"/>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3"/>
      <c r="Y1300" s="508"/>
      <c r="Z1300" s="534"/>
      <c r="AA1300" s="534"/>
      <c r="AB1300" s="435"/>
      <c r="AC1300" s="534"/>
      <c r="AD1300" s="450"/>
      <c r="AE1300" s="450"/>
      <c r="AF1300" s="450"/>
      <c r="AG1300" s="450"/>
      <c r="AH1300" s="450"/>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3"/>
      <c r="Y1301" s="508"/>
      <c r="Z1301" s="534"/>
      <c r="AA1301" s="534"/>
      <c r="AB1301" s="435"/>
      <c r="AC1301" s="534"/>
      <c r="AD1301" s="450"/>
      <c r="AE1301" s="450"/>
      <c r="AF1301" s="450"/>
      <c r="AG1301" s="450"/>
      <c r="AH1301" s="450"/>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3"/>
      <c r="Y1302" s="508"/>
      <c r="Z1302" s="534"/>
      <c r="AA1302" s="534"/>
      <c r="AB1302" s="435"/>
      <c r="AC1302" s="534"/>
      <c r="AD1302" s="450"/>
      <c r="AE1302" s="450"/>
      <c r="AF1302" s="450"/>
      <c r="AG1302" s="450"/>
      <c r="AH1302" s="450"/>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3"/>
      <c r="Y1303" s="508"/>
      <c r="Z1303" s="534"/>
      <c r="AA1303" s="534"/>
      <c r="AB1303" s="435"/>
      <c r="AC1303" s="534"/>
      <c r="AD1303" s="450"/>
      <c r="AE1303" s="450"/>
      <c r="AF1303" s="450"/>
      <c r="AG1303" s="450"/>
      <c r="AH1303" s="450"/>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3"/>
      <c r="Y1304" s="508"/>
      <c r="Z1304" s="534"/>
      <c r="AA1304" s="534"/>
      <c r="AB1304" s="435"/>
      <c r="AC1304" s="534"/>
      <c r="AD1304" s="450"/>
      <c r="AE1304" s="450"/>
      <c r="AF1304" s="450"/>
      <c r="AG1304" s="450"/>
      <c r="AH1304" s="450"/>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3"/>
      <c r="Y1305" s="508"/>
      <c r="Z1305" s="534"/>
      <c r="AA1305" s="534"/>
      <c r="AB1305" s="435"/>
      <c r="AC1305" s="534"/>
      <c r="AD1305" s="450"/>
      <c r="AE1305" s="450"/>
      <c r="AF1305" s="450"/>
      <c r="AG1305" s="450"/>
      <c r="AH1305" s="450"/>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3"/>
      <c r="Y1306" s="508"/>
      <c r="Z1306" s="534"/>
      <c r="AA1306" s="534"/>
      <c r="AB1306" s="435"/>
      <c r="AC1306" s="534"/>
      <c r="AD1306" s="450"/>
      <c r="AE1306" s="450"/>
      <c r="AF1306" s="450"/>
      <c r="AG1306" s="450"/>
      <c r="AH1306" s="450"/>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3"/>
      <c r="Y1307" s="508"/>
      <c r="Z1307" s="534"/>
      <c r="AA1307" s="534"/>
      <c r="AB1307" s="435"/>
      <c r="AC1307" s="534"/>
      <c r="AD1307" s="450"/>
      <c r="AE1307" s="450"/>
      <c r="AF1307" s="450"/>
      <c r="AG1307" s="450"/>
      <c r="AH1307" s="450"/>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3"/>
      <c r="Y1308" s="508"/>
      <c r="Z1308" s="534"/>
      <c r="AA1308" s="534"/>
      <c r="AB1308" s="435"/>
      <c r="AC1308" s="534"/>
      <c r="AD1308" s="450"/>
      <c r="AE1308" s="450"/>
      <c r="AF1308" s="450"/>
      <c r="AG1308" s="450"/>
      <c r="AH1308" s="450"/>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3"/>
      <c r="Y1309" s="508"/>
      <c r="Z1309" s="534"/>
      <c r="AA1309" s="534"/>
      <c r="AB1309" s="435"/>
      <c r="AC1309" s="534"/>
      <c r="AD1309" s="450"/>
      <c r="AE1309" s="450"/>
      <c r="AF1309" s="450"/>
      <c r="AG1309" s="450"/>
      <c r="AH1309" s="450"/>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3"/>
      <c r="Y1310" s="508"/>
      <c r="Z1310" s="534"/>
      <c r="AA1310" s="534"/>
      <c r="AB1310" s="435"/>
      <c r="AC1310" s="534"/>
      <c r="AD1310" s="450"/>
      <c r="AE1310" s="450"/>
      <c r="AF1310" s="450"/>
      <c r="AG1310" s="450"/>
      <c r="AH1310" s="450"/>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3"/>
      <c r="Y1311" s="508"/>
      <c r="Z1311" s="534"/>
      <c r="AA1311" s="534"/>
      <c r="AB1311" s="435"/>
      <c r="AC1311" s="534"/>
      <c r="AD1311" s="450"/>
      <c r="AE1311" s="450"/>
      <c r="AF1311" s="450"/>
      <c r="AG1311" s="450"/>
      <c r="AH1311" s="450"/>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3"/>
      <c r="Y1312" s="508"/>
      <c r="Z1312" s="534"/>
      <c r="AA1312" s="534"/>
      <c r="AB1312" s="435"/>
      <c r="AC1312" s="534"/>
      <c r="AD1312" s="450"/>
      <c r="AE1312" s="450"/>
      <c r="AF1312" s="450"/>
      <c r="AG1312" s="450"/>
      <c r="AH1312" s="450"/>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3"/>
      <c r="Y1313" s="508"/>
      <c r="Z1313" s="534"/>
      <c r="AA1313" s="534"/>
      <c r="AB1313" s="435"/>
      <c r="AC1313" s="534"/>
      <c r="AD1313" s="450"/>
      <c r="AE1313" s="450"/>
      <c r="AF1313" s="450"/>
      <c r="AG1313" s="450"/>
      <c r="AH1313" s="450"/>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3"/>
      <c r="Y1314" s="508"/>
      <c r="Z1314" s="534"/>
      <c r="AA1314" s="534"/>
      <c r="AB1314" s="435"/>
      <c r="AC1314" s="534"/>
      <c r="AD1314" s="450"/>
      <c r="AE1314" s="450"/>
      <c r="AF1314" s="450"/>
      <c r="AG1314" s="450"/>
      <c r="AH1314" s="450"/>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3"/>
      <c r="Y1315" s="508"/>
      <c r="Z1315" s="534"/>
      <c r="AA1315" s="534"/>
      <c r="AB1315" s="435"/>
      <c r="AC1315" s="534"/>
      <c r="AD1315" s="450"/>
      <c r="AE1315" s="450"/>
      <c r="AF1315" s="450"/>
      <c r="AG1315" s="450"/>
      <c r="AH1315" s="450"/>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3"/>
      <c r="Y1316" s="508"/>
      <c r="Z1316" s="534"/>
      <c r="AA1316" s="534"/>
      <c r="AB1316" s="435"/>
      <c r="AC1316" s="534"/>
      <c r="AD1316" s="450"/>
      <c r="AE1316" s="450"/>
      <c r="AF1316" s="450"/>
      <c r="AG1316" s="450"/>
      <c r="AH1316" s="450"/>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3"/>
      <c r="Y1317" s="508"/>
      <c r="Z1317" s="534"/>
      <c r="AA1317" s="534"/>
      <c r="AB1317" s="435"/>
      <c r="AC1317" s="534"/>
      <c r="AD1317" s="450"/>
      <c r="AE1317" s="450"/>
      <c r="AF1317" s="450"/>
      <c r="AG1317" s="450"/>
      <c r="AH1317" s="450"/>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3"/>
      <c r="Y1318" s="508"/>
      <c r="Z1318" s="534"/>
      <c r="AA1318" s="534"/>
      <c r="AB1318" s="435"/>
      <c r="AC1318" s="534"/>
      <c r="AD1318" s="450"/>
      <c r="AE1318" s="450"/>
      <c r="AF1318" s="450"/>
      <c r="AG1318" s="450"/>
      <c r="AH1318" s="450"/>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3"/>
      <c r="Y1319" s="508"/>
      <c r="Z1319" s="534"/>
      <c r="AA1319" s="534"/>
      <c r="AB1319" s="435"/>
      <c r="AC1319" s="534"/>
      <c r="AD1319" s="450"/>
      <c r="AE1319" s="450"/>
      <c r="AF1319" s="450"/>
      <c r="AG1319" s="450"/>
      <c r="AH1319" s="450"/>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3"/>
      <c r="Y1320" s="508"/>
      <c r="Z1320" s="534"/>
      <c r="AA1320" s="534"/>
      <c r="AB1320" s="435"/>
      <c r="AC1320" s="534"/>
      <c r="AD1320" s="450"/>
      <c r="AE1320" s="450"/>
      <c r="AF1320" s="450"/>
      <c r="AG1320" s="450"/>
      <c r="AH1320" s="450"/>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3"/>
      <c r="Y1321" s="508"/>
      <c r="Z1321" s="534"/>
      <c r="AA1321" s="534"/>
      <c r="AB1321" s="435"/>
      <c r="AC1321" s="534"/>
      <c r="AD1321" s="450"/>
      <c r="AE1321" s="450"/>
      <c r="AF1321" s="450"/>
      <c r="AG1321" s="450"/>
      <c r="AH1321" s="450"/>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3"/>
      <c r="Y1322" s="508"/>
      <c r="Z1322" s="534"/>
      <c r="AA1322" s="534"/>
      <c r="AB1322" s="435"/>
      <c r="AC1322" s="534"/>
      <c r="AD1322" s="450"/>
      <c r="AE1322" s="450"/>
      <c r="AF1322" s="450"/>
      <c r="AG1322" s="450"/>
      <c r="AH1322" s="450"/>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3"/>
      <c r="Y1323" s="508"/>
      <c r="Z1323" s="534"/>
      <c r="AA1323" s="534"/>
      <c r="AB1323" s="435"/>
      <c r="AC1323" s="534"/>
      <c r="AD1323" s="450"/>
      <c r="AE1323" s="450"/>
      <c r="AF1323" s="450"/>
      <c r="AG1323" s="450"/>
      <c r="AH1323" s="450"/>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3"/>
      <c r="Y1324" s="508"/>
      <c r="Z1324" s="534"/>
      <c r="AA1324" s="534"/>
      <c r="AB1324" s="435"/>
      <c r="AC1324" s="534"/>
      <c r="AD1324" s="450"/>
      <c r="AE1324" s="450"/>
      <c r="AF1324" s="450"/>
      <c r="AG1324" s="450"/>
      <c r="AH1324" s="450"/>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3"/>
      <c r="Y1325" s="508"/>
      <c r="Z1325" s="534"/>
      <c r="AA1325" s="534"/>
      <c r="AB1325" s="435"/>
      <c r="AC1325" s="534"/>
      <c r="AD1325" s="450"/>
      <c r="AE1325" s="450"/>
      <c r="AF1325" s="450"/>
      <c r="AG1325" s="450"/>
      <c r="AH1325" s="450"/>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3"/>
      <c r="Y1326" s="508"/>
      <c r="Z1326" s="534"/>
      <c r="AA1326" s="534"/>
      <c r="AB1326" s="435"/>
      <c r="AC1326" s="534"/>
      <c r="AD1326" s="450"/>
      <c r="AE1326" s="450"/>
      <c r="AF1326" s="450"/>
      <c r="AG1326" s="450"/>
      <c r="AH1326" s="450"/>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3"/>
      <c r="Y1327" s="508"/>
      <c r="Z1327" s="534"/>
      <c r="AA1327" s="534"/>
      <c r="AB1327" s="435"/>
      <c r="AC1327" s="534"/>
      <c r="AD1327" s="450"/>
      <c r="AE1327" s="450"/>
      <c r="AF1327" s="450"/>
      <c r="AG1327" s="450"/>
      <c r="AH1327" s="450"/>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3"/>
      <c r="Y1328" s="508"/>
      <c r="Z1328" s="534"/>
      <c r="AA1328" s="534"/>
      <c r="AB1328" s="435"/>
      <c r="AC1328" s="534"/>
      <c r="AD1328" s="450"/>
      <c r="AE1328" s="450"/>
      <c r="AF1328" s="450"/>
      <c r="AG1328" s="450"/>
      <c r="AH1328" s="450"/>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3"/>
      <c r="Y1329" s="508"/>
      <c r="Z1329" s="534"/>
      <c r="AA1329" s="534"/>
      <c r="AB1329" s="435"/>
      <c r="AC1329" s="534"/>
      <c r="AD1329" s="450"/>
      <c r="AE1329" s="450"/>
      <c r="AF1329" s="450"/>
      <c r="AG1329" s="450"/>
      <c r="AH1329" s="450"/>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3"/>
      <c r="Y1330" s="508"/>
      <c r="Z1330" s="534"/>
      <c r="AA1330" s="534"/>
      <c r="AB1330" s="435"/>
      <c r="AC1330" s="534"/>
      <c r="AD1330" s="450"/>
      <c r="AE1330" s="450"/>
      <c r="AF1330" s="450"/>
      <c r="AG1330" s="450"/>
      <c r="AH1330" s="450"/>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3"/>
      <c r="Y1331" s="508"/>
      <c r="Z1331" s="534"/>
      <c r="AA1331" s="534"/>
      <c r="AB1331" s="435"/>
      <c r="AC1331" s="534"/>
      <c r="AD1331" s="450"/>
      <c r="AE1331" s="450"/>
      <c r="AF1331" s="450"/>
      <c r="AG1331" s="450"/>
      <c r="AH1331" s="450"/>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3"/>
      <c r="Y1332" s="508"/>
      <c r="Z1332" s="534"/>
      <c r="AA1332" s="534"/>
      <c r="AB1332" s="435"/>
      <c r="AC1332" s="534"/>
      <c r="AD1332" s="450"/>
      <c r="AE1332" s="450"/>
      <c r="AF1332" s="450"/>
      <c r="AG1332" s="450"/>
      <c r="AH1332" s="450"/>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3"/>
      <c r="Y1333" s="508"/>
      <c r="Z1333" s="534"/>
      <c r="AA1333" s="534"/>
      <c r="AB1333" s="435"/>
      <c r="AC1333" s="534"/>
      <c r="AD1333" s="450"/>
      <c r="AE1333" s="450"/>
      <c r="AF1333" s="450"/>
      <c r="AG1333" s="450"/>
      <c r="AH1333" s="450"/>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3"/>
      <c r="Y1334" s="508"/>
      <c r="Z1334" s="534"/>
      <c r="AA1334" s="534"/>
      <c r="AB1334" s="435"/>
      <c r="AC1334" s="534"/>
      <c r="AD1334" s="450"/>
      <c r="AE1334" s="450"/>
      <c r="AF1334" s="450"/>
      <c r="AG1334" s="450"/>
      <c r="AH1334" s="450"/>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3"/>
      <c r="Y1335" s="508"/>
      <c r="Z1335" s="534"/>
      <c r="AA1335" s="534"/>
      <c r="AB1335" s="435"/>
      <c r="AC1335" s="534"/>
      <c r="AD1335" s="450"/>
      <c r="AE1335" s="450"/>
      <c r="AF1335" s="450"/>
      <c r="AG1335" s="450"/>
      <c r="AH1335" s="450"/>
    </row>
    <row r="1336" spans="1:34" x14ac:dyDescent="0.25">
      <c r="A1336" s="237"/>
      <c r="B1336" s="237"/>
      <c r="C1336" s="237"/>
      <c r="D1336" s="237"/>
      <c r="E1336" s="237"/>
      <c r="F1336" s="237"/>
      <c r="G1336" s="237"/>
      <c r="H1336" s="237"/>
      <c r="I1336" s="237"/>
      <c r="J1336" s="237"/>
      <c r="K1336" s="237"/>
      <c r="L1336" s="237"/>
      <c r="M1336" s="237"/>
      <c r="N1336" s="237"/>
      <c r="O1336" s="237"/>
      <c r="P1336" s="237"/>
      <c r="R1336" s="237"/>
      <c r="S1336" s="237"/>
      <c r="W1336" s="237"/>
      <c r="X1336" s="503"/>
      <c r="Y1336" s="508"/>
      <c r="Z1336" s="534"/>
      <c r="AA1336" s="534"/>
      <c r="AB1336" s="435"/>
      <c r="AC1336" s="534"/>
      <c r="AD1336" s="450"/>
      <c r="AE1336" s="450"/>
      <c r="AF1336" s="450"/>
      <c r="AG1336" s="450"/>
      <c r="AH1336" s="450"/>
    </row>
    <row r="1337" spans="1:34" x14ac:dyDescent="0.25">
      <c r="A1337" s="237"/>
      <c r="B1337" s="237"/>
      <c r="C1337" s="237"/>
      <c r="D1337" s="237"/>
      <c r="E1337" s="237"/>
      <c r="F1337" s="237"/>
      <c r="G1337" s="237"/>
      <c r="H1337" s="237"/>
      <c r="I1337" s="237"/>
      <c r="J1337" s="237"/>
      <c r="K1337" s="237"/>
      <c r="L1337" s="237"/>
      <c r="M1337" s="237"/>
      <c r="N1337" s="237"/>
      <c r="O1337" s="237"/>
      <c r="P1337" s="237"/>
      <c r="R1337" s="237"/>
      <c r="S1337" s="237"/>
      <c r="W1337" s="237"/>
      <c r="X1337" s="503"/>
      <c r="Y1337" s="508"/>
      <c r="Z1337" s="534"/>
      <c r="AA1337" s="534"/>
      <c r="AB1337" s="435"/>
      <c r="AC1337" s="534"/>
      <c r="AD1337" s="450"/>
      <c r="AE1337" s="450"/>
      <c r="AF1337" s="450"/>
      <c r="AG1337" s="450"/>
      <c r="AH1337" s="450"/>
    </row>
    <row r="1338" spans="1:34" x14ac:dyDescent="0.25">
      <c r="A1338" s="237"/>
      <c r="B1338" s="237"/>
      <c r="C1338" s="237"/>
      <c r="D1338" s="237"/>
      <c r="E1338" s="237"/>
      <c r="F1338" s="237"/>
      <c r="G1338" s="237"/>
      <c r="H1338" s="237"/>
      <c r="I1338" s="237"/>
      <c r="J1338" s="237"/>
      <c r="K1338" s="237"/>
      <c r="L1338" s="237"/>
      <c r="M1338" s="237"/>
      <c r="N1338" s="237"/>
      <c r="O1338" s="237"/>
      <c r="P1338" s="237"/>
      <c r="R1338" s="237"/>
      <c r="S1338" s="237"/>
      <c r="W1338" s="237"/>
      <c r="X1338" s="503"/>
      <c r="Y1338" s="508"/>
      <c r="Z1338" s="534"/>
      <c r="AA1338" s="534"/>
      <c r="AB1338" s="435"/>
      <c r="AC1338" s="534"/>
      <c r="AD1338" s="450"/>
      <c r="AE1338" s="450"/>
      <c r="AF1338" s="450"/>
      <c r="AG1338" s="450"/>
      <c r="AH1338" s="450"/>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3"/>
      <c r="Y1339" s="508"/>
      <c r="Z1339" s="534"/>
      <c r="AA1339" s="534"/>
      <c r="AB1339" s="435"/>
      <c r="AC1339" s="534"/>
      <c r="AD1339" s="450"/>
      <c r="AE1339" s="450"/>
      <c r="AF1339" s="450"/>
      <c r="AG1339" s="450"/>
      <c r="AH1339" s="450"/>
    </row>
    <row r="1340" spans="1:34" x14ac:dyDescent="0.25">
      <c r="A1340" s="237"/>
      <c r="B1340" s="237"/>
      <c r="C1340" s="237"/>
      <c r="D1340" s="237"/>
      <c r="E1340" s="237"/>
      <c r="F1340" s="237"/>
      <c r="G1340" s="237"/>
      <c r="H1340" s="237"/>
      <c r="I1340" s="237"/>
      <c r="J1340" s="237"/>
      <c r="K1340" s="237"/>
      <c r="L1340" s="237"/>
      <c r="M1340" s="237"/>
      <c r="N1340" s="237"/>
      <c r="O1340" s="237"/>
      <c r="P1340" s="237"/>
      <c r="R1340" s="237"/>
      <c r="S1340" s="237"/>
      <c r="W1340" s="237"/>
      <c r="X1340" s="503"/>
      <c r="Y1340" s="508"/>
      <c r="Z1340" s="534"/>
      <c r="AA1340" s="534"/>
      <c r="AB1340" s="435"/>
      <c r="AC1340" s="534"/>
      <c r="AD1340" s="450"/>
      <c r="AE1340" s="450"/>
      <c r="AF1340" s="450"/>
      <c r="AG1340" s="450"/>
      <c r="AH1340" s="450"/>
    </row>
    <row r="1341" spans="1:34" x14ac:dyDescent="0.25">
      <c r="A1341" s="237"/>
      <c r="B1341" s="237"/>
      <c r="C1341" s="237"/>
      <c r="D1341" s="237"/>
      <c r="E1341" s="237"/>
      <c r="F1341" s="237"/>
      <c r="G1341" s="237"/>
      <c r="H1341" s="237"/>
      <c r="I1341" s="237"/>
      <c r="J1341" s="237"/>
      <c r="K1341" s="237"/>
      <c r="L1341" s="237"/>
      <c r="M1341" s="237"/>
      <c r="N1341" s="237"/>
      <c r="O1341" s="237"/>
      <c r="P1341" s="237"/>
      <c r="R1341" s="237"/>
      <c r="S1341" s="237"/>
      <c r="W1341" s="237"/>
      <c r="X1341" s="503"/>
      <c r="Y1341" s="508"/>
      <c r="Z1341" s="534"/>
      <c r="AA1341" s="534"/>
      <c r="AB1341" s="435"/>
      <c r="AC1341" s="534"/>
      <c r="AD1341" s="450"/>
      <c r="AE1341" s="450"/>
      <c r="AF1341" s="450"/>
      <c r="AG1341" s="450"/>
      <c r="AH1341" s="450"/>
    </row>
    <row r="1342" spans="1:34" x14ac:dyDescent="0.25">
      <c r="A1342" s="237"/>
      <c r="B1342" s="237"/>
      <c r="C1342" s="237"/>
      <c r="D1342" s="237"/>
      <c r="E1342" s="237"/>
      <c r="F1342" s="237"/>
      <c r="G1342" s="237"/>
      <c r="H1342" s="237"/>
      <c r="I1342" s="237"/>
      <c r="J1342" s="237"/>
      <c r="K1342" s="237"/>
      <c r="L1342" s="237"/>
      <c r="M1342" s="237"/>
      <c r="N1342" s="237"/>
      <c r="O1342" s="237"/>
      <c r="P1342" s="237"/>
      <c r="R1342" s="237"/>
      <c r="S1342" s="237"/>
      <c r="W1342" s="237"/>
      <c r="X1342" s="503"/>
      <c r="Y1342" s="508"/>
      <c r="Z1342" s="534"/>
      <c r="AA1342" s="534"/>
      <c r="AB1342" s="435"/>
      <c r="AC1342" s="534"/>
      <c r="AD1342" s="450"/>
      <c r="AE1342" s="450"/>
      <c r="AF1342" s="450"/>
      <c r="AG1342" s="450"/>
      <c r="AH1342" s="450"/>
    </row>
    <row r="1343" spans="1:34" x14ac:dyDescent="0.25">
      <c r="A1343" s="237"/>
      <c r="B1343" s="237"/>
      <c r="C1343" s="237"/>
      <c r="D1343" s="237"/>
      <c r="E1343" s="237"/>
      <c r="F1343" s="237"/>
      <c r="G1343" s="237"/>
      <c r="H1343" s="237"/>
      <c r="I1343" s="237"/>
      <c r="J1343" s="237"/>
      <c r="K1343" s="237"/>
      <c r="L1343" s="237"/>
      <c r="M1343" s="237"/>
      <c r="N1343" s="237"/>
      <c r="O1343" s="237"/>
      <c r="P1343" s="237"/>
      <c r="R1343" s="237"/>
      <c r="S1343" s="237"/>
      <c r="W1343" s="237"/>
      <c r="X1343" s="503"/>
      <c r="Y1343" s="508"/>
      <c r="Z1343" s="534"/>
      <c r="AA1343" s="534"/>
      <c r="AB1343" s="435"/>
      <c r="AC1343" s="534"/>
      <c r="AD1343" s="450"/>
      <c r="AE1343" s="450"/>
      <c r="AF1343" s="450"/>
      <c r="AG1343" s="450"/>
      <c r="AH1343" s="450"/>
    </row>
    <row r="1344" spans="1:34" x14ac:dyDescent="0.25">
      <c r="A1344" s="237"/>
      <c r="B1344" s="237"/>
      <c r="C1344" s="237"/>
      <c r="D1344" s="237"/>
      <c r="E1344" s="237"/>
      <c r="F1344" s="237"/>
      <c r="G1344" s="237"/>
      <c r="H1344" s="237"/>
      <c r="I1344" s="237"/>
      <c r="J1344" s="237"/>
      <c r="K1344" s="237"/>
      <c r="L1344" s="237"/>
      <c r="M1344" s="237"/>
      <c r="N1344" s="237"/>
      <c r="O1344" s="237"/>
      <c r="P1344" s="237"/>
      <c r="R1344" s="237"/>
      <c r="S1344" s="237"/>
      <c r="W1344" s="237"/>
      <c r="X1344" s="503"/>
      <c r="Y1344" s="508"/>
      <c r="Z1344" s="534"/>
      <c r="AA1344" s="534"/>
      <c r="AB1344" s="435"/>
      <c r="AC1344" s="534"/>
      <c r="AD1344" s="450"/>
      <c r="AE1344" s="450"/>
      <c r="AF1344" s="450"/>
      <c r="AG1344" s="450"/>
      <c r="AH1344" s="450"/>
    </row>
    <row r="1345" spans="1:34" x14ac:dyDescent="0.25">
      <c r="A1345" s="237"/>
      <c r="B1345" s="237"/>
      <c r="C1345" s="237"/>
      <c r="D1345" s="237"/>
      <c r="E1345" s="237"/>
      <c r="F1345" s="237"/>
      <c r="G1345" s="237"/>
      <c r="H1345" s="237"/>
      <c r="I1345" s="237"/>
      <c r="J1345" s="237"/>
      <c r="K1345" s="237"/>
      <c r="L1345" s="237"/>
      <c r="M1345" s="237"/>
      <c r="N1345" s="237"/>
      <c r="O1345" s="237"/>
      <c r="P1345" s="237"/>
      <c r="R1345" s="237"/>
      <c r="S1345" s="237"/>
      <c r="W1345" s="237"/>
      <c r="X1345" s="503"/>
      <c r="Y1345" s="508"/>
      <c r="Z1345" s="534"/>
      <c r="AA1345" s="534"/>
      <c r="AB1345" s="435"/>
      <c r="AC1345" s="534"/>
      <c r="AD1345" s="450"/>
      <c r="AE1345" s="450"/>
      <c r="AF1345" s="450"/>
      <c r="AG1345" s="450"/>
      <c r="AH1345" s="450"/>
    </row>
    <row r="1346" spans="1:34" x14ac:dyDescent="0.25">
      <c r="A1346" s="237"/>
      <c r="B1346" s="237"/>
      <c r="C1346" s="237"/>
      <c r="D1346" s="237"/>
      <c r="E1346" s="237"/>
      <c r="F1346" s="237"/>
      <c r="G1346" s="237"/>
      <c r="H1346" s="237"/>
      <c r="I1346" s="237"/>
      <c r="J1346" s="237"/>
      <c r="K1346" s="237"/>
      <c r="L1346" s="237"/>
      <c r="M1346" s="237"/>
      <c r="N1346" s="237"/>
      <c r="O1346" s="237"/>
      <c r="P1346" s="237"/>
      <c r="R1346" s="237"/>
      <c r="S1346" s="237"/>
      <c r="W1346" s="237"/>
      <c r="X1346" s="503"/>
      <c r="Y1346" s="508"/>
      <c r="Z1346" s="534"/>
      <c r="AA1346" s="534"/>
      <c r="AB1346" s="435"/>
      <c r="AC1346" s="534"/>
      <c r="AD1346" s="450"/>
      <c r="AE1346" s="450"/>
      <c r="AF1346" s="450"/>
      <c r="AG1346" s="450"/>
      <c r="AH1346" s="450"/>
    </row>
    <row r="1347" spans="1:34" x14ac:dyDescent="0.25">
      <c r="A1347" s="237"/>
      <c r="B1347" s="237"/>
      <c r="C1347" s="237"/>
      <c r="D1347" s="237"/>
      <c r="E1347" s="237"/>
      <c r="F1347" s="237"/>
      <c r="G1347" s="237"/>
      <c r="H1347" s="237"/>
      <c r="I1347" s="237"/>
      <c r="J1347" s="237"/>
      <c r="K1347" s="237"/>
      <c r="L1347" s="237"/>
      <c r="M1347" s="237"/>
      <c r="N1347" s="237"/>
      <c r="O1347" s="237"/>
      <c r="P1347" s="237"/>
      <c r="R1347" s="237"/>
      <c r="S1347" s="237"/>
      <c r="W1347" s="237"/>
      <c r="X1347" s="503"/>
      <c r="Y1347" s="508"/>
      <c r="Z1347" s="534"/>
      <c r="AA1347" s="534"/>
      <c r="AB1347" s="435"/>
      <c r="AC1347" s="534"/>
      <c r="AD1347" s="450"/>
      <c r="AE1347" s="450"/>
      <c r="AF1347" s="450"/>
      <c r="AG1347" s="450"/>
      <c r="AH1347" s="450"/>
    </row>
    <row r="1348" spans="1:34" x14ac:dyDescent="0.25">
      <c r="A1348" s="237"/>
      <c r="B1348" s="237"/>
      <c r="C1348" s="237"/>
      <c r="D1348" s="237"/>
      <c r="E1348" s="237"/>
      <c r="F1348" s="237"/>
      <c r="G1348" s="237"/>
      <c r="H1348" s="237"/>
      <c r="I1348" s="237"/>
      <c r="J1348" s="237"/>
      <c r="K1348" s="237"/>
      <c r="L1348" s="237"/>
      <c r="M1348" s="237"/>
      <c r="N1348" s="237"/>
      <c r="O1348" s="237"/>
      <c r="P1348" s="237"/>
      <c r="R1348" s="237"/>
      <c r="S1348" s="237"/>
      <c r="W1348" s="237"/>
      <c r="X1348" s="503"/>
      <c r="Y1348" s="508"/>
      <c r="Z1348" s="534"/>
      <c r="AA1348" s="534"/>
      <c r="AB1348" s="435"/>
      <c r="AC1348" s="534"/>
      <c r="AD1348" s="450"/>
      <c r="AE1348" s="450"/>
      <c r="AF1348" s="450"/>
      <c r="AG1348" s="450"/>
      <c r="AH1348" s="450"/>
    </row>
    <row r="1349" spans="1:34" x14ac:dyDescent="0.25">
      <c r="A1349" s="237"/>
      <c r="B1349" s="237"/>
      <c r="C1349" s="237"/>
      <c r="D1349" s="237"/>
      <c r="E1349" s="237"/>
      <c r="F1349" s="237"/>
      <c r="G1349" s="237"/>
      <c r="H1349" s="237"/>
      <c r="I1349" s="237"/>
      <c r="J1349" s="237"/>
      <c r="K1349" s="237"/>
      <c r="L1349" s="237"/>
      <c r="M1349" s="237"/>
      <c r="N1349" s="237"/>
      <c r="O1349" s="237"/>
      <c r="P1349" s="237"/>
      <c r="R1349" s="237"/>
      <c r="S1349" s="237"/>
      <c r="W1349" s="237"/>
      <c r="X1349" s="503"/>
      <c r="Y1349" s="508"/>
      <c r="Z1349" s="534"/>
      <c r="AA1349" s="534"/>
      <c r="AB1349" s="435"/>
      <c r="AC1349" s="534"/>
      <c r="AD1349" s="450"/>
      <c r="AE1349" s="450"/>
      <c r="AF1349" s="450"/>
      <c r="AG1349" s="450"/>
      <c r="AH1349" s="450"/>
    </row>
    <row r="1350" spans="1:34" x14ac:dyDescent="0.25">
      <c r="A1350" s="237"/>
      <c r="B1350" s="237"/>
      <c r="C1350" s="237"/>
      <c r="D1350" s="237"/>
      <c r="E1350" s="237"/>
      <c r="F1350" s="237"/>
      <c r="G1350" s="237"/>
      <c r="H1350" s="237"/>
      <c r="I1350" s="237"/>
      <c r="J1350" s="237"/>
      <c r="K1350" s="237"/>
      <c r="L1350" s="237"/>
      <c r="M1350" s="237"/>
      <c r="N1350" s="237"/>
      <c r="O1350" s="237"/>
      <c r="P1350" s="237"/>
      <c r="R1350" s="237"/>
      <c r="S1350" s="237"/>
      <c r="W1350" s="237"/>
      <c r="X1350" s="503"/>
      <c r="Y1350" s="508"/>
      <c r="Z1350" s="534"/>
      <c r="AA1350" s="534"/>
      <c r="AB1350" s="435"/>
      <c r="AC1350" s="534"/>
      <c r="AD1350" s="450"/>
      <c r="AE1350" s="450"/>
      <c r="AF1350" s="450"/>
      <c r="AG1350" s="450"/>
      <c r="AH1350" s="450"/>
    </row>
    <row r="1351" spans="1:34" x14ac:dyDescent="0.25">
      <c r="A1351" s="237"/>
      <c r="B1351" s="237"/>
      <c r="C1351" s="237"/>
      <c r="D1351" s="237"/>
      <c r="E1351" s="237"/>
      <c r="F1351" s="237"/>
      <c r="G1351" s="237"/>
      <c r="H1351" s="237"/>
      <c r="I1351" s="237"/>
      <c r="J1351" s="237"/>
      <c r="K1351" s="237"/>
      <c r="L1351" s="237"/>
      <c r="M1351" s="237"/>
      <c r="N1351" s="237"/>
      <c r="O1351" s="237"/>
      <c r="P1351" s="237"/>
      <c r="R1351" s="237"/>
      <c r="S1351" s="237"/>
      <c r="W1351" s="237"/>
      <c r="X1351" s="503"/>
      <c r="Y1351" s="508"/>
      <c r="Z1351" s="534"/>
      <c r="AA1351" s="534"/>
      <c r="AB1351" s="435"/>
      <c r="AC1351" s="534"/>
      <c r="AD1351" s="450"/>
      <c r="AE1351" s="450"/>
      <c r="AF1351" s="450"/>
      <c r="AG1351" s="450"/>
      <c r="AH1351" s="450"/>
    </row>
    <row r="1352" spans="1:34" x14ac:dyDescent="0.25">
      <c r="A1352" s="237"/>
      <c r="B1352" s="237"/>
      <c r="C1352" s="237"/>
      <c r="D1352" s="237"/>
      <c r="E1352" s="237"/>
      <c r="F1352" s="237"/>
      <c r="G1352" s="237"/>
      <c r="H1352" s="237"/>
      <c r="I1352" s="237"/>
      <c r="J1352" s="237"/>
      <c r="K1352" s="237"/>
      <c r="L1352" s="237"/>
      <c r="M1352" s="237"/>
      <c r="N1352" s="237"/>
      <c r="O1352" s="237"/>
      <c r="P1352" s="237"/>
      <c r="R1352" s="237"/>
      <c r="S1352" s="237"/>
      <c r="W1352" s="237"/>
      <c r="X1352" s="503"/>
      <c r="Y1352" s="508"/>
      <c r="Z1352" s="534"/>
      <c r="AA1352" s="534"/>
      <c r="AB1352" s="435"/>
      <c r="AC1352" s="534"/>
      <c r="AD1352" s="450"/>
      <c r="AE1352" s="450"/>
      <c r="AF1352" s="450"/>
      <c r="AG1352" s="450"/>
      <c r="AH1352" s="450"/>
    </row>
    <row r="1353" spans="1:34" x14ac:dyDescent="0.25">
      <c r="A1353" s="237"/>
      <c r="B1353" s="237"/>
      <c r="C1353" s="237"/>
      <c r="D1353" s="237"/>
      <c r="E1353" s="237"/>
      <c r="F1353" s="237"/>
      <c r="G1353" s="237"/>
      <c r="H1353" s="237"/>
      <c r="I1353" s="237"/>
      <c r="J1353" s="237"/>
      <c r="K1353" s="237"/>
      <c r="L1353" s="237"/>
      <c r="M1353" s="237"/>
      <c r="N1353" s="237"/>
      <c r="O1353" s="237"/>
      <c r="P1353" s="237"/>
      <c r="R1353" s="237"/>
      <c r="S1353" s="237"/>
      <c r="W1353" s="237"/>
      <c r="X1353" s="503"/>
      <c r="Y1353" s="508"/>
      <c r="Z1353" s="534"/>
      <c r="AA1353" s="534"/>
      <c r="AB1353" s="435"/>
      <c r="AC1353" s="534"/>
      <c r="AD1353" s="450"/>
      <c r="AE1353" s="450"/>
      <c r="AF1353" s="450"/>
      <c r="AG1353" s="450"/>
      <c r="AH1353" s="450"/>
    </row>
    <row r="1354" spans="1:34" x14ac:dyDescent="0.25">
      <c r="A1354" s="237"/>
      <c r="B1354" s="237"/>
      <c r="C1354" s="237"/>
      <c r="D1354" s="237"/>
      <c r="E1354" s="237"/>
      <c r="F1354" s="237"/>
      <c r="G1354" s="237"/>
      <c r="H1354" s="237"/>
      <c r="I1354" s="237"/>
      <c r="J1354" s="237"/>
      <c r="K1354" s="237"/>
      <c r="L1354" s="237"/>
      <c r="M1354" s="237"/>
      <c r="N1354" s="237"/>
      <c r="O1354" s="237"/>
      <c r="P1354" s="237"/>
      <c r="R1354" s="237"/>
      <c r="S1354" s="237"/>
      <c r="W1354" s="237"/>
      <c r="X1354" s="503"/>
      <c r="Y1354" s="508"/>
      <c r="Z1354" s="534"/>
      <c r="AA1354" s="534"/>
      <c r="AB1354" s="435"/>
      <c r="AC1354" s="534"/>
      <c r="AD1354" s="450"/>
      <c r="AE1354" s="450"/>
      <c r="AF1354" s="450"/>
      <c r="AG1354" s="450"/>
      <c r="AH1354" s="450"/>
    </row>
    <row r="1355" spans="1:34" x14ac:dyDescent="0.25">
      <c r="X1355" s="503"/>
      <c r="Y1355" s="508"/>
      <c r="Z1355" s="534"/>
      <c r="AA1355" s="534"/>
      <c r="AB1355" s="435"/>
      <c r="AC1355" s="534"/>
      <c r="AD1355" s="450"/>
      <c r="AE1355" s="450"/>
      <c r="AF1355" s="450"/>
      <c r="AG1355" s="450"/>
      <c r="AH1355" s="450"/>
    </row>
    <row r="1356" spans="1:34" x14ac:dyDescent="0.25">
      <c r="X1356" s="503"/>
      <c r="Y1356" s="508"/>
      <c r="Z1356" s="534"/>
      <c r="AA1356" s="534"/>
      <c r="AB1356" s="435"/>
      <c r="AC1356" s="534"/>
      <c r="AD1356" s="450"/>
      <c r="AE1356" s="450"/>
      <c r="AF1356" s="450"/>
      <c r="AG1356" s="450"/>
      <c r="AH1356" s="450"/>
    </row>
    <row r="1357" spans="1:34" x14ac:dyDescent="0.25">
      <c r="X1357" s="503"/>
      <c r="Y1357" s="508"/>
      <c r="Z1357" s="534"/>
      <c r="AA1357" s="534"/>
      <c r="AB1357" s="435"/>
      <c r="AC1357" s="534"/>
      <c r="AD1357" s="450"/>
      <c r="AE1357" s="450"/>
      <c r="AF1357" s="450"/>
      <c r="AG1357" s="450"/>
      <c r="AH1357" s="450"/>
    </row>
    <row r="1358" spans="1:34" x14ac:dyDescent="0.25">
      <c r="A1358" s="237"/>
      <c r="B1358" s="237"/>
      <c r="C1358" s="237"/>
      <c r="D1358" s="237"/>
      <c r="E1358" s="237"/>
      <c r="F1358" s="237"/>
      <c r="G1358" s="237"/>
      <c r="H1358" s="237"/>
      <c r="I1358" s="237"/>
      <c r="J1358" s="237"/>
      <c r="K1358" s="237"/>
      <c r="L1358" s="237"/>
      <c r="M1358" s="237"/>
      <c r="N1358" s="237"/>
      <c r="O1358" s="237"/>
      <c r="P1358" s="237"/>
      <c r="R1358" s="237"/>
      <c r="S1358" s="237"/>
      <c r="W1358" s="237"/>
      <c r="X1358" s="503"/>
      <c r="Y1358" s="508"/>
      <c r="Z1358" s="534"/>
      <c r="AA1358" s="534"/>
      <c r="AB1358" s="435"/>
      <c r="AC1358" s="534"/>
      <c r="AD1358" s="450"/>
      <c r="AE1358" s="450"/>
      <c r="AF1358" s="450"/>
      <c r="AG1358" s="450"/>
      <c r="AH1358" s="450"/>
    </row>
  </sheetData>
  <mergeCells count="19">
    <mergeCell ref="AJ13:AL13"/>
    <mergeCell ref="AJ14:AL14"/>
    <mergeCell ref="AJ15:AL15"/>
    <mergeCell ref="X13:AF13"/>
    <mergeCell ref="AI742:AJ742"/>
    <mergeCell ref="AI725:AJ725"/>
    <mergeCell ref="AI207:AJ207"/>
    <mergeCell ref="AJ16:AL16"/>
    <mergeCell ref="AB1:AD1"/>
    <mergeCell ref="G15:O15"/>
    <mergeCell ref="A13:T13"/>
    <mergeCell ref="A14:T14"/>
    <mergeCell ref="X14:AC14"/>
    <mergeCell ref="AB9:AF9"/>
    <mergeCell ref="AE2:AF2"/>
    <mergeCell ref="AD3:AF3"/>
    <mergeCell ref="AB4:AF4"/>
    <mergeCell ref="AB7:AD7"/>
    <mergeCell ref="AD8:AF8"/>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2021-10-21T08:43:33Z</dcterms:modified>
</cp:coreProperties>
</file>