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3AE4CC1-C89E-4313-A6C0-7F0848F40999}" xr6:coauthVersionLast="47" xr6:coauthVersionMax="47" xr10:uidLastSave="{00000000-0000-0000-0000-000000000000}"/>
  <bookViews>
    <workbookView xWindow="1950" yWindow="1950" windowWidth="18000" windowHeight="12735" tabRatio="555" activeTab="2" xr2:uid="{00000000-000D-0000-FFFF-FFFF00000000}"/>
  </bookViews>
  <sheets>
    <sheet name="Функц. 2023-2025" sheetId="7" r:id="rId1"/>
    <sheet name="Целевые 2023-2025" sheetId="9" state="hidden" r:id="rId2"/>
    <sheet name="Р., Пр.2023-2025" sheetId="10" r:id="rId3"/>
    <sheet name="ведом. 2023-2025" sheetId="2" state="hidden" r:id="rId4"/>
    <sheet name="Лист1" sheetId="11" state="hidden" r:id="rId5"/>
  </sheets>
  <definedNames>
    <definedName name="_xlnm.Print_Titles" localSheetId="3">'ведом. 2023-2025'!$8:$9</definedName>
    <definedName name="_xlnm.Print_Titles" localSheetId="0">'Функц. 2023-2025'!$11:$12</definedName>
    <definedName name="_xlnm.Print_Titles" localSheetId="1">'Целевые 2023-2025'!$11:$12</definedName>
    <definedName name="_xlnm.Print_Area" localSheetId="3">'ведом. 2023-2025'!$B$1:$AG$1043</definedName>
    <definedName name="_xlnm.Print_Area" localSheetId="2">'Р., Пр.2023-2025'!$A$1:$G$58</definedName>
    <definedName name="_xlnm.Print_Area" localSheetId="0">'Функц. 2023-2025'!$A$1:$M$908</definedName>
    <definedName name="_xlnm.Print_Area" localSheetId="1">'Целевые 2023-2025'!$A$1:$G$709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7" i="9" l="1"/>
  <c r="D666" i="9" s="1"/>
  <c r="AE164" i="2" l="1"/>
  <c r="AE93" i="2"/>
  <c r="L644" i="7"/>
  <c r="AE34" i="2" l="1"/>
  <c r="M230" i="7"/>
  <c r="M362" i="7"/>
  <c r="M377" i="7"/>
  <c r="M402" i="7"/>
  <c r="M431" i="7"/>
  <c r="M480" i="7"/>
  <c r="M498" i="7"/>
  <c r="M512" i="7"/>
  <c r="M553" i="7"/>
  <c r="M586" i="7"/>
  <c r="M618" i="7"/>
  <c r="M638" i="7"/>
  <c r="M741" i="7"/>
  <c r="M743" i="7"/>
  <c r="M749" i="7"/>
  <c r="M778" i="7"/>
  <c r="M850" i="7"/>
  <c r="I435" i="7" l="1"/>
  <c r="I434" i="7" s="1"/>
  <c r="I615" i="7"/>
  <c r="I614" i="7" s="1"/>
  <c r="I613" i="7" s="1"/>
  <c r="I574" i="7"/>
  <c r="I573" i="7" s="1"/>
  <c r="I565" i="7" s="1"/>
  <c r="I857" i="7"/>
  <c r="I856" i="7" s="1"/>
  <c r="I855" i="7"/>
  <c r="M855" i="7" s="1"/>
  <c r="I849" i="7"/>
  <c r="I848" i="7" s="1"/>
  <c r="I847" i="7" s="1"/>
  <c r="I846" i="7" s="1"/>
  <c r="I748" i="7"/>
  <c r="I747" i="7"/>
  <c r="I745" i="7"/>
  <c r="M745" i="7" s="1"/>
  <c r="L716" i="7"/>
  <c r="I717" i="7"/>
  <c r="M717" i="7" s="1"/>
  <c r="I677" i="7"/>
  <c r="I676" i="7" s="1"/>
  <c r="I675" i="7" s="1"/>
  <c r="I674" i="7" s="1"/>
  <c r="I673" i="7" s="1"/>
  <c r="I666" i="7" s="1"/>
  <c r="L654" i="7"/>
  <c r="L653" i="7" s="1"/>
  <c r="I654" i="7"/>
  <c r="L647" i="7"/>
  <c r="L646" i="7"/>
  <c r="L645" i="7" s="1"/>
  <c r="L643" i="7"/>
  <c r="I644" i="7"/>
  <c r="M644" i="7" s="1"/>
  <c r="I643" i="7"/>
  <c r="I642" i="7" s="1"/>
  <c r="L641" i="7"/>
  <c r="L640" i="7" s="1"/>
  <c r="I641" i="7"/>
  <c r="L637" i="7"/>
  <c r="I637" i="7"/>
  <c r="I636" i="7" s="1"/>
  <c r="L634" i="7"/>
  <c r="L633" i="7" s="1"/>
  <c r="I635" i="7"/>
  <c r="L632" i="7"/>
  <c r="L631" i="7"/>
  <c r="I632" i="7"/>
  <c r="M632" i="7" s="1"/>
  <c r="L629" i="7"/>
  <c r="L628" i="7"/>
  <c r="I629" i="7"/>
  <c r="M629" i="7" s="1"/>
  <c r="I621" i="7"/>
  <c r="M621" i="7" s="1"/>
  <c r="I617" i="7"/>
  <c r="I616" i="7" s="1"/>
  <c r="L585" i="7"/>
  <c r="I585" i="7"/>
  <c r="I584" i="7"/>
  <c r="I583" i="7" s="1"/>
  <c r="I582" i="7" s="1"/>
  <c r="I581" i="7" s="1"/>
  <c r="I580" i="7" s="1"/>
  <c r="L854" i="7"/>
  <c r="L777" i="7"/>
  <c r="I777" i="7"/>
  <c r="I776" i="7" s="1"/>
  <c r="L742" i="7"/>
  <c r="I742" i="7"/>
  <c r="I740" i="7"/>
  <c r="I229" i="7"/>
  <c r="L229" i="7"/>
  <c r="L228" i="7" s="1"/>
  <c r="L227" i="7" s="1"/>
  <c r="L226" i="7" s="1"/>
  <c r="L225" i="7" s="1"/>
  <c r="L552" i="7"/>
  <c r="L551" i="7" s="1"/>
  <c r="L550" i="7" s="1"/>
  <c r="L549" i="7" s="1"/>
  <c r="L548" i="7" s="1"/>
  <c r="L547" i="7" s="1"/>
  <c r="L546" i="7" s="1"/>
  <c r="L545" i="7" s="1"/>
  <c r="L511" i="7"/>
  <c r="L497" i="7"/>
  <c r="L496" i="7" s="1"/>
  <c r="L482" i="7" s="1"/>
  <c r="L481" i="7" s="1"/>
  <c r="L479" i="7"/>
  <c r="L478" i="7" s="1"/>
  <c r="L477" i="7" s="1"/>
  <c r="L476" i="7"/>
  <c r="L475" i="7" s="1"/>
  <c r="L474" i="7" s="1"/>
  <c r="L473" i="7"/>
  <c r="L472" i="7" s="1"/>
  <c r="L471" i="7" s="1"/>
  <c r="L470" i="7"/>
  <c r="L469" i="7" s="1"/>
  <c r="L468" i="7" s="1"/>
  <c r="L430" i="7"/>
  <c r="L429" i="7" s="1"/>
  <c r="L428" i="7" s="1"/>
  <c r="L424" i="7" s="1"/>
  <c r="L423" i="7" s="1"/>
  <c r="L401" i="7"/>
  <c r="L400" i="7" s="1"/>
  <c r="L396" i="7" s="1"/>
  <c r="L376" i="7"/>
  <c r="L375" i="7" s="1"/>
  <c r="L374" i="7" s="1"/>
  <c r="L373" i="7"/>
  <c r="L372" i="7" s="1"/>
  <c r="L361" i="7"/>
  <c r="L360" i="7" s="1"/>
  <c r="L353" i="7" s="1"/>
  <c r="L352" i="7" s="1"/>
  <c r="L351" i="7" s="1"/>
  <c r="L81" i="7"/>
  <c r="L80" i="7" s="1"/>
  <c r="L79" i="7" s="1"/>
  <c r="L74" i="7" s="1"/>
  <c r="L73" i="7" s="1"/>
  <c r="L46" i="7"/>
  <c r="L44" i="7"/>
  <c r="I552" i="7"/>
  <c r="I511" i="7"/>
  <c r="M511" i="7" s="1"/>
  <c r="I497" i="7"/>
  <c r="I479" i="7"/>
  <c r="I476" i="7"/>
  <c r="I473" i="7"/>
  <c r="I470" i="7"/>
  <c r="I430" i="7"/>
  <c r="I401" i="7"/>
  <c r="I376" i="7"/>
  <c r="I373" i="7"/>
  <c r="I372" i="7"/>
  <c r="I361" i="7"/>
  <c r="I82" i="7"/>
  <c r="M82" i="7" s="1"/>
  <c r="I47" i="7"/>
  <c r="M47" i="7" s="1"/>
  <c r="I45" i="7"/>
  <c r="M45" i="7" s="1"/>
  <c r="H153" i="7"/>
  <c r="H882" i="7"/>
  <c r="E214" i="9" s="1"/>
  <c r="J864" i="7"/>
  <c r="AE819" i="2"/>
  <c r="H842" i="7"/>
  <c r="I842" i="7" s="1"/>
  <c r="I841" i="7" s="1"/>
  <c r="H867" i="7"/>
  <c r="H864" i="7"/>
  <c r="H855" i="7"/>
  <c r="H857" i="7"/>
  <c r="H844" i="7"/>
  <c r="I844" i="7" s="1"/>
  <c r="I843" i="7" s="1"/>
  <c r="H840" i="7"/>
  <c r="I840" i="7" s="1"/>
  <c r="I839" i="7" s="1"/>
  <c r="J764" i="7"/>
  <c r="H789" i="7"/>
  <c r="H810" i="7"/>
  <c r="H815" i="7"/>
  <c r="H822" i="7"/>
  <c r="M373" i="7" l="1"/>
  <c r="L776" i="7"/>
  <c r="M776" i="7" s="1"/>
  <c r="M777" i="7"/>
  <c r="I628" i="7"/>
  <c r="I627" i="7" s="1"/>
  <c r="I631" i="7"/>
  <c r="I630" i="7" s="1"/>
  <c r="M654" i="7"/>
  <c r="L395" i="7"/>
  <c r="L394" i="7" s="1"/>
  <c r="L393" i="7" s="1"/>
  <c r="M396" i="7"/>
  <c r="M742" i="7"/>
  <c r="M641" i="7"/>
  <c r="I360" i="7"/>
  <c r="M361" i="7"/>
  <c r="I475" i="7"/>
  <c r="M476" i="7"/>
  <c r="L652" i="7"/>
  <c r="I429" i="7"/>
  <c r="M430" i="7"/>
  <c r="L636" i="7"/>
  <c r="M636" i="7" s="1"/>
  <c r="M637" i="7"/>
  <c r="L715" i="7"/>
  <c r="I469" i="7"/>
  <c r="M470" i="7"/>
  <c r="L584" i="7"/>
  <c r="M585" i="7"/>
  <c r="I620" i="7"/>
  <c r="L627" i="7"/>
  <c r="M627" i="7" s="1"/>
  <c r="L630" i="7"/>
  <c r="M631" i="7"/>
  <c r="M634" i="7"/>
  <c r="I640" i="7"/>
  <c r="I639" i="7" s="1"/>
  <c r="I653" i="7"/>
  <c r="I652" i="7" s="1"/>
  <c r="I651" i="7" s="1"/>
  <c r="I650" i="7" s="1"/>
  <c r="I649" i="7" s="1"/>
  <c r="I744" i="7"/>
  <c r="I551" i="7"/>
  <c r="M552" i="7"/>
  <c r="I634" i="7"/>
  <c r="I633" i="7" s="1"/>
  <c r="M633" i="7" s="1"/>
  <c r="M635" i="7"/>
  <c r="L639" i="7"/>
  <c r="M640" i="7"/>
  <c r="I472" i="7"/>
  <c r="M473" i="7"/>
  <c r="I716" i="7"/>
  <c r="I715" i="7" s="1"/>
  <c r="I714" i="7" s="1"/>
  <c r="I713" i="7" s="1"/>
  <c r="I712" i="7" s="1"/>
  <c r="I854" i="7"/>
  <c r="M854" i="7" s="1"/>
  <c r="L642" i="7"/>
  <c r="M643" i="7"/>
  <c r="I400" i="7"/>
  <c r="M401" i="7"/>
  <c r="I478" i="7"/>
  <c r="M479" i="7"/>
  <c r="I496" i="7"/>
  <c r="M497" i="7"/>
  <c r="I433" i="7"/>
  <c r="I371" i="7"/>
  <c r="M372" i="7"/>
  <c r="I228" i="7"/>
  <c r="M229" i="7"/>
  <c r="I375" i="7"/>
  <c r="M376" i="7"/>
  <c r="I838" i="7"/>
  <c r="I837" i="7" s="1"/>
  <c r="I836" i="7" s="1"/>
  <c r="I835" i="7" s="1"/>
  <c r="L764" i="7"/>
  <c r="I81" i="7"/>
  <c r="M81" i="7" s="1"/>
  <c r="K864" i="7"/>
  <c r="I46" i="7"/>
  <c r="M46" i="7" s="1"/>
  <c r="I44" i="7"/>
  <c r="M44" i="7" s="1"/>
  <c r="I739" i="7"/>
  <c r="L422" i="7"/>
  <c r="L421" i="7" s="1"/>
  <c r="L43" i="7"/>
  <c r="L42" i="7" s="1"/>
  <c r="L41" i="7" s="1"/>
  <c r="L40" i="7" s="1"/>
  <c r="L464" i="7"/>
  <c r="L463" i="7" s="1"/>
  <c r="L462" i="7" s="1"/>
  <c r="L442" i="7" s="1"/>
  <c r="L370" i="7"/>
  <c r="L369" i="7" s="1"/>
  <c r="L368" i="7" s="1"/>
  <c r="L350" i="7" s="1"/>
  <c r="L371" i="7"/>
  <c r="I370" i="7"/>
  <c r="M630" i="7" l="1"/>
  <c r="M371" i="7"/>
  <c r="M628" i="7"/>
  <c r="I550" i="7"/>
  <c r="M551" i="7"/>
  <c r="I428" i="7"/>
  <c r="M429" i="7"/>
  <c r="I853" i="7"/>
  <c r="I619" i="7"/>
  <c r="I468" i="7"/>
  <c r="M468" i="7" s="1"/>
  <c r="M469" i="7"/>
  <c r="M653" i="7"/>
  <c r="L583" i="7"/>
  <c r="M584" i="7"/>
  <c r="L714" i="7"/>
  <c r="M715" i="7"/>
  <c r="M639" i="7"/>
  <c r="I474" i="7"/>
  <c r="M474" i="7" s="1"/>
  <c r="M475" i="7"/>
  <c r="I738" i="7"/>
  <c r="I471" i="7"/>
  <c r="M472" i="7"/>
  <c r="M716" i="7"/>
  <c r="L651" i="7"/>
  <c r="M652" i="7"/>
  <c r="I353" i="7"/>
  <c r="M360" i="7"/>
  <c r="M642" i="7"/>
  <c r="L626" i="7"/>
  <c r="M370" i="7"/>
  <c r="I227" i="7"/>
  <c r="M228" i="7"/>
  <c r="I374" i="7"/>
  <c r="M374" i="7" s="1"/>
  <c r="M375" i="7"/>
  <c r="I432" i="7"/>
  <c r="I477" i="7"/>
  <c r="M477" i="7" s="1"/>
  <c r="M478" i="7"/>
  <c r="I482" i="7"/>
  <c r="M496" i="7"/>
  <c r="I395" i="7"/>
  <c r="M400" i="7"/>
  <c r="I43" i="7"/>
  <c r="M43" i="7" s="1"/>
  <c r="L763" i="7"/>
  <c r="I80" i="7"/>
  <c r="M80" i="7" s="1"/>
  <c r="H769" i="7"/>
  <c r="I369" i="7" l="1"/>
  <c r="L650" i="7"/>
  <c r="M651" i="7"/>
  <c r="L582" i="7"/>
  <c r="M583" i="7"/>
  <c r="I732" i="7"/>
  <c r="I612" i="7"/>
  <c r="M471" i="7"/>
  <c r="I464" i="7"/>
  <c r="M464" i="7" s="1"/>
  <c r="M428" i="7"/>
  <c r="I424" i="7"/>
  <c r="I352" i="7"/>
  <c r="M353" i="7"/>
  <c r="L713" i="7"/>
  <c r="M714" i="7"/>
  <c r="I851" i="7"/>
  <c r="I845" i="7" s="1"/>
  <c r="I834" i="7" s="1"/>
  <c r="I826" i="7" s="1"/>
  <c r="I852" i="7"/>
  <c r="I549" i="7"/>
  <c r="M550" i="7"/>
  <c r="I394" i="7"/>
  <c r="M395" i="7"/>
  <c r="I226" i="7"/>
  <c r="M226" i="7" s="1"/>
  <c r="M227" i="7"/>
  <c r="I481" i="7"/>
  <c r="M481" i="7" s="1"/>
  <c r="M482" i="7"/>
  <c r="I368" i="7"/>
  <c r="M369" i="7"/>
  <c r="I42" i="7"/>
  <c r="M42" i="7" s="1"/>
  <c r="I79" i="7"/>
  <c r="M79" i="7" s="1"/>
  <c r="L762" i="7"/>
  <c r="J660" i="7"/>
  <c r="H660" i="7"/>
  <c r="H659" i="7" s="1"/>
  <c r="H658" i="7" s="1"/>
  <c r="H657" i="7" s="1"/>
  <c r="H656" i="7" s="1"/>
  <c r="H655" i="7" s="1"/>
  <c r="F660" i="7"/>
  <c r="F659" i="7" s="1"/>
  <c r="F658" i="7" s="1"/>
  <c r="F657" i="7" s="1"/>
  <c r="F656" i="7" s="1"/>
  <c r="F655" i="7" s="1"/>
  <c r="J644" i="7"/>
  <c r="J641" i="7"/>
  <c r="J638" i="7"/>
  <c r="I626" i="7"/>
  <c r="M626" i="7" s="1"/>
  <c r="I750" i="7"/>
  <c r="J753" i="7"/>
  <c r="H753" i="7"/>
  <c r="H752" i="7" s="1"/>
  <c r="H751" i="7" s="1"/>
  <c r="H750" i="7" s="1"/>
  <c r="F753" i="7"/>
  <c r="F752" i="7" s="1"/>
  <c r="F751" i="7" s="1"/>
  <c r="F750" i="7" s="1"/>
  <c r="J745" i="7"/>
  <c r="J737" i="7"/>
  <c r="J579" i="7"/>
  <c r="H746" i="7"/>
  <c r="H723" i="7"/>
  <c r="H717" i="7"/>
  <c r="E156" i="9" s="1"/>
  <c r="H678" i="7"/>
  <c r="H665" i="7"/>
  <c r="H638" i="7"/>
  <c r="E129" i="9" s="1"/>
  <c r="H621" i="7"/>
  <c r="H618" i="7"/>
  <c r="H615" i="7"/>
  <c r="H611" i="7"/>
  <c r="I611" i="7" s="1"/>
  <c r="I610" i="7" s="1"/>
  <c r="I609" i="7" s="1"/>
  <c r="H591" i="7"/>
  <c r="H575" i="7"/>
  <c r="H560" i="7"/>
  <c r="J534" i="7"/>
  <c r="J544" i="7"/>
  <c r="H544" i="7"/>
  <c r="H543" i="7" s="1"/>
  <c r="H542" i="7" s="1"/>
  <c r="H541" i="7" s="1"/>
  <c r="F544" i="7"/>
  <c r="F543" i="7" s="1"/>
  <c r="F542" i="7" s="1"/>
  <c r="F541" i="7" s="1"/>
  <c r="J480" i="7"/>
  <c r="H534" i="7"/>
  <c r="E637" i="9" s="1"/>
  <c r="H526" i="7"/>
  <c r="I526" i="7" s="1"/>
  <c r="I525" i="7" s="1"/>
  <c r="H512" i="7"/>
  <c r="H503" i="7"/>
  <c r="H498" i="7"/>
  <c r="H455" i="7"/>
  <c r="H441" i="7"/>
  <c r="H436" i="7"/>
  <c r="H416" i="7"/>
  <c r="H402" i="7"/>
  <c r="H399" i="7"/>
  <c r="H377" i="7"/>
  <c r="H373" i="7"/>
  <c r="H356" i="7"/>
  <c r="H346" i="7"/>
  <c r="H345" i="7" s="1"/>
  <c r="H287" i="7"/>
  <c r="F249" i="7"/>
  <c r="J249" i="7"/>
  <c r="F705" i="9" s="1"/>
  <c r="H249" i="7"/>
  <c r="J246" i="7"/>
  <c r="J239" i="7"/>
  <c r="J218" i="7"/>
  <c r="H218" i="7"/>
  <c r="J214" i="7"/>
  <c r="J207" i="7"/>
  <c r="J121" i="7"/>
  <c r="H121" i="7"/>
  <c r="J114" i="7"/>
  <c r="J134" i="7"/>
  <c r="H134" i="7"/>
  <c r="F134" i="7"/>
  <c r="F133" i="7" s="1"/>
  <c r="F132" i="7" s="1"/>
  <c r="F131" i="7" s="1"/>
  <c r="J88" i="7"/>
  <c r="F704" i="9" l="1"/>
  <c r="I463" i="7"/>
  <c r="I731" i="7"/>
  <c r="L649" i="7"/>
  <c r="M649" i="7" s="1"/>
  <c r="M650" i="7"/>
  <c r="L581" i="7"/>
  <c r="M582" i="7"/>
  <c r="H248" i="7"/>
  <c r="H247" i="7" s="1"/>
  <c r="E705" i="9"/>
  <c r="E704" i="9" s="1"/>
  <c r="E703" i="9" s="1"/>
  <c r="I351" i="7"/>
  <c r="M351" i="7" s="1"/>
  <c r="M352" i="7"/>
  <c r="F248" i="7"/>
  <c r="F247" i="7" s="1"/>
  <c r="D705" i="9"/>
  <c r="D704" i="9" s="1"/>
  <c r="D703" i="9" s="1"/>
  <c r="E696" i="9"/>
  <c r="I548" i="7"/>
  <c r="M549" i="7"/>
  <c r="L712" i="7"/>
  <c r="M712" i="7" s="1"/>
  <c r="M713" i="7"/>
  <c r="I423" i="7"/>
  <c r="M424" i="7"/>
  <c r="H133" i="7"/>
  <c r="H132" i="7" s="1"/>
  <c r="H131" i="7" s="1"/>
  <c r="M368" i="7"/>
  <c r="I393" i="7"/>
  <c r="M393" i="7" s="1"/>
  <c r="M394" i="7"/>
  <c r="F456" i="9"/>
  <c r="J752" i="7"/>
  <c r="K753" i="7"/>
  <c r="F129" i="9"/>
  <c r="G129" i="9" s="1"/>
  <c r="K638" i="7"/>
  <c r="L758" i="7"/>
  <c r="L88" i="7"/>
  <c r="F449" i="9"/>
  <c r="F585" i="9"/>
  <c r="F637" i="9"/>
  <c r="G637" i="9" s="1"/>
  <c r="K534" i="7"/>
  <c r="J736" i="7"/>
  <c r="F181" i="9"/>
  <c r="I74" i="7"/>
  <c r="M74" i="7" s="1"/>
  <c r="F132" i="9"/>
  <c r="J659" i="7"/>
  <c r="K660" i="7"/>
  <c r="J133" i="7"/>
  <c r="K134" i="7"/>
  <c r="K121" i="7"/>
  <c r="K218" i="7"/>
  <c r="J248" i="7"/>
  <c r="K249" i="7"/>
  <c r="J543" i="7"/>
  <c r="K544" i="7"/>
  <c r="L579" i="7"/>
  <c r="I41" i="7"/>
  <c r="M41" i="7" s="1"/>
  <c r="F94" i="7"/>
  <c r="D708" i="9" s="1"/>
  <c r="D707" i="9" s="1"/>
  <c r="D706" i="9" s="1"/>
  <c r="J94" i="7"/>
  <c r="F708" i="9" s="1"/>
  <c r="F707" i="9" s="1"/>
  <c r="H94" i="7"/>
  <c r="H93" i="7" s="1"/>
  <c r="H92" i="7" s="1"/>
  <c r="H91" i="7" s="1"/>
  <c r="F93" i="7"/>
  <c r="F92" i="7" s="1"/>
  <c r="F91" i="7" s="1"/>
  <c r="J56" i="7"/>
  <c r="G225" i="7"/>
  <c r="I225" i="7"/>
  <c r="M225" i="7" s="1"/>
  <c r="H257" i="7"/>
  <c r="I257" i="7" s="1"/>
  <c r="I256" i="7" s="1"/>
  <c r="I255" i="7" s="1"/>
  <c r="I254" i="7" s="1"/>
  <c r="I253" i="7" s="1"/>
  <c r="I252" i="7" s="1"/>
  <c r="I251" i="7" s="1"/>
  <c r="I250" i="7" s="1"/>
  <c r="H156" i="7"/>
  <c r="L580" i="7" l="1"/>
  <c r="M580" i="7" s="1"/>
  <c r="M581" i="7"/>
  <c r="I730" i="7"/>
  <c r="E708" i="9"/>
  <c r="E707" i="9" s="1"/>
  <c r="E706" i="9" s="1"/>
  <c r="M423" i="7"/>
  <c r="I422" i="7"/>
  <c r="I547" i="7"/>
  <c r="M548" i="7"/>
  <c r="M463" i="7"/>
  <c r="I462" i="7"/>
  <c r="F703" i="9"/>
  <c r="G703" i="9" s="1"/>
  <c r="G704" i="9"/>
  <c r="I350" i="7"/>
  <c r="M350" i="7" s="1"/>
  <c r="G705" i="9"/>
  <c r="F180" i="9"/>
  <c r="F706" i="9"/>
  <c r="J132" i="7"/>
  <c r="K133" i="7"/>
  <c r="L578" i="7"/>
  <c r="J247" i="7"/>
  <c r="K247" i="7" s="1"/>
  <c r="K248" i="7"/>
  <c r="L87" i="7"/>
  <c r="L757" i="7"/>
  <c r="J751" i="7"/>
  <c r="K752" i="7"/>
  <c r="J93" i="7"/>
  <c r="K94" i="7"/>
  <c r="F409" i="9"/>
  <c r="I40" i="7"/>
  <c r="M40" i="7" s="1"/>
  <c r="J542" i="7"/>
  <c r="K543" i="7"/>
  <c r="J658" i="7"/>
  <c r="K659" i="7"/>
  <c r="I73" i="7"/>
  <c r="M73" i="7" s="1"/>
  <c r="H246" i="7"/>
  <c r="K246" i="7" s="1"/>
  <c r="H235" i="7"/>
  <c r="H230" i="7"/>
  <c r="E531" i="9" s="1"/>
  <c r="G531" i="9" s="1"/>
  <c r="H214" i="7"/>
  <c r="H207" i="7"/>
  <c r="H203" i="7"/>
  <c r="H199" i="7"/>
  <c r="H180" i="7"/>
  <c r="H78" i="7"/>
  <c r="E554" i="9" s="1"/>
  <c r="H62" i="7"/>
  <c r="H56" i="7"/>
  <c r="E409" i="9" s="1"/>
  <c r="H54" i="7"/>
  <c r="H20" i="7"/>
  <c r="G708" i="9" l="1"/>
  <c r="G707" i="9"/>
  <c r="G706" i="9"/>
  <c r="M462" i="7"/>
  <c r="I442" i="7"/>
  <c r="I711" i="7"/>
  <c r="K542" i="7"/>
  <c r="J541" i="7"/>
  <c r="K541" i="7" s="1"/>
  <c r="I421" i="7"/>
  <c r="M421" i="7" s="1"/>
  <c r="M422" i="7"/>
  <c r="I546" i="7"/>
  <c r="M547" i="7"/>
  <c r="G409" i="9"/>
  <c r="K132" i="7"/>
  <c r="J131" i="7"/>
  <c r="K131" i="7" s="1"/>
  <c r="E449" i="9"/>
  <c r="G449" i="9" s="1"/>
  <c r="K207" i="7"/>
  <c r="K56" i="7"/>
  <c r="J92" i="7"/>
  <c r="K93" i="7"/>
  <c r="J657" i="7"/>
  <c r="K658" i="7"/>
  <c r="L577" i="7"/>
  <c r="E456" i="9"/>
  <c r="G456" i="9" s="1"/>
  <c r="K214" i="7"/>
  <c r="J750" i="7"/>
  <c r="K750" i="7" s="1"/>
  <c r="K751" i="7"/>
  <c r="I545" i="7" l="1"/>
  <c r="M545" i="7" s="1"/>
  <c r="M546" i="7"/>
  <c r="M442" i="7"/>
  <c r="L576" i="7"/>
  <c r="J91" i="7"/>
  <c r="K91" i="7" s="1"/>
  <c r="K92" i="7"/>
  <c r="J656" i="7"/>
  <c r="K657" i="7"/>
  <c r="AG575" i="2"/>
  <c r="AF574" i="2"/>
  <c r="AF573" i="2" s="1"/>
  <c r="AF572" i="2" s="1"/>
  <c r="AE574" i="2"/>
  <c r="AE573" i="2" s="1"/>
  <c r="AE572" i="2" s="1"/>
  <c r="AD574" i="2"/>
  <c r="AD573" i="2"/>
  <c r="AD572" i="2" s="1"/>
  <c r="AG574" i="2" l="1"/>
  <c r="AG573" i="2"/>
  <c r="AG572" i="2"/>
  <c r="J655" i="7"/>
  <c r="K655" i="7" s="1"/>
  <c r="K656" i="7"/>
  <c r="AE731" i="2"/>
  <c r="H654" i="7" s="1"/>
  <c r="E224" i="9" s="1"/>
  <c r="AG962" i="2"/>
  <c r="AE961" i="2"/>
  <c r="AF961" i="2"/>
  <c r="AF960" i="2" s="1"/>
  <c r="AD961" i="2"/>
  <c r="AD960" i="2" s="1"/>
  <c r="AD959" i="2" s="1"/>
  <c r="AF990" i="2"/>
  <c r="AD802" i="2"/>
  <c r="AD801" i="2" s="1"/>
  <c r="AD800" i="2" s="1"/>
  <c r="AE802" i="2"/>
  <c r="AE801" i="2" s="1"/>
  <c r="AE800" i="2" s="1"/>
  <c r="AG777" i="2"/>
  <c r="AF736" i="2"/>
  <c r="AF735" i="2" s="1"/>
  <c r="AF734" i="2" s="1"/>
  <c r="AE736" i="2"/>
  <c r="AE735" i="2" s="1"/>
  <c r="AD736" i="2"/>
  <c r="AD735" i="2" s="1"/>
  <c r="AD734" i="2" s="1"/>
  <c r="AD733" i="2" s="1"/>
  <c r="AD732" i="2" s="1"/>
  <c r="AG961" i="2" l="1"/>
  <c r="AG960" i="2"/>
  <c r="AE960" i="2"/>
  <c r="AE959" i="2" s="1"/>
  <c r="AF959" i="2"/>
  <c r="AG959" i="2" s="1"/>
  <c r="AG736" i="2"/>
  <c r="AG735" i="2"/>
  <c r="AE734" i="2"/>
  <c r="AE733" i="2" s="1"/>
  <c r="AE732" i="2" s="1"/>
  <c r="AG734" i="2"/>
  <c r="AF733" i="2"/>
  <c r="AG733" i="2" l="1"/>
  <c r="AF732" i="2"/>
  <c r="AG732" i="2" s="1"/>
  <c r="AF802" i="2" l="1"/>
  <c r="AG803" i="2"/>
  <c r="AF801" i="2" l="1"/>
  <c r="AG802" i="2"/>
  <c r="AF800" i="2" l="1"/>
  <c r="AG800" i="2" s="1"/>
  <c r="AG801" i="2"/>
  <c r="AD777" i="2" l="1"/>
  <c r="AF615" i="2" l="1"/>
  <c r="AF509" i="2" l="1"/>
  <c r="AF389" i="2"/>
  <c r="AF381" i="2"/>
  <c r="AG167" i="2" l="1"/>
  <c r="AF166" i="2"/>
  <c r="AD166" i="2"/>
  <c r="AD165" i="2" s="1"/>
  <c r="AE166" i="2"/>
  <c r="AE165" i="2" s="1"/>
  <c r="AF122" i="2"/>
  <c r="AF106" i="2"/>
  <c r="AG74" i="2"/>
  <c r="AE73" i="2"/>
  <c r="AE72" i="2" s="1"/>
  <c r="AE71" i="2" s="1"/>
  <c r="AF73" i="2"/>
  <c r="AF72" i="2" s="1"/>
  <c r="AF71" i="2" s="1"/>
  <c r="AD73" i="2"/>
  <c r="AD72" i="2" s="1"/>
  <c r="AD71" i="2" s="1"/>
  <c r="AG73" i="2" l="1"/>
  <c r="AG71" i="2"/>
  <c r="AG166" i="2"/>
  <c r="AF165" i="2"/>
  <c r="AG165" i="2" s="1"/>
  <c r="AG72" i="2"/>
  <c r="AF26" i="2"/>
  <c r="H899" i="7" l="1"/>
  <c r="H896" i="7"/>
  <c r="H892" i="7"/>
  <c r="H891" i="7" s="1"/>
  <c r="H890" i="7" s="1"/>
  <c r="H889" i="7" s="1"/>
  <c r="H885" i="7"/>
  <c r="E217" i="9" s="1"/>
  <c r="H884" i="7"/>
  <c r="E216" i="9" s="1"/>
  <c r="H881" i="7"/>
  <c r="H866" i="7"/>
  <c r="H865" i="7" s="1"/>
  <c r="H863" i="7"/>
  <c r="H862" i="7" s="1"/>
  <c r="H856" i="7"/>
  <c r="H854" i="7"/>
  <c r="H843" i="7"/>
  <c r="H841" i="7"/>
  <c r="H839" i="7"/>
  <c r="H821" i="7"/>
  <c r="H820" i="7" s="1"/>
  <c r="H814" i="7"/>
  <c r="H813" i="7" s="1"/>
  <c r="H812" i="7" s="1"/>
  <c r="H811" i="7" s="1"/>
  <c r="H809" i="7"/>
  <c r="H808" i="7" s="1"/>
  <c r="H807" i="7" s="1"/>
  <c r="H806" i="7" s="1"/>
  <c r="H788" i="7"/>
  <c r="H787" i="7" s="1"/>
  <c r="H768" i="7"/>
  <c r="H767" i="7" s="1"/>
  <c r="H722" i="7"/>
  <c r="H721" i="7" s="1"/>
  <c r="H716" i="7"/>
  <c r="H715" i="7" s="1"/>
  <c r="H714" i="7" s="1"/>
  <c r="H713" i="7" s="1"/>
  <c r="H664" i="7"/>
  <c r="H663" i="7" s="1"/>
  <c r="H662" i="7" s="1"/>
  <c r="H661" i="7" s="1"/>
  <c r="H653" i="7"/>
  <c r="H652" i="7" s="1"/>
  <c r="H651" i="7" s="1"/>
  <c r="H650" i="7" s="1"/>
  <c r="H649" i="7" s="1"/>
  <c r="H637" i="7"/>
  <c r="H636" i="7" s="1"/>
  <c r="H590" i="7"/>
  <c r="H589" i="7" s="1"/>
  <c r="H588" i="7" s="1"/>
  <c r="H587" i="7" s="1"/>
  <c r="H559" i="7"/>
  <c r="H558" i="7" s="1"/>
  <c r="H557" i="7" s="1"/>
  <c r="H556" i="7" s="1"/>
  <c r="H555" i="7" s="1"/>
  <c r="H554" i="7" s="1"/>
  <c r="H533" i="7"/>
  <c r="H525" i="7"/>
  <c r="H511" i="7"/>
  <c r="H502" i="7"/>
  <c r="H501" i="7" s="1"/>
  <c r="H500" i="7" s="1"/>
  <c r="H499" i="7" s="1"/>
  <c r="H497" i="7"/>
  <c r="H496" i="7" s="1"/>
  <c r="H454" i="7"/>
  <c r="H440" i="7"/>
  <c r="H439" i="7" s="1"/>
  <c r="H438" i="7" s="1"/>
  <c r="H437" i="7" s="1"/>
  <c r="H435" i="7"/>
  <c r="H434" i="7" s="1"/>
  <c r="H433" i="7" s="1"/>
  <c r="H432" i="7" s="1"/>
  <c r="H415" i="7"/>
  <c r="H414" i="7" s="1"/>
  <c r="H413" i="7" s="1"/>
  <c r="H401" i="7"/>
  <c r="H400" i="7" s="1"/>
  <c r="H398" i="7"/>
  <c r="H397" i="7" s="1"/>
  <c r="H376" i="7"/>
  <c r="H375" i="7" s="1"/>
  <c r="H374" i="7" s="1"/>
  <c r="H355" i="7"/>
  <c r="H354" i="7" s="1"/>
  <c r="H344" i="7"/>
  <c r="H286" i="7"/>
  <c r="H285" i="7" s="1"/>
  <c r="H284" i="7" s="1"/>
  <c r="H256" i="7"/>
  <c r="H255" i="7" s="1"/>
  <c r="H234" i="7"/>
  <c r="H233" i="7" s="1"/>
  <c r="H232" i="7" s="1"/>
  <c r="H231" i="7" s="1"/>
  <c r="H217" i="7"/>
  <c r="H216" i="7" s="1"/>
  <c r="H215" i="7" s="1"/>
  <c r="H213" i="7"/>
  <c r="H206" i="7"/>
  <c r="H202" i="7"/>
  <c r="H198" i="7"/>
  <c r="H197" i="7" s="1"/>
  <c r="H179" i="7"/>
  <c r="H120" i="7"/>
  <c r="H77" i="7"/>
  <c r="H76" i="7" s="1"/>
  <c r="H75" i="7" s="1"/>
  <c r="H55" i="7"/>
  <c r="H53" i="7"/>
  <c r="H19" i="7"/>
  <c r="H18" i="7" s="1"/>
  <c r="H895" i="7" l="1"/>
  <c r="H894" i="7" s="1"/>
  <c r="I896" i="7"/>
  <c r="I895" i="7" s="1"/>
  <c r="I894" i="7" s="1"/>
  <c r="H898" i="7"/>
  <c r="H897" i="7" s="1"/>
  <c r="I899" i="7"/>
  <c r="I898" i="7" s="1"/>
  <c r="I897" i="7" s="1"/>
  <c r="H861" i="7"/>
  <c r="H860" i="7" s="1"/>
  <c r="H859" i="7" s="1"/>
  <c r="H858" i="7" s="1"/>
  <c r="H893" i="7"/>
  <c r="H888" i="7" s="1"/>
  <c r="H887" i="7" s="1"/>
  <c r="H886" i="7" s="1"/>
  <c r="H52" i="7"/>
  <c r="H838" i="7"/>
  <c r="H837" i="7" s="1"/>
  <c r="H836" i="7" s="1"/>
  <c r="H835" i="7" s="1"/>
  <c r="H805" i="7"/>
  <c r="H254" i="7"/>
  <c r="H253" i="7" s="1"/>
  <c r="H252" i="7" s="1"/>
  <c r="H251" i="7" s="1"/>
  <c r="H853" i="7"/>
  <c r="H852" i="7" s="1"/>
  <c r="H883" i="7"/>
  <c r="H880" i="7" s="1"/>
  <c r="H879" i="7" s="1"/>
  <c r="H878" i="7" s="1"/>
  <c r="H877" i="7" s="1"/>
  <c r="H876" i="7" s="1"/>
  <c r="H396" i="7"/>
  <c r="H395" i="7" s="1"/>
  <c r="H394" i="7" s="1"/>
  <c r="H393" i="7" s="1"/>
  <c r="I893" i="7" l="1"/>
  <c r="I888" i="7" s="1"/>
  <c r="I887" i="7" s="1"/>
  <c r="I886" i="7" s="1"/>
  <c r="I868" i="7" s="1"/>
  <c r="H851" i="7"/>
  <c r="AG18" i="2" l="1"/>
  <c r="AG36" i="2"/>
  <c r="AG58" i="2"/>
  <c r="AG125" i="2"/>
  <c r="AG132" i="2"/>
  <c r="AG136" i="2"/>
  <c r="AG175" i="2"/>
  <c r="AG205" i="2"/>
  <c r="AG255" i="2"/>
  <c r="AG287" i="2"/>
  <c r="AG290" i="2"/>
  <c r="AG311" i="2"/>
  <c r="AG316" i="2"/>
  <c r="AG330" i="2"/>
  <c r="AG350" i="2"/>
  <c r="AG391" i="2"/>
  <c r="AG407" i="2"/>
  <c r="AG427" i="2"/>
  <c r="AG448" i="2"/>
  <c r="AG453" i="2"/>
  <c r="AG460" i="2"/>
  <c r="AG471" i="2"/>
  <c r="AG478" i="2"/>
  <c r="AG481" i="2"/>
  <c r="AG496" i="2"/>
  <c r="AG498" i="2"/>
  <c r="AG510" i="2"/>
  <c r="AG592" i="2"/>
  <c r="AG605" i="2"/>
  <c r="AG616" i="2"/>
  <c r="AG620" i="2"/>
  <c r="AG628" i="2"/>
  <c r="AG646" i="2"/>
  <c r="AG682" i="2"/>
  <c r="AG742" i="2"/>
  <c r="AG783" i="2"/>
  <c r="AG811" i="2"/>
  <c r="AG818" i="2"/>
  <c r="AG820" i="2"/>
  <c r="AG822" i="2"/>
  <c r="AG846" i="2"/>
  <c r="AG870" i="2"/>
  <c r="AG921" i="2"/>
  <c r="AG930" i="2"/>
  <c r="AG944" i="2"/>
  <c r="AG952" i="2"/>
  <c r="AG1002" i="2"/>
  <c r="AG1018" i="2"/>
  <c r="AG1025" i="2"/>
  <c r="AG1042" i="2"/>
  <c r="AE1041" i="2" l="1"/>
  <c r="AE1040" i="2" s="1"/>
  <c r="AE1039" i="2" s="1"/>
  <c r="AE1038" i="2" s="1"/>
  <c r="AE1037" i="2" s="1"/>
  <c r="AE1036" i="2" s="1"/>
  <c r="AE1035" i="2" s="1"/>
  <c r="AE1034" i="2"/>
  <c r="AE1031" i="2"/>
  <c r="AE1028" i="2"/>
  <c r="AE1024" i="2"/>
  <c r="AE1023" i="2"/>
  <c r="H119" i="7" s="1"/>
  <c r="H118" i="7" s="1"/>
  <c r="H117" i="7" s="1"/>
  <c r="AE1017" i="2"/>
  <c r="AE1016" i="2" s="1"/>
  <c r="AE1015" i="2" s="1"/>
  <c r="AE1014" i="2" s="1"/>
  <c r="AE1013" i="2" s="1"/>
  <c r="AE1009" i="2"/>
  <c r="AE1001" i="2"/>
  <c r="AE1000" i="2" s="1"/>
  <c r="AE999" i="2" s="1"/>
  <c r="AE998" i="2" s="1"/>
  <c r="AE997" i="2" s="1"/>
  <c r="AE996" i="2" s="1"/>
  <c r="AE994" i="2"/>
  <c r="AE991" i="2"/>
  <c r="AE985" i="2"/>
  <c r="H635" i="7" s="1"/>
  <c r="H634" i="7" s="1"/>
  <c r="H633" i="7" s="1"/>
  <c r="AE982" i="2"/>
  <c r="AE979" i="2"/>
  <c r="AE971" i="2"/>
  <c r="AE958" i="2"/>
  <c r="AE955" i="2"/>
  <c r="AE951" i="2"/>
  <c r="AE950" i="2"/>
  <c r="AE943" i="2"/>
  <c r="AE942" i="2"/>
  <c r="H524" i="7" s="1"/>
  <c r="AE936" i="2"/>
  <c r="AE929" i="2"/>
  <c r="AE928" i="2"/>
  <c r="AE920" i="2"/>
  <c r="AE919" i="2" s="1"/>
  <c r="AE918" i="2" s="1"/>
  <c r="AE917" i="2" s="1"/>
  <c r="AE913" i="2"/>
  <c r="AE910" i="2"/>
  <c r="AE907" i="2"/>
  <c r="AE901" i="2"/>
  <c r="AE897" i="2"/>
  <c r="AE894" i="2"/>
  <c r="H473" i="7" s="1"/>
  <c r="H472" i="7" s="1"/>
  <c r="H471" i="7" s="1"/>
  <c r="AE891" i="2"/>
  <c r="H470" i="7" s="1"/>
  <c r="H469" i="7" s="1"/>
  <c r="H468" i="7" s="1"/>
  <c r="AE888" i="2"/>
  <c r="AE881" i="2"/>
  <c r="AE877" i="2"/>
  <c r="AE869" i="2"/>
  <c r="AE868" i="2" s="1"/>
  <c r="AE867" i="2" s="1"/>
  <c r="AE866" i="2" s="1"/>
  <c r="AE865" i="2" s="1"/>
  <c r="AE864" i="2" s="1"/>
  <c r="AE857" i="2"/>
  <c r="AE856" i="2" s="1"/>
  <c r="AE855" i="2" s="1"/>
  <c r="AE852" i="2"/>
  <c r="AE849" i="2"/>
  <c r="H359" i="7" s="1"/>
  <c r="H358" i="7" s="1"/>
  <c r="H357" i="7" s="1"/>
  <c r="AE845" i="2"/>
  <c r="AE844" i="2" s="1"/>
  <c r="AE839" i="2"/>
  <c r="AE837" i="2"/>
  <c r="H329" i="7" s="1"/>
  <c r="AE829" i="2"/>
  <c r="AE821" i="2"/>
  <c r="AE817" i="2"/>
  <c r="AE810" i="2"/>
  <c r="AE809" i="2" s="1"/>
  <c r="AE808" i="2" s="1"/>
  <c r="AE807" i="2" s="1"/>
  <c r="AE806" i="2" s="1"/>
  <c r="AE805" i="2" s="1"/>
  <c r="AE799" i="2"/>
  <c r="AE796" i="2"/>
  <c r="AE789" i="2"/>
  <c r="AE786" i="2"/>
  <c r="H726" i="7" s="1"/>
  <c r="H725" i="7" s="1"/>
  <c r="H724" i="7" s="1"/>
  <c r="AE782" i="2"/>
  <c r="AE781" i="2" s="1"/>
  <c r="AE770" i="2"/>
  <c r="AE763" i="2"/>
  <c r="AE761" i="2"/>
  <c r="H690" i="7" s="1"/>
  <c r="AE760" i="2"/>
  <c r="H689" i="7" s="1"/>
  <c r="AE759" i="2"/>
  <c r="H688" i="7" s="1"/>
  <c r="AE755" i="2"/>
  <c r="AE748" i="2"/>
  <c r="AE747" i="2" s="1"/>
  <c r="AE746" i="2" s="1"/>
  <c r="AE745" i="2" s="1"/>
  <c r="AE741" i="2"/>
  <c r="AE740" i="2" s="1"/>
  <c r="AE739" i="2" s="1"/>
  <c r="AE738" i="2" s="1"/>
  <c r="AE725" i="2"/>
  <c r="H648" i="7" s="1"/>
  <c r="AE721" i="2"/>
  <c r="AE716" i="2"/>
  <c r="H625" i="7" s="1"/>
  <c r="H624" i="7" s="1"/>
  <c r="H623" i="7" s="1"/>
  <c r="H622" i="7" s="1"/>
  <c r="AE711" i="2"/>
  <c r="AE710" i="2" s="1"/>
  <c r="AE708" i="2"/>
  <c r="AE707" i="2" s="1"/>
  <c r="AE705" i="2"/>
  <c r="AE704" i="2" s="1"/>
  <c r="AE701" i="2"/>
  <c r="AE700" i="2" s="1"/>
  <c r="AE699" i="2"/>
  <c r="AE696" i="2"/>
  <c r="H605" i="7" s="1"/>
  <c r="H604" i="7" s="1"/>
  <c r="H603" i="7" s="1"/>
  <c r="AE693" i="2"/>
  <c r="AE689" i="2"/>
  <c r="AE681" i="2"/>
  <c r="AE680" i="2" s="1"/>
  <c r="AE679" i="2" s="1"/>
  <c r="AE678" i="2" s="1"/>
  <c r="AE677" i="2"/>
  <c r="AE670" i="2"/>
  <c r="AE666" i="2"/>
  <c r="AG666" i="2" s="1"/>
  <c r="AE660" i="2"/>
  <c r="AE659" i="2" s="1"/>
  <c r="AE658" i="2"/>
  <c r="AE655" i="2"/>
  <c r="AE645" i="2"/>
  <c r="AE644" i="2" s="1"/>
  <c r="AE643" i="2" s="1"/>
  <c r="AE642" i="2" s="1"/>
  <c r="AE641" i="2" s="1"/>
  <c r="AE640" i="2" s="1"/>
  <c r="AE639" i="2" s="1"/>
  <c r="AG637" i="2"/>
  <c r="AG635" i="2"/>
  <c r="AE627" i="2"/>
  <c r="AE626" i="2" s="1"/>
  <c r="AE625" i="2" s="1"/>
  <c r="AE624" i="2" s="1"/>
  <c r="AE623" i="2" s="1"/>
  <c r="AE622" i="2" s="1"/>
  <c r="AE619" i="2"/>
  <c r="AE618" i="2" s="1"/>
  <c r="AE617" i="2" s="1"/>
  <c r="AE615" i="2"/>
  <c r="AE614" i="2" s="1"/>
  <c r="AE613" i="2" s="1"/>
  <c r="AE612" i="2" s="1"/>
  <c r="AE611" i="2"/>
  <c r="AE608" i="2"/>
  <c r="AE604" i="2"/>
  <c r="AE603" i="2"/>
  <c r="H178" i="7" s="1"/>
  <c r="H177" i="7" s="1"/>
  <c r="H176" i="7" s="1"/>
  <c r="AE598" i="2"/>
  <c r="AE596" i="2"/>
  <c r="AE591" i="2"/>
  <c r="AE590" i="2" s="1"/>
  <c r="AE589" i="2" s="1"/>
  <c r="AE583" i="2"/>
  <c r="AE571" i="2"/>
  <c r="AE567" i="2"/>
  <c r="AE564" i="2"/>
  <c r="AE561" i="2"/>
  <c r="H104" i="7" s="1"/>
  <c r="H103" i="7" s="1"/>
  <c r="AE559" i="2"/>
  <c r="AE549" i="2"/>
  <c r="AE541" i="2"/>
  <c r="AE538" i="2"/>
  <c r="AE535" i="2"/>
  <c r="AE531" i="2"/>
  <c r="AE528" i="2"/>
  <c r="H25" i="7" s="1"/>
  <c r="H24" i="7" s="1"/>
  <c r="H23" i="7" s="1"/>
  <c r="AE521" i="2"/>
  <c r="H907" i="7" s="1"/>
  <c r="H906" i="7" s="1"/>
  <c r="AE513" i="2"/>
  <c r="AE509" i="2"/>
  <c r="AE506" i="2"/>
  <c r="AG506" i="2" s="1"/>
  <c r="AE499" i="2"/>
  <c r="AG499" i="2" s="1"/>
  <c r="AE495" i="2"/>
  <c r="AE489" i="2"/>
  <c r="AE488" i="2" s="1"/>
  <c r="AE487" i="2" s="1"/>
  <c r="AE486" i="2" s="1"/>
  <c r="AE485" i="2" s="1"/>
  <c r="AE484" i="2" s="1"/>
  <c r="AE483" i="2" s="1"/>
  <c r="AE480" i="2"/>
  <c r="AE479" i="2" s="1"/>
  <c r="AE477" i="2"/>
  <c r="AE476" i="2" s="1"/>
  <c r="AE470" i="2"/>
  <c r="AE469" i="2" s="1"/>
  <c r="AE468" i="2" s="1"/>
  <c r="AE463" i="2"/>
  <c r="H825" i="7" s="1"/>
  <c r="H824" i="7" s="1"/>
  <c r="H823" i="7" s="1"/>
  <c r="H819" i="7" s="1"/>
  <c r="H818" i="7" s="1"/>
  <c r="H817" i="7" s="1"/>
  <c r="H816" i="7" s="1"/>
  <c r="AE459" i="2"/>
  <c r="AE458" i="2" s="1"/>
  <c r="AE452" i="2"/>
  <c r="AE451" i="2" s="1"/>
  <c r="AE450" i="2" s="1"/>
  <c r="AE449" i="2" s="1"/>
  <c r="AE447" i="2"/>
  <c r="AE446" i="2" s="1"/>
  <c r="AE445" i="2" s="1"/>
  <c r="AE444" i="2" s="1"/>
  <c r="AE442" i="2"/>
  <c r="AE438" i="2"/>
  <c r="H800" i="7" s="1"/>
  <c r="H799" i="7" s="1"/>
  <c r="H798" i="7" s="1"/>
  <c r="H797" i="7" s="1"/>
  <c r="AE434" i="2"/>
  <c r="H796" i="7" s="1"/>
  <c r="AE431" i="2"/>
  <c r="AE426" i="2"/>
  <c r="AE425" i="2" s="1"/>
  <c r="AE424" i="2"/>
  <c r="H786" i="7" s="1"/>
  <c r="H785" i="7" s="1"/>
  <c r="AE422" i="2"/>
  <c r="AE416" i="2"/>
  <c r="AE413" i="2"/>
  <c r="AE410" i="2"/>
  <c r="AE406" i="2"/>
  <c r="AE405" i="2" s="1"/>
  <c r="AE402" i="2"/>
  <c r="H764" i="7" s="1"/>
  <c r="AE399" i="2"/>
  <c r="AE390" i="2"/>
  <c r="AE388" i="2"/>
  <c r="AE386" i="2"/>
  <c r="AE382" i="2"/>
  <c r="AE380" i="2"/>
  <c r="AE373" i="2"/>
  <c r="H707" i="7" s="1"/>
  <c r="H706" i="7" s="1"/>
  <c r="AE371" i="2"/>
  <c r="AE365" i="2"/>
  <c r="H699" i="7" s="1"/>
  <c r="H698" i="7" s="1"/>
  <c r="H697" i="7" s="1"/>
  <c r="H696" i="7" s="1"/>
  <c r="H695" i="7" s="1"/>
  <c r="H694" i="7" s="1"/>
  <c r="AE358" i="2"/>
  <c r="AE349" i="2"/>
  <c r="AE348" i="2" s="1"/>
  <c r="AE347" i="2" s="1"/>
  <c r="AE346" i="2" s="1"/>
  <c r="AE345" i="2" s="1"/>
  <c r="AE344" i="2" s="1"/>
  <c r="AE343" i="2" s="1"/>
  <c r="AE342" i="2"/>
  <c r="AE336" i="2"/>
  <c r="H461" i="7" s="1"/>
  <c r="H460" i="7" s="1"/>
  <c r="H459" i="7" s="1"/>
  <c r="H458" i="7" s="1"/>
  <c r="H457" i="7" s="1"/>
  <c r="H456" i="7" s="1"/>
  <c r="AE329" i="2"/>
  <c r="AE328" i="2"/>
  <c r="AE326" i="2"/>
  <c r="H451" i="7" s="1"/>
  <c r="H450" i="7" s="1"/>
  <c r="AE323" i="2"/>
  <c r="H448" i="7" s="1"/>
  <c r="H447" i="7" s="1"/>
  <c r="H446" i="7" s="1"/>
  <c r="H445" i="7" s="1"/>
  <c r="AE315" i="2"/>
  <c r="AE314" i="2" s="1"/>
  <c r="AE313" i="2" s="1"/>
  <c r="AE312" i="2" s="1"/>
  <c r="AE310" i="2"/>
  <c r="AE309" i="2" s="1"/>
  <c r="AE308" i="2" s="1"/>
  <c r="AE307" i="2" s="1"/>
  <c r="AE304" i="2"/>
  <c r="H420" i="7" s="1"/>
  <c r="H419" i="7" s="1"/>
  <c r="H418" i="7" s="1"/>
  <c r="H417" i="7" s="1"/>
  <c r="AE298" i="2"/>
  <c r="H410" i="7" s="1"/>
  <c r="H409" i="7" s="1"/>
  <c r="H408" i="7" s="1"/>
  <c r="H407" i="7" s="1"/>
  <c r="H406" i="7" s="1"/>
  <c r="H405" i="7" s="1"/>
  <c r="AE289" i="2"/>
  <c r="AE288" i="2" s="1"/>
  <c r="AE286" i="2"/>
  <c r="AE285" i="2" s="1"/>
  <c r="AE280" i="2"/>
  <c r="H392" i="7" s="1"/>
  <c r="H391" i="7" s="1"/>
  <c r="H390" i="7" s="1"/>
  <c r="H389" i="7" s="1"/>
  <c r="AE276" i="2"/>
  <c r="H388" i="7" s="1"/>
  <c r="H387" i="7" s="1"/>
  <c r="H386" i="7" s="1"/>
  <c r="H385" i="7" s="1"/>
  <c r="AE272" i="2"/>
  <c r="H384" i="7" s="1"/>
  <c r="H383" i="7" s="1"/>
  <c r="H382" i="7" s="1"/>
  <c r="H381" i="7" s="1"/>
  <c r="AE265" i="2"/>
  <c r="AE258" i="2"/>
  <c r="H349" i="7" s="1"/>
  <c r="H348" i="7" s="1"/>
  <c r="H347" i="7" s="1"/>
  <c r="H343" i="7" s="1"/>
  <c r="H342" i="7" s="1"/>
  <c r="H341" i="7" s="1"/>
  <c r="H340" i="7" s="1"/>
  <c r="AE254" i="2"/>
  <c r="AE253" i="2" s="1"/>
  <c r="AE248" i="2"/>
  <c r="H339" i="7" s="1"/>
  <c r="H338" i="7" s="1"/>
  <c r="H337" i="7" s="1"/>
  <c r="H336" i="7" s="1"/>
  <c r="H335" i="7" s="1"/>
  <c r="H334" i="7" s="1"/>
  <c r="H333" i="7" s="1"/>
  <c r="AE239" i="2"/>
  <c r="H321" i="7" s="1"/>
  <c r="H320" i="7" s="1"/>
  <c r="H319" i="7" s="1"/>
  <c r="H318" i="7" s="1"/>
  <c r="H317" i="7" s="1"/>
  <c r="H316" i="7" s="1"/>
  <c r="H315" i="7" s="1"/>
  <c r="AE232" i="2"/>
  <c r="H314" i="7" s="1"/>
  <c r="H313" i="7" s="1"/>
  <c r="H312" i="7" s="1"/>
  <c r="H311" i="7" s="1"/>
  <c r="H310" i="7" s="1"/>
  <c r="H309" i="7" s="1"/>
  <c r="AE226" i="2"/>
  <c r="AE224" i="2"/>
  <c r="H306" i="7" s="1"/>
  <c r="H305" i="7" s="1"/>
  <c r="AE219" i="2"/>
  <c r="H301" i="7" s="1"/>
  <c r="H300" i="7" s="1"/>
  <c r="AE217" i="2"/>
  <c r="AE212" i="2"/>
  <c r="H294" i="7" s="1"/>
  <c r="AE210" i="2"/>
  <c r="AE204" i="2"/>
  <c r="AE203" i="2" s="1"/>
  <c r="AE202" i="2" s="1"/>
  <c r="AE201" i="2"/>
  <c r="AE194" i="2"/>
  <c r="H276" i="7" s="1"/>
  <c r="H275" i="7" s="1"/>
  <c r="H274" i="7" s="1"/>
  <c r="H273" i="7" s="1"/>
  <c r="AE190" i="2"/>
  <c r="H272" i="7" s="1"/>
  <c r="H271" i="7" s="1"/>
  <c r="H270" i="7" s="1"/>
  <c r="H269" i="7" s="1"/>
  <c r="AE182" i="2"/>
  <c r="H264" i="7" s="1"/>
  <c r="H263" i="7" s="1"/>
  <c r="H262" i="7" s="1"/>
  <c r="H261" i="7" s="1"/>
  <c r="H260" i="7" s="1"/>
  <c r="H259" i="7" s="1"/>
  <c r="H258" i="7" s="1"/>
  <c r="H250" i="7" s="1"/>
  <c r="AE174" i="2"/>
  <c r="AE173" i="2" s="1"/>
  <c r="AE161" i="2"/>
  <c r="AE157" i="2"/>
  <c r="AG153" i="2"/>
  <c r="AE147" i="2"/>
  <c r="AE146" i="2" s="1"/>
  <c r="AE145" i="2" s="1"/>
  <c r="AE144" i="2" s="1"/>
  <c r="AE142" i="2"/>
  <c r="AE135" i="2"/>
  <c r="AE134" i="2" s="1"/>
  <c r="AE133" i="2" s="1"/>
  <c r="AE131" i="2"/>
  <c r="AE130" i="2"/>
  <c r="H212" i="7" s="1"/>
  <c r="H211" i="7" s="1"/>
  <c r="AE128" i="2"/>
  <c r="AE124" i="2"/>
  <c r="AE123" i="2"/>
  <c r="AE117" i="2"/>
  <c r="H196" i="7" s="1"/>
  <c r="H195" i="7" s="1"/>
  <c r="AE115" i="2"/>
  <c r="AE112" i="2"/>
  <c r="AE107" i="2"/>
  <c r="AE105" i="2"/>
  <c r="H165" i="7" s="1"/>
  <c r="H164" i="7" s="1"/>
  <c r="AE103" i="2"/>
  <c r="AE95" i="2"/>
  <c r="AE94" i="2" s="1"/>
  <c r="AE92" i="2"/>
  <c r="AE91" i="2" s="1"/>
  <c r="AE88" i="2"/>
  <c r="H148" i="7" s="1"/>
  <c r="AE82" i="2"/>
  <c r="AE70" i="2"/>
  <c r="AE68" i="2"/>
  <c r="H88" i="7" s="1"/>
  <c r="AE62" i="2"/>
  <c r="H82" i="7" s="1"/>
  <c r="H81" i="7" s="1"/>
  <c r="H80" i="7" s="1"/>
  <c r="H79" i="7" s="1"/>
  <c r="H74" i="7" s="1"/>
  <c r="H73" i="7" s="1"/>
  <c r="AE57" i="2"/>
  <c r="AE56" i="2" s="1"/>
  <c r="AE55" i="2" s="1"/>
  <c r="AE52" i="2"/>
  <c r="AE46" i="2"/>
  <c r="H66" i="7" s="1"/>
  <c r="AE41" i="2"/>
  <c r="AE40" i="2" s="1"/>
  <c r="AE39" i="2"/>
  <c r="AE35" i="2"/>
  <c r="AG34" i="2"/>
  <c r="AE27" i="2"/>
  <c r="AE25" i="2"/>
  <c r="H45" i="7" s="1"/>
  <c r="H44" i="7" s="1"/>
  <c r="AE17" i="2"/>
  <c r="AE16" i="2" s="1"/>
  <c r="AE15" i="2" s="1"/>
  <c r="AE14" i="2" s="1"/>
  <c r="AE13" i="2" s="1"/>
  <c r="AE12" i="2" s="1"/>
  <c r="H332" i="7" l="1"/>
  <c r="AE200" i="2"/>
  <c r="AE199" i="2" s="1"/>
  <c r="AE198" i="2" s="1"/>
  <c r="H283" i="7"/>
  <c r="AE341" i="2"/>
  <c r="AE340" i="2" s="1"/>
  <c r="AE339" i="2" s="1"/>
  <c r="AE338" i="2" s="1"/>
  <c r="AE337" i="2" s="1"/>
  <c r="H495" i="7"/>
  <c r="AE385" i="2"/>
  <c r="H741" i="7"/>
  <c r="AE430" i="2"/>
  <c r="AE429" i="2" s="1"/>
  <c r="H793" i="7"/>
  <c r="E50" i="9" s="1"/>
  <c r="AG535" i="2"/>
  <c r="H32" i="7"/>
  <c r="H31" i="7" s="1"/>
  <c r="H30" i="7" s="1"/>
  <c r="AG598" i="2"/>
  <c r="H173" i="7"/>
  <c r="AE906" i="2"/>
  <c r="AE905" i="2" s="1"/>
  <c r="AE904" i="2" s="1"/>
  <c r="H486" i="7"/>
  <c r="AG1028" i="2"/>
  <c r="H124" i="7"/>
  <c r="H123" i="7" s="1"/>
  <c r="H122" i="7" s="1"/>
  <c r="H65" i="7"/>
  <c r="H64" i="7" s="1"/>
  <c r="H63" i="7" s="1"/>
  <c r="AG107" i="2"/>
  <c r="H167" i="7"/>
  <c r="H166" i="7" s="1"/>
  <c r="AG123" i="2"/>
  <c r="H205" i="7"/>
  <c r="H204" i="7" s="1"/>
  <c r="H201" i="7" s="1"/>
  <c r="AE264" i="2"/>
  <c r="AE263" i="2" s="1"/>
  <c r="AE262" i="2" s="1"/>
  <c r="AE261" i="2" s="1"/>
  <c r="AE260" i="2" s="1"/>
  <c r="AE259" i="2" s="1"/>
  <c r="H367" i="7"/>
  <c r="AG328" i="2"/>
  <c r="H453" i="7"/>
  <c r="H452" i="7" s="1"/>
  <c r="AG388" i="2"/>
  <c r="H743" i="7"/>
  <c r="H742" i="7" s="1"/>
  <c r="AG422" i="2"/>
  <c r="H784" i="7"/>
  <c r="H783" i="7" s="1"/>
  <c r="E53" i="9"/>
  <c r="H795" i="7"/>
  <c r="H794" i="7" s="1"/>
  <c r="H903" i="7"/>
  <c r="H905" i="7"/>
  <c r="H904" i="7" s="1"/>
  <c r="H902" i="7"/>
  <c r="AE798" i="2"/>
  <c r="AE797" i="2" s="1"/>
  <c r="H749" i="7"/>
  <c r="AE909" i="2"/>
  <c r="AE908" i="2" s="1"/>
  <c r="H489" i="7"/>
  <c r="AG950" i="2"/>
  <c r="H532" i="7"/>
  <c r="H531" i="7" s="1"/>
  <c r="H530" i="7" s="1"/>
  <c r="AG971" i="2"/>
  <c r="H553" i="7"/>
  <c r="H552" i="7" s="1"/>
  <c r="H551" i="7" s="1"/>
  <c r="H550" i="7" s="1"/>
  <c r="H549" i="7" s="1"/>
  <c r="H548" i="7" s="1"/>
  <c r="H547" i="7" s="1"/>
  <c r="H546" i="7" s="1"/>
  <c r="H545" i="7" s="1"/>
  <c r="AG991" i="2"/>
  <c r="H641" i="7"/>
  <c r="AE1030" i="2"/>
  <c r="AE1029" i="2" s="1"/>
  <c r="H127" i="7"/>
  <c r="AG52" i="2"/>
  <c r="H72" i="7"/>
  <c r="H71" i="7" s="1"/>
  <c r="H70" i="7" s="1"/>
  <c r="H69" i="7" s="1"/>
  <c r="H68" i="7" s="1"/>
  <c r="H67" i="7" s="1"/>
  <c r="AG70" i="2"/>
  <c r="H90" i="7"/>
  <c r="AG112" i="2"/>
  <c r="H191" i="7"/>
  <c r="H190" i="7" s="1"/>
  <c r="H189" i="7" s="1"/>
  <c r="AG157" i="2"/>
  <c r="H239" i="7"/>
  <c r="H268" i="7"/>
  <c r="H267" i="7" s="1"/>
  <c r="H266" i="7" s="1"/>
  <c r="AG210" i="2"/>
  <c r="H292" i="7"/>
  <c r="H380" i="7"/>
  <c r="H379" i="7" s="1"/>
  <c r="H378" i="7" s="1"/>
  <c r="AG358" i="2"/>
  <c r="H672" i="7"/>
  <c r="H671" i="7" s="1"/>
  <c r="H670" i="7" s="1"/>
  <c r="H669" i="7" s="1"/>
  <c r="H668" i="7" s="1"/>
  <c r="H667" i="7" s="1"/>
  <c r="AG380" i="2"/>
  <c r="H735" i="7"/>
  <c r="H734" i="7" s="1"/>
  <c r="AG410" i="2"/>
  <c r="H772" i="7"/>
  <c r="H771" i="7" s="1"/>
  <c r="H770" i="7" s="1"/>
  <c r="H782" i="7"/>
  <c r="H781" i="7" s="1"/>
  <c r="AE540" i="2"/>
  <c r="AE539" i="2" s="1"/>
  <c r="H38" i="7"/>
  <c r="AE562" i="2"/>
  <c r="H107" i="7"/>
  <c r="AG689" i="2"/>
  <c r="H598" i="7"/>
  <c r="H597" i="7" s="1"/>
  <c r="H596" i="7" s="1"/>
  <c r="I329" i="7"/>
  <c r="I328" i="7" s="1"/>
  <c r="H328" i="7"/>
  <c r="AE851" i="2"/>
  <c r="AE850" i="2" s="1"/>
  <c r="H362" i="7"/>
  <c r="AG881" i="2"/>
  <c r="H431" i="7"/>
  <c r="H430" i="7" s="1"/>
  <c r="H429" i="7" s="1"/>
  <c r="H428" i="7" s="1"/>
  <c r="AG897" i="2"/>
  <c r="H476" i="7"/>
  <c r="H475" i="7" s="1"/>
  <c r="H474" i="7" s="1"/>
  <c r="AE912" i="2"/>
  <c r="AE911" i="2" s="1"/>
  <c r="H492" i="7"/>
  <c r="AG936" i="2"/>
  <c r="H518" i="7"/>
  <c r="H517" i="7" s="1"/>
  <c r="H516" i="7" s="1"/>
  <c r="H515" i="7" s="1"/>
  <c r="H514" i="7" s="1"/>
  <c r="H513" i="7" s="1"/>
  <c r="AG979" i="2"/>
  <c r="H629" i="7"/>
  <c r="AG994" i="2"/>
  <c r="H644" i="7"/>
  <c r="AE1033" i="2"/>
  <c r="AE1032" i="2" s="1"/>
  <c r="H130" i="7"/>
  <c r="AG27" i="2"/>
  <c r="H47" i="7"/>
  <c r="H46" i="7" s="1"/>
  <c r="H43" i="7" s="1"/>
  <c r="H42" i="7" s="1"/>
  <c r="H41" i="7" s="1"/>
  <c r="H40" i="7" s="1"/>
  <c r="E473" i="9"/>
  <c r="H147" i="7"/>
  <c r="H146" i="7" s="1"/>
  <c r="H145" i="7" s="1"/>
  <c r="H144" i="7" s="1"/>
  <c r="H143" i="7" s="1"/>
  <c r="AG217" i="2"/>
  <c r="H299" i="7"/>
  <c r="H298" i="7" s="1"/>
  <c r="H297" i="7" s="1"/>
  <c r="H296" i="7" s="1"/>
  <c r="H295" i="7" s="1"/>
  <c r="H449" i="7"/>
  <c r="H444" i="7" s="1"/>
  <c r="H443" i="7" s="1"/>
  <c r="AG371" i="2"/>
  <c r="H705" i="7"/>
  <c r="H704" i="7" s="1"/>
  <c r="H703" i="7" s="1"/>
  <c r="H702" i="7" s="1"/>
  <c r="K764" i="7"/>
  <c r="I764" i="7"/>
  <c r="H763" i="7"/>
  <c r="H762" i="7" s="1"/>
  <c r="AE415" i="2"/>
  <c r="AE414" i="2" s="1"/>
  <c r="H778" i="7"/>
  <c r="AG559" i="2"/>
  <c r="H102" i="7"/>
  <c r="H101" i="7" s="1"/>
  <c r="H100" i="7" s="1"/>
  <c r="AG571" i="2"/>
  <c r="H114" i="7"/>
  <c r="AE610" i="2"/>
  <c r="H186" i="7"/>
  <c r="AG658" i="2"/>
  <c r="H572" i="7"/>
  <c r="H571" i="7" s="1"/>
  <c r="H570" i="7" s="1"/>
  <c r="AG677" i="2"/>
  <c r="H586" i="7"/>
  <c r="H585" i="7" s="1"/>
  <c r="H584" i="7" s="1"/>
  <c r="H583" i="7" s="1"/>
  <c r="H582" i="7" s="1"/>
  <c r="H581" i="7" s="1"/>
  <c r="H580" i="7" s="1"/>
  <c r="I648" i="7"/>
  <c r="H647" i="7"/>
  <c r="H646" i="7" s="1"/>
  <c r="H645" i="7" s="1"/>
  <c r="AG770" i="2"/>
  <c r="H710" i="7"/>
  <c r="H709" i="7" s="1"/>
  <c r="H708" i="7" s="1"/>
  <c r="AE795" i="2"/>
  <c r="AE794" i="2" s="1"/>
  <c r="H745" i="7"/>
  <c r="K745" i="7" s="1"/>
  <c r="AG928" i="2"/>
  <c r="H510" i="7"/>
  <c r="AE957" i="2"/>
  <c r="AE956" i="2" s="1"/>
  <c r="H540" i="7"/>
  <c r="AE1008" i="2"/>
  <c r="AE1007" i="2" s="1"/>
  <c r="AE1006" i="2" s="1"/>
  <c r="AE1005" i="2" s="1"/>
  <c r="AE1004" i="2" s="1"/>
  <c r="AE1003" i="2" s="1"/>
  <c r="AE995" i="2" s="1"/>
  <c r="H850" i="7"/>
  <c r="I88" i="7"/>
  <c r="K88" i="7"/>
  <c r="H87" i="7"/>
  <c r="AG538" i="2"/>
  <c r="H35" i="7"/>
  <c r="H34" i="7" s="1"/>
  <c r="H33" i="7" s="1"/>
  <c r="AE698" i="2"/>
  <c r="AE697" i="2" s="1"/>
  <c r="I608" i="7"/>
  <c r="I607" i="7" s="1"/>
  <c r="I606" i="7" s="1"/>
  <c r="I595" i="7" s="1"/>
  <c r="H608" i="7"/>
  <c r="AG877" i="2"/>
  <c r="H427" i="7"/>
  <c r="H426" i="7" s="1"/>
  <c r="H425" i="7" s="1"/>
  <c r="AG39" i="2"/>
  <c r="H59" i="7"/>
  <c r="H58" i="7" s="1"/>
  <c r="H57" i="7" s="1"/>
  <c r="AG82" i="2"/>
  <c r="H142" i="7"/>
  <c r="AG103" i="2"/>
  <c r="H163" i="7"/>
  <c r="H162" i="7" s="1"/>
  <c r="AG115" i="2"/>
  <c r="H194" i="7"/>
  <c r="H193" i="7" s="1"/>
  <c r="H192" i="7" s="1"/>
  <c r="AG128" i="2"/>
  <c r="H210" i="7"/>
  <c r="H209" i="7" s="1"/>
  <c r="H208" i="7" s="1"/>
  <c r="AG142" i="2"/>
  <c r="H224" i="7"/>
  <c r="AG161" i="2"/>
  <c r="H243" i="7"/>
  <c r="H242" i="7" s="1"/>
  <c r="H241" i="7" s="1"/>
  <c r="E307" i="9"/>
  <c r="H293" i="7"/>
  <c r="AG226" i="2"/>
  <c r="H308" i="7"/>
  <c r="H307" i="7" s="1"/>
  <c r="H304" i="7" s="1"/>
  <c r="H303" i="7" s="1"/>
  <c r="H302" i="7" s="1"/>
  <c r="AG382" i="2"/>
  <c r="H737" i="7"/>
  <c r="AE398" i="2"/>
  <c r="AE397" i="2" s="1"/>
  <c r="H761" i="7"/>
  <c r="AG413" i="2"/>
  <c r="H775" i="7"/>
  <c r="AG442" i="2"/>
  <c r="H804" i="7"/>
  <c r="AE529" i="2"/>
  <c r="H28" i="7"/>
  <c r="AG549" i="2"/>
  <c r="H833" i="7"/>
  <c r="AE565" i="2"/>
  <c r="H110" i="7"/>
  <c r="AG596" i="2"/>
  <c r="H171" i="7"/>
  <c r="AG608" i="2"/>
  <c r="H183" i="7"/>
  <c r="H182" i="7" s="1"/>
  <c r="H181" i="7" s="1"/>
  <c r="AE654" i="2"/>
  <c r="AE653" i="2" s="1"/>
  <c r="H569" i="7"/>
  <c r="AG670" i="2"/>
  <c r="H579" i="7"/>
  <c r="AE692" i="2"/>
  <c r="AE691" i="2" s="1"/>
  <c r="H602" i="7"/>
  <c r="AE754" i="2"/>
  <c r="AE753" i="2" s="1"/>
  <c r="AE752" i="2" s="1"/>
  <c r="H684" i="7"/>
  <c r="AE762" i="2"/>
  <c r="H692" i="7"/>
  <c r="AE788" i="2"/>
  <c r="AE787" i="2" s="1"/>
  <c r="H729" i="7"/>
  <c r="AE838" i="2"/>
  <c r="H331" i="7"/>
  <c r="I331" i="7" s="1"/>
  <c r="I330" i="7" s="1"/>
  <c r="AG888" i="2"/>
  <c r="H467" i="7"/>
  <c r="H466" i="7" s="1"/>
  <c r="H465" i="7" s="1"/>
  <c r="AG901" i="2"/>
  <c r="H480" i="7"/>
  <c r="I524" i="7"/>
  <c r="I523" i="7" s="1"/>
  <c r="I522" i="7" s="1"/>
  <c r="I521" i="7" s="1"/>
  <c r="I520" i="7" s="1"/>
  <c r="I519" i="7" s="1"/>
  <c r="H523" i="7"/>
  <c r="H522" i="7" s="1"/>
  <c r="H521" i="7" s="1"/>
  <c r="H520" i="7" s="1"/>
  <c r="AG955" i="2"/>
  <c r="H537" i="7"/>
  <c r="H536" i="7" s="1"/>
  <c r="H535" i="7" s="1"/>
  <c r="AG982" i="2"/>
  <c r="H632" i="7"/>
  <c r="H631" i="7" s="1"/>
  <c r="H630" i="7" s="1"/>
  <c r="AE636" i="2"/>
  <c r="AE475" i="2"/>
  <c r="AE474" i="2" s="1"/>
  <c r="AE473" i="2" s="1"/>
  <c r="AE472" i="2" s="1"/>
  <c r="AE970" i="2"/>
  <c r="AE969" i="2" s="1"/>
  <c r="AE968" i="2" s="1"/>
  <c r="AE967" i="2" s="1"/>
  <c r="AE966" i="2" s="1"/>
  <c r="AE965" i="2" s="1"/>
  <c r="AE964" i="2" s="1"/>
  <c r="AE963" i="2" s="1"/>
  <c r="AE197" i="2"/>
  <c r="AE163" i="2"/>
  <c r="AE162" i="2" s="1"/>
  <c r="AG164" i="2"/>
  <c r="AE284" i="2"/>
  <c r="AE283" i="2" s="1"/>
  <c r="AE282" i="2" s="1"/>
  <c r="AE281" i="2" s="1"/>
  <c r="AE111" i="2"/>
  <c r="AE880" i="2"/>
  <c r="AE954" i="2"/>
  <c r="AE953" i="2" s="1"/>
  <c r="AE33" i="2"/>
  <c r="AE32" i="2" s="1"/>
  <c r="AE216" i="2"/>
  <c r="AE215" i="2" s="1"/>
  <c r="AE214" i="2" s="1"/>
  <c r="AE213" i="2" s="1"/>
  <c r="AE225" i="2"/>
  <c r="AE421" i="2"/>
  <c r="AE597" i="2"/>
  <c r="AE688" i="2"/>
  <c r="AE687" i="2" s="1"/>
  <c r="AE900" i="2"/>
  <c r="AE899" i="2" s="1"/>
  <c r="AE898" i="2" s="1"/>
  <c r="AE927" i="2"/>
  <c r="AE926" i="2" s="1"/>
  <c r="AE925" i="2" s="1"/>
  <c r="AE924" i="2" s="1"/>
  <c r="AE923" i="2" s="1"/>
  <c r="AE935" i="2"/>
  <c r="AE934" i="2" s="1"/>
  <c r="AE933" i="2" s="1"/>
  <c r="AE932" i="2" s="1"/>
  <c r="AE931" i="2" s="1"/>
  <c r="AE949" i="2"/>
  <c r="AE948" i="2" s="1"/>
  <c r="AE566" i="2"/>
  <c r="AE609" i="2"/>
  <c r="AE676" i="2"/>
  <c r="AE675" i="2" s="1"/>
  <c r="AE674" i="2" s="1"/>
  <c r="AE673" i="2" s="1"/>
  <c r="AE672" i="2" s="1"/>
  <c r="AE671" i="2" s="1"/>
  <c r="AE981" i="2"/>
  <c r="AE980" i="2" s="1"/>
  <c r="AE990" i="2"/>
  <c r="AE989" i="2" s="1"/>
  <c r="AE1027" i="2"/>
  <c r="AE1026" i="2" s="1"/>
  <c r="AE90" i="2"/>
  <c r="AE89" i="2" s="1"/>
  <c r="AE51" i="2"/>
  <c r="AE50" i="2" s="1"/>
  <c r="AE49" i="2" s="1"/>
  <c r="AE48" i="2" s="1"/>
  <c r="AE47" i="2" s="1"/>
  <c r="AE81" i="2"/>
  <c r="AE80" i="2" s="1"/>
  <c r="AE79" i="2" s="1"/>
  <c r="AE78" i="2" s="1"/>
  <c r="AE77" i="2" s="1"/>
  <c r="AE76" i="2" s="1"/>
  <c r="AE152" i="2"/>
  <c r="AE151" i="2" s="1"/>
  <c r="AE150" i="2" s="1"/>
  <c r="AE149" i="2" s="1"/>
  <c r="AE143" i="2" s="1"/>
  <c r="AE357" i="2"/>
  <c r="AE356" i="2" s="1"/>
  <c r="AE355" i="2" s="1"/>
  <c r="AE370" i="2"/>
  <c r="AE387" i="2"/>
  <c r="AE412" i="2"/>
  <c r="AE411" i="2" s="1"/>
  <c r="AE548" i="2"/>
  <c r="AE547" i="2" s="1"/>
  <c r="AE546" i="2" s="1"/>
  <c r="AE545" i="2" s="1"/>
  <c r="AE544" i="2" s="1"/>
  <c r="AE543" i="2" s="1"/>
  <c r="AE542" i="2" s="1"/>
  <c r="AE595" i="2"/>
  <c r="AE669" i="2"/>
  <c r="AE668" i="2" s="1"/>
  <c r="AE667" i="2" s="1"/>
  <c r="AE876" i="2"/>
  <c r="AE875" i="2" s="1"/>
  <c r="AE978" i="2"/>
  <c r="AE977" i="2" s="1"/>
  <c r="AE993" i="2"/>
  <c r="AE992" i="2" s="1"/>
  <c r="AE110" i="2"/>
  <c r="AE327" i="2"/>
  <c r="AE381" i="2"/>
  <c r="AG381" i="2" s="1"/>
  <c r="AE497" i="2"/>
  <c r="AE494" i="2" s="1"/>
  <c r="AE493" i="2" s="1"/>
  <c r="AE492" i="2" s="1"/>
  <c r="AE491" i="2" s="1"/>
  <c r="AE490" i="2" s="1"/>
  <c r="AE530" i="2"/>
  <c r="AE537" i="2"/>
  <c r="AE536" i="2" s="1"/>
  <c r="AE634" i="2"/>
  <c r="AE769" i="2"/>
  <c r="AE768" i="2" s="1"/>
  <c r="AE767" i="2" s="1"/>
  <c r="AE766" i="2" s="1"/>
  <c r="AE765" i="2" s="1"/>
  <c r="AE764" i="2" s="1"/>
  <c r="AE129" i="2"/>
  <c r="AG130" i="2"/>
  <c r="AE279" i="2"/>
  <c r="AE278" i="2" s="1"/>
  <c r="AE277" i="2" s="1"/>
  <c r="AG280" i="2"/>
  <c r="AE433" i="2"/>
  <c r="AE432" i="2" s="1"/>
  <c r="AG434" i="2"/>
  <c r="AE462" i="2"/>
  <c r="AE461" i="2" s="1"/>
  <c r="AE457" i="2" s="1"/>
  <c r="AE456" i="2" s="1"/>
  <c r="AE455" i="2" s="1"/>
  <c r="AE454" i="2" s="1"/>
  <c r="AG463" i="2"/>
  <c r="AE520" i="2"/>
  <c r="AE519" i="2" s="1"/>
  <c r="AE516" i="2" s="1"/>
  <c r="AG521" i="2"/>
  <c r="AE104" i="2"/>
  <c r="AG105" i="2"/>
  <c r="AE160" i="2"/>
  <c r="AE159" i="2" s="1"/>
  <c r="AE223" i="2"/>
  <c r="AG224" i="2"/>
  <c r="AE437" i="2"/>
  <c r="AE436" i="2" s="1"/>
  <c r="AE435" i="2" s="1"/>
  <c r="AG438" i="2"/>
  <c r="AE508" i="2"/>
  <c r="AG509" i="2"/>
  <c r="AE560" i="2"/>
  <c r="AG561" i="2"/>
  <c r="AE828" i="2"/>
  <c r="AE827" i="2" s="1"/>
  <c r="AE826" i="2" s="1"/>
  <c r="AE825" i="2" s="1"/>
  <c r="AE824" i="2" s="1"/>
  <c r="AG829" i="2"/>
  <c r="AE890" i="2"/>
  <c r="AE889" i="2" s="1"/>
  <c r="AG891" i="2"/>
  <c r="AE987" i="2"/>
  <c r="AE986" i="2" s="1"/>
  <c r="AG988" i="2"/>
  <c r="AE24" i="2"/>
  <c r="AG25" i="2"/>
  <c r="AE45" i="2"/>
  <c r="AE44" i="2" s="1"/>
  <c r="AE43" i="2" s="1"/>
  <c r="AG46" i="2"/>
  <c r="AE67" i="2"/>
  <c r="AG68" i="2"/>
  <c r="AE106" i="2"/>
  <c r="AE120" i="2"/>
  <c r="AG121" i="2"/>
  <c r="AE127" i="2"/>
  <c r="AE181" i="2"/>
  <c r="AE180" i="2" s="1"/>
  <c r="AE179" i="2" s="1"/>
  <c r="AE178" i="2" s="1"/>
  <c r="AE177" i="2" s="1"/>
  <c r="AE176" i="2" s="1"/>
  <c r="AG182" i="2"/>
  <c r="AE209" i="2"/>
  <c r="AE231" i="2"/>
  <c r="AE230" i="2" s="1"/>
  <c r="AE229" i="2" s="1"/>
  <c r="AE228" i="2" s="1"/>
  <c r="AE227" i="2" s="1"/>
  <c r="AG232" i="2"/>
  <c r="AE247" i="2"/>
  <c r="AE246" i="2" s="1"/>
  <c r="AE245" i="2" s="1"/>
  <c r="AE244" i="2" s="1"/>
  <c r="AE243" i="2" s="1"/>
  <c r="AE242" i="2" s="1"/>
  <c r="AG248" i="2"/>
  <c r="AE275" i="2"/>
  <c r="AE274" i="2" s="1"/>
  <c r="AE273" i="2" s="1"/>
  <c r="AG276" i="2"/>
  <c r="AE322" i="2"/>
  <c r="AE321" i="2" s="1"/>
  <c r="AG323" i="2"/>
  <c r="AE389" i="2"/>
  <c r="AG390" i="2"/>
  <c r="AE443" i="2"/>
  <c r="AE527" i="2"/>
  <c r="AE526" i="2" s="1"/>
  <c r="AG528" i="2"/>
  <c r="AE582" i="2"/>
  <c r="AE581" i="2" s="1"/>
  <c r="AE580" i="2" s="1"/>
  <c r="AE579" i="2" s="1"/>
  <c r="AE578" i="2" s="1"/>
  <c r="AE577" i="2" s="1"/>
  <c r="AE576" i="2" s="1"/>
  <c r="AG583" i="2"/>
  <c r="AE715" i="2"/>
  <c r="AE714" i="2" s="1"/>
  <c r="AE713" i="2" s="1"/>
  <c r="AG716" i="2"/>
  <c r="AE730" i="2"/>
  <c r="AE729" i="2" s="1"/>
  <c r="AE728" i="2" s="1"/>
  <c r="AE727" i="2" s="1"/>
  <c r="AE726" i="2" s="1"/>
  <c r="AG731" i="2"/>
  <c r="AE836" i="2"/>
  <c r="AE835" i="2" s="1"/>
  <c r="AE834" i="2" s="1"/>
  <c r="AE833" i="2" s="1"/>
  <c r="AE832" i="2" s="1"/>
  <c r="AE831" i="2" s="1"/>
  <c r="AG837" i="2"/>
  <c r="AE848" i="2"/>
  <c r="AE847" i="2" s="1"/>
  <c r="AE843" i="2" s="1"/>
  <c r="AE842" i="2" s="1"/>
  <c r="AE841" i="2" s="1"/>
  <c r="AG849" i="2"/>
  <c r="AE861" i="2"/>
  <c r="AE860" i="2" s="1"/>
  <c r="AE859" i="2" s="1"/>
  <c r="AG862" i="2"/>
  <c r="AE893" i="2"/>
  <c r="AE892" i="2" s="1"/>
  <c r="AG894" i="2"/>
  <c r="AE915" i="2"/>
  <c r="AE914" i="2" s="1"/>
  <c r="AG916" i="2"/>
  <c r="AE211" i="2"/>
  <c r="AG212" i="2"/>
  <c r="AE297" i="2"/>
  <c r="AE296" i="2" s="1"/>
  <c r="AE295" i="2" s="1"/>
  <c r="AE294" i="2" s="1"/>
  <c r="AE293" i="2" s="1"/>
  <c r="AG298" i="2"/>
  <c r="AE335" i="2"/>
  <c r="AE334" i="2" s="1"/>
  <c r="AE333" i="2" s="1"/>
  <c r="AE332" i="2" s="1"/>
  <c r="AE331" i="2" s="1"/>
  <c r="AG336" i="2"/>
  <c r="AE401" i="2"/>
  <c r="AE400" i="2" s="1"/>
  <c r="AE396" i="2" s="1"/>
  <c r="AE395" i="2" s="1"/>
  <c r="AG402" i="2"/>
  <c r="AE695" i="2"/>
  <c r="AE694" i="2" s="1"/>
  <c r="AE690" i="2" s="1"/>
  <c r="AG696" i="2"/>
  <c r="AE724" i="2"/>
  <c r="AE723" i="2" s="1"/>
  <c r="AE722" i="2" s="1"/>
  <c r="AG725" i="2"/>
  <c r="AE751" i="2"/>
  <c r="AE941" i="2"/>
  <c r="AE940" i="2" s="1"/>
  <c r="AE939" i="2" s="1"/>
  <c r="AE938" i="2" s="1"/>
  <c r="AG942" i="2"/>
  <c r="AE984" i="2"/>
  <c r="AE983" i="2" s="1"/>
  <c r="AG985" i="2"/>
  <c r="AE116" i="2"/>
  <c r="AG117" i="2"/>
  <c r="AE189" i="2"/>
  <c r="AE188" i="2" s="1"/>
  <c r="AE187" i="2" s="1"/>
  <c r="AG190" i="2"/>
  <c r="AE257" i="2"/>
  <c r="AE256" i="2" s="1"/>
  <c r="AE252" i="2" s="1"/>
  <c r="AE251" i="2" s="1"/>
  <c r="AE250" i="2" s="1"/>
  <c r="AE249" i="2" s="1"/>
  <c r="AG258" i="2"/>
  <c r="AE303" i="2"/>
  <c r="AE302" i="2" s="1"/>
  <c r="AE301" i="2" s="1"/>
  <c r="AE300" i="2" s="1"/>
  <c r="AE299" i="2" s="1"/>
  <c r="AG304" i="2"/>
  <c r="AE602" i="2"/>
  <c r="AE601" i="2" s="1"/>
  <c r="AG603" i="2"/>
  <c r="AE26" i="2"/>
  <c r="AE38" i="2"/>
  <c r="AE37" i="2" s="1"/>
  <c r="AE61" i="2"/>
  <c r="AE60" i="2" s="1"/>
  <c r="AG62" i="2"/>
  <c r="AE69" i="2"/>
  <c r="AE87" i="2"/>
  <c r="AE86" i="2" s="1"/>
  <c r="AE85" i="2" s="1"/>
  <c r="AE84" i="2" s="1"/>
  <c r="AE83" i="2" s="1"/>
  <c r="AG88" i="2"/>
  <c r="AE102" i="2"/>
  <c r="AE114" i="2"/>
  <c r="AE122" i="2"/>
  <c r="AE141" i="2"/>
  <c r="AE140" i="2" s="1"/>
  <c r="AE139" i="2" s="1"/>
  <c r="AE138" i="2" s="1"/>
  <c r="AE137" i="2" s="1"/>
  <c r="AE156" i="2"/>
  <c r="AE155" i="2" s="1"/>
  <c r="AE172" i="2"/>
  <c r="AE171" i="2" s="1"/>
  <c r="AE170" i="2" s="1"/>
  <c r="AE169" i="2" s="1"/>
  <c r="AE193" i="2"/>
  <c r="AE192" i="2" s="1"/>
  <c r="AE191" i="2" s="1"/>
  <c r="AG194" i="2"/>
  <c r="AE218" i="2"/>
  <c r="AG219" i="2"/>
  <c r="AE238" i="2"/>
  <c r="AE237" i="2" s="1"/>
  <c r="AE236" i="2" s="1"/>
  <c r="AE235" i="2" s="1"/>
  <c r="AG239" i="2"/>
  <c r="AE271" i="2"/>
  <c r="AE270" i="2" s="1"/>
  <c r="AE269" i="2" s="1"/>
  <c r="AG272" i="2"/>
  <c r="AE306" i="2"/>
  <c r="AE305" i="2" s="1"/>
  <c r="AE325" i="2"/>
  <c r="AG326" i="2"/>
  <c r="AE364" i="2"/>
  <c r="AE363" i="2" s="1"/>
  <c r="AE362" i="2" s="1"/>
  <c r="AE361" i="2" s="1"/>
  <c r="AE360" i="2" s="1"/>
  <c r="AG365" i="2"/>
  <c r="AE372" i="2"/>
  <c r="AG373" i="2"/>
  <c r="AE379" i="2"/>
  <c r="AE409" i="2"/>
  <c r="AE408" i="2" s="1"/>
  <c r="AE423" i="2"/>
  <c r="AG424" i="2"/>
  <c r="AE441" i="2"/>
  <c r="AE440" i="2" s="1"/>
  <c r="AE439" i="2" s="1"/>
  <c r="AE505" i="2"/>
  <c r="AE504" i="2" s="1"/>
  <c r="AE503" i="2" s="1"/>
  <c r="AE512" i="2"/>
  <c r="AE511" i="2" s="1"/>
  <c r="AG513" i="2"/>
  <c r="AE534" i="2"/>
  <c r="AE533" i="2" s="1"/>
  <c r="AE558" i="2"/>
  <c r="AE563" i="2"/>
  <c r="AG564" i="2"/>
  <c r="AE570" i="2"/>
  <c r="AE569" i="2" s="1"/>
  <c r="AE568" i="2" s="1"/>
  <c r="AE657" i="2"/>
  <c r="AE656" i="2" s="1"/>
  <c r="AE652" i="2" s="1"/>
  <c r="AE651" i="2" s="1"/>
  <c r="AE665" i="2"/>
  <c r="AE664" i="2" s="1"/>
  <c r="AE663" i="2" s="1"/>
  <c r="AE662" i="2" s="1"/>
  <c r="AE720" i="2"/>
  <c r="AE719" i="2" s="1"/>
  <c r="AE718" i="2" s="1"/>
  <c r="AE717" i="2" s="1"/>
  <c r="AG721" i="2"/>
  <c r="AE776" i="2"/>
  <c r="AE775" i="2" s="1"/>
  <c r="AE774" i="2" s="1"/>
  <c r="AE785" i="2"/>
  <c r="AE784" i="2" s="1"/>
  <c r="AE780" i="2" s="1"/>
  <c r="AE779" i="2" s="1"/>
  <c r="AG786" i="2"/>
  <c r="AE887" i="2"/>
  <c r="AE886" i="2" s="1"/>
  <c r="AE896" i="2"/>
  <c r="AE895" i="2" s="1"/>
  <c r="AE1022" i="2"/>
  <c r="AE1021" i="2" s="1"/>
  <c r="AG1023" i="2"/>
  <c r="AE466" i="2"/>
  <c r="AE465" i="2" s="1"/>
  <c r="AE467" i="2"/>
  <c r="AE607" i="2"/>
  <c r="AE606" i="2"/>
  <c r="AE703" i="2"/>
  <c r="AE758" i="2"/>
  <c r="AE757" i="2" s="1"/>
  <c r="AE756" i="2" s="1"/>
  <c r="AE816" i="2"/>
  <c r="AE815" i="2" s="1"/>
  <c r="AE814" i="2" s="1"/>
  <c r="AE813" i="2" s="1"/>
  <c r="AE812" i="2" s="1"/>
  <c r="AE804" i="2" s="1"/>
  <c r="AE793" i="2" l="1"/>
  <c r="AE792" i="2" s="1"/>
  <c r="AE791" i="2" s="1"/>
  <c r="AE790" i="2" s="1"/>
  <c r="H424" i="7"/>
  <c r="H423" i="7" s="1"/>
  <c r="H422" i="7" s="1"/>
  <c r="H421" i="7" s="1"/>
  <c r="H464" i="7"/>
  <c r="E106" i="9"/>
  <c r="K579" i="7"/>
  <c r="I579" i="7"/>
  <c r="H578" i="7"/>
  <c r="H577" i="7" s="1"/>
  <c r="H576" i="7" s="1"/>
  <c r="E181" i="9"/>
  <c r="K737" i="7"/>
  <c r="H736" i="7"/>
  <c r="K736" i="7" s="1"/>
  <c r="I224" i="7"/>
  <c r="I223" i="7" s="1"/>
  <c r="I222" i="7" s="1"/>
  <c r="I221" i="7" s="1"/>
  <c r="I220" i="7" s="1"/>
  <c r="I219" i="7" s="1"/>
  <c r="H223" i="7"/>
  <c r="H222" i="7" s="1"/>
  <c r="H221" i="7" s="1"/>
  <c r="H220" i="7" s="1"/>
  <c r="H219" i="7" s="1"/>
  <c r="H141" i="7"/>
  <c r="H140" i="7" s="1"/>
  <c r="H139" i="7" s="1"/>
  <c r="H138" i="7" s="1"/>
  <c r="H137" i="7" s="1"/>
  <c r="H136" i="7" s="1"/>
  <c r="H135" i="7"/>
  <c r="E120" i="9"/>
  <c r="H628" i="7"/>
  <c r="H627" i="7" s="1"/>
  <c r="H105" i="7"/>
  <c r="H106" i="7"/>
  <c r="K239" i="7"/>
  <c r="H238" i="7"/>
  <c r="H237" i="7" s="1"/>
  <c r="I90" i="7"/>
  <c r="I89" i="7" s="1"/>
  <c r="H89" i="7"/>
  <c r="H86" i="7" s="1"/>
  <c r="H85" i="7" s="1"/>
  <c r="H84" i="7" s="1"/>
  <c r="H83" i="7" s="1"/>
  <c r="H900" i="7"/>
  <c r="H901" i="7"/>
  <c r="AE554" i="2"/>
  <c r="AE553" i="2" s="1"/>
  <c r="AE552" i="2" s="1"/>
  <c r="AE428" i="2"/>
  <c r="E585" i="9"/>
  <c r="G585" i="9" s="1"/>
  <c r="K480" i="7"/>
  <c r="H479" i="7"/>
  <c r="H478" i="7" s="1"/>
  <c r="H477" i="7" s="1"/>
  <c r="H463" i="7" s="1"/>
  <c r="I327" i="7"/>
  <c r="I326" i="7" s="1"/>
  <c r="I325" i="7" s="1"/>
  <c r="I324" i="7" s="1"/>
  <c r="I323" i="7" s="1"/>
  <c r="I322" i="7" s="1"/>
  <c r="I171" i="7"/>
  <c r="I170" i="7" s="1"/>
  <c r="H170" i="7"/>
  <c r="H830" i="7"/>
  <c r="H832" i="7"/>
  <c r="H831" i="7" s="1"/>
  <c r="I804" i="7"/>
  <c r="I803" i="7" s="1"/>
  <c r="I802" i="7" s="1"/>
  <c r="I801" i="7" s="1"/>
  <c r="I779" i="7" s="1"/>
  <c r="H803" i="7"/>
  <c r="H802" i="7" s="1"/>
  <c r="H801" i="7" s="1"/>
  <c r="H161" i="7"/>
  <c r="H160" i="7" s="1"/>
  <c r="M88" i="7"/>
  <c r="I87" i="7"/>
  <c r="M648" i="7"/>
  <c r="I647" i="7"/>
  <c r="H701" i="7"/>
  <c r="H700" i="7" s="1"/>
  <c r="H693" i="7" s="1"/>
  <c r="K644" i="7"/>
  <c r="H643" i="7"/>
  <c r="H642" i="7" s="1"/>
  <c r="E132" i="9"/>
  <c r="G132" i="9" s="1"/>
  <c r="K641" i="7"/>
  <c r="H640" i="7"/>
  <c r="H639" i="7" s="1"/>
  <c r="H200" i="7"/>
  <c r="H188" i="7" s="1"/>
  <c r="H187" i="7" s="1"/>
  <c r="I775" i="7"/>
  <c r="I774" i="7" s="1"/>
  <c r="I773" i="7" s="1"/>
  <c r="I766" i="7" s="1"/>
  <c r="I765" i="7" s="1"/>
  <c r="H774" i="7"/>
  <c r="H773" i="7" s="1"/>
  <c r="M764" i="7"/>
  <c r="I763" i="7"/>
  <c r="I173" i="7"/>
  <c r="I172" i="7" s="1"/>
  <c r="H172" i="7"/>
  <c r="K114" i="7"/>
  <c r="H113" i="7"/>
  <c r="H112" i="7" s="1"/>
  <c r="H111" i="7" s="1"/>
  <c r="E305" i="9"/>
  <c r="H291" i="7"/>
  <c r="H290" i="7" s="1"/>
  <c r="H289" i="7" s="1"/>
  <c r="H288" i="7" s="1"/>
  <c r="AE903" i="2"/>
  <c r="AE902" i="2" s="1"/>
  <c r="I510" i="7"/>
  <c r="I509" i="7" s="1"/>
  <c r="I508" i="7" s="1"/>
  <c r="I507" i="7" s="1"/>
  <c r="I506" i="7" s="1"/>
  <c r="I505" i="7" s="1"/>
  <c r="I504" i="7" s="1"/>
  <c r="I403" i="7" s="1"/>
  <c r="H509" i="7"/>
  <c r="H508" i="7" s="1"/>
  <c r="H507" i="7" s="1"/>
  <c r="H506" i="7" s="1"/>
  <c r="H505" i="7" s="1"/>
  <c r="E463" i="9"/>
  <c r="AE879" i="2"/>
  <c r="AE878" i="2" s="1"/>
  <c r="AE874" i="2"/>
  <c r="AE873" i="2" s="1"/>
  <c r="AE872" i="2" s="1"/>
  <c r="AE871" i="2" s="1"/>
  <c r="AE633" i="2"/>
  <c r="AE632" i="2" s="1"/>
  <c r="AE773" i="2"/>
  <c r="AE354" i="2"/>
  <c r="AE353" i="2" s="1"/>
  <c r="AE352" i="2" s="1"/>
  <c r="AE464" i="2"/>
  <c r="AE518" i="2"/>
  <c r="AE517" i="2" s="1"/>
  <c r="AE119" i="2"/>
  <c r="AE158" i="2"/>
  <c r="AE154" i="2" s="1"/>
  <c r="AE1020" i="2"/>
  <c r="AE1019" i="2" s="1"/>
  <c r="AE1012" i="2" s="1"/>
  <c r="AE1011" i="2" s="1"/>
  <c r="AE1010" i="2" s="1"/>
  <c r="AE532" i="2"/>
  <c r="AE525" i="2" s="1"/>
  <c r="AE378" i="2"/>
  <c r="AE31" i="2"/>
  <c r="AE30" i="2" s="1"/>
  <c r="AE29" i="2" s="1"/>
  <c r="AE28" i="2" s="1"/>
  <c r="AE594" i="2"/>
  <c r="AE593" i="2" s="1"/>
  <c r="AE947" i="2"/>
  <c r="AE946" i="2" s="1"/>
  <c r="AE945" i="2" s="1"/>
  <c r="AE937" i="2" s="1"/>
  <c r="AE922" i="2" s="1"/>
  <c r="AE686" i="2"/>
  <c r="AE685" i="2" s="1"/>
  <c r="AE404" i="2"/>
  <c r="AE403" i="2" s="1"/>
  <c r="AE234" i="2"/>
  <c r="AE233" i="2" s="1"/>
  <c r="AE75" i="2"/>
  <c r="AE515" i="2"/>
  <c r="AE514" i="2" s="1"/>
  <c r="AE507" i="2"/>
  <c r="AE502" i="2" s="1"/>
  <c r="AE501" i="2" s="1"/>
  <c r="AE500" i="2" s="1"/>
  <c r="AE482" i="2" s="1"/>
  <c r="AE420" i="2"/>
  <c r="AE419" i="2" s="1"/>
  <c r="AE418" i="2" s="1"/>
  <c r="AE417" i="2" s="1"/>
  <c r="AE324" i="2"/>
  <c r="AE320" i="2" s="1"/>
  <c r="AE319" i="2" s="1"/>
  <c r="AE318" i="2" s="1"/>
  <c r="AE317" i="2" s="1"/>
  <c r="AG990" i="2"/>
  <c r="AE885" i="2"/>
  <c r="AE884" i="2" s="1"/>
  <c r="AE222" i="2"/>
  <c r="AE221" i="2" s="1"/>
  <c r="AE220" i="2" s="1"/>
  <c r="AE126" i="2"/>
  <c r="AE650" i="2"/>
  <c r="AE649" i="2" s="1"/>
  <c r="AE648" i="2" s="1"/>
  <c r="AE600" i="2"/>
  <c r="AE599" i="2" s="1"/>
  <c r="AE113" i="2"/>
  <c r="AE369" i="2"/>
  <c r="AE368" i="2" s="1"/>
  <c r="AE854" i="2"/>
  <c r="AE853" i="2" s="1"/>
  <c r="AE840" i="2" s="1"/>
  <c r="AE830" i="2" s="1"/>
  <c r="AE186" i="2"/>
  <c r="AE185" i="2" s="1"/>
  <c r="AE184" i="2" s="1"/>
  <c r="AE976" i="2"/>
  <c r="AE975" i="2" s="1"/>
  <c r="AE974" i="2" s="1"/>
  <c r="AE973" i="2" s="1"/>
  <c r="AE972" i="2" s="1"/>
  <c r="AE384" i="2"/>
  <c r="AE383" i="2" s="1"/>
  <c r="AE557" i="2"/>
  <c r="AE556" i="2" s="1"/>
  <c r="AE555" i="2" s="1"/>
  <c r="AE101" i="2"/>
  <c r="AE100" i="2" s="1"/>
  <c r="AE99" i="2" s="1"/>
  <c r="AE750" i="2"/>
  <c r="AE744" i="2" s="1"/>
  <c r="AE743" i="2" s="1"/>
  <c r="AE241" i="2"/>
  <c r="AE778" i="2"/>
  <c r="AE268" i="2"/>
  <c r="AE267" i="2" s="1"/>
  <c r="AE266" i="2" s="1"/>
  <c r="AE168" i="2"/>
  <c r="AE292" i="2"/>
  <c r="AE208" i="2"/>
  <c r="AE207" i="2" s="1"/>
  <c r="AE206" i="2" s="1"/>
  <c r="AE66" i="2"/>
  <c r="AE65" i="2" s="1"/>
  <c r="AE64" i="2" s="1"/>
  <c r="AE63" i="2" s="1"/>
  <c r="AE23" i="2"/>
  <c r="AE22" i="2" s="1"/>
  <c r="AE21" i="2" s="1"/>
  <c r="AE20" i="2" s="1"/>
  <c r="H733" i="7" l="1"/>
  <c r="I646" i="7"/>
  <c r="M647" i="7"/>
  <c r="H828" i="7"/>
  <c r="H827" i="7" s="1"/>
  <c r="H829" i="7"/>
  <c r="I578" i="7"/>
  <c r="M579" i="7"/>
  <c r="H169" i="7"/>
  <c r="H168" i="7" s="1"/>
  <c r="AE883" i="2"/>
  <c r="AE882" i="2" s="1"/>
  <c r="AE863" i="2" s="1"/>
  <c r="AE823" i="2" s="1"/>
  <c r="M87" i="7"/>
  <c r="I86" i="7"/>
  <c r="I85" i="7" s="1"/>
  <c r="I84" i="7" s="1"/>
  <c r="I83" i="7" s="1"/>
  <c r="I39" i="7" s="1"/>
  <c r="I169" i="7"/>
  <c r="I168" i="7" s="1"/>
  <c r="I159" i="7" s="1"/>
  <c r="I158" i="7" s="1"/>
  <c r="I157" i="7" s="1"/>
  <c r="H626" i="7"/>
  <c r="E180" i="9"/>
  <c r="G180" i="9" s="1"/>
  <c r="G181" i="9"/>
  <c r="I762" i="7"/>
  <c r="M763" i="7"/>
  <c r="AE631" i="2"/>
  <c r="AE630" i="2" s="1"/>
  <c r="AE629" i="2" s="1"/>
  <c r="AE621" i="2" s="1"/>
  <c r="AE772" i="2"/>
  <c r="AE771" i="2" s="1"/>
  <c r="AE684" i="2"/>
  <c r="AE683" i="2" s="1"/>
  <c r="AE551" i="2"/>
  <c r="AE550" i="2" s="1"/>
  <c r="AE524" i="2"/>
  <c r="AE523" i="2" s="1"/>
  <c r="AE522" i="2" s="1"/>
  <c r="AE394" i="2"/>
  <c r="AE393" i="2" s="1"/>
  <c r="AE392" i="2" s="1"/>
  <c r="AE367" i="2"/>
  <c r="AE366" i="2" s="1"/>
  <c r="AE359" i="2" s="1"/>
  <c r="AE118" i="2"/>
  <c r="AE109" i="2" s="1"/>
  <c r="AE108" i="2" s="1"/>
  <c r="AE98" i="2" s="1"/>
  <c r="AE97" i="2" s="1"/>
  <c r="AE377" i="2"/>
  <c r="AE376" i="2" s="1"/>
  <c r="AE375" i="2" s="1"/>
  <c r="AE196" i="2"/>
  <c r="AE195" i="2" s="1"/>
  <c r="AE183" i="2" s="1"/>
  <c r="AE588" i="2"/>
  <c r="AE587" i="2" s="1"/>
  <c r="AE291" i="2"/>
  <c r="AE54" i="2"/>
  <c r="AE53" i="2" s="1"/>
  <c r="AE19" i="2" s="1"/>
  <c r="AE59" i="2"/>
  <c r="AE240" i="2"/>
  <c r="AE647" i="2" l="1"/>
  <c r="AE638" i="2" s="1"/>
  <c r="I13" i="7"/>
  <c r="I758" i="7"/>
  <c r="M762" i="7"/>
  <c r="I577" i="7"/>
  <c r="M578" i="7"/>
  <c r="M646" i="7"/>
  <c r="I645" i="7"/>
  <c r="AE586" i="2"/>
  <c r="AE585" i="2" s="1"/>
  <c r="AE584" i="2" s="1"/>
  <c r="AE374" i="2"/>
  <c r="AE351" i="2" s="1"/>
  <c r="AE11" i="2"/>
  <c r="AF93" i="2"/>
  <c r="AD93" i="2"/>
  <c r="F153" i="7" s="1"/>
  <c r="F152" i="7" s="1"/>
  <c r="F151" i="7" s="1"/>
  <c r="I576" i="7" l="1"/>
  <c r="M577" i="7"/>
  <c r="M645" i="7"/>
  <c r="I594" i="7"/>
  <c r="I593" i="7" s="1"/>
  <c r="I592" i="7" s="1"/>
  <c r="I757" i="7"/>
  <c r="M758" i="7"/>
  <c r="AD92" i="2"/>
  <c r="AD91" i="2" s="1"/>
  <c r="AE10" i="2"/>
  <c r="AE1043" i="2" s="1"/>
  <c r="AF92" i="2"/>
  <c r="AG93" i="2"/>
  <c r="J153" i="7"/>
  <c r="D680" i="9"/>
  <c r="D679" i="9" s="1"/>
  <c r="D678" i="9" s="1"/>
  <c r="AD68" i="2"/>
  <c r="AD70" i="2"/>
  <c r="J120" i="7"/>
  <c r="K120" i="7" s="1"/>
  <c r="F120" i="7"/>
  <c r="AD1023" i="2"/>
  <c r="AF1024" i="2"/>
  <c r="AG1024" i="2" s="1"/>
  <c r="AD1024" i="2"/>
  <c r="I756" i="7" l="1"/>
  <c r="I755" i="7" s="1"/>
  <c r="I754" i="7" s="1"/>
  <c r="M757" i="7"/>
  <c r="I564" i="7"/>
  <c r="I563" i="7" s="1"/>
  <c r="I562" i="7" s="1"/>
  <c r="I561" i="7" s="1"/>
  <c r="M576" i="7"/>
  <c r="F680" i="9"/>
  <c r="K153" i="7"/>
  <c r="H152" i="7"/>
  <c r="H151" i="7" s="1"/>
  <c r="E680" i="9"/>
  <c r="E679" i="9" s="1"/>
  <c r="E678" i="9" s="1"/>
  <c r="J152" i="7"/>
  <c r="AF91" i="2"/>
  <c r="AG91" i="2" s="1"/>
  <c r="AG92" i="2"/>
  <c r="F667" i="9"/>
  <c r="E667" i="9"/>
  <c r="E666" i="9" s="1"/>
  <c r="AD25" i="2"/>
  <c r="AD27" i="2"/>
  <c r="AD326" i="2"/>
  <c r="AD323" i="2"/>
  <c r="AD328" i="2"/>
  <c r="I908" i="7" l="1"/>
  <c r="F679" i="9"/>
  <c r="G680" i="9"/>
  <c r="F666" i="9"/>
  <c r="G666" i="9" s="1"/>
  <c r="G667" i="9"/>
  <c r="J151" i="7"/>
  <c r="K151" i="7" s="1"/>
  <c r="K152" i="7"/>
  <c r="AD955" i="2"/>
  <c r="AD128" i="2"/>
  <c r="AD39" i="2"/>
  <c r="F678" i="9" l="1"/>
  <c r="G678" i="9" s="1"/>
  <c r="G679" i="9"/>
  <c r="AD731" i="2"/>
  <c r="AD34" i="2" l="1"/>
  <c r="AD121" i="2"/>
  <c r="AD342" i="2"/>
  <c r="AD265" i="2"/>
  <c r="AD538" i="2"/>
  <c r="AD219" i="2"/>
  <c r="AD248" i="2"/>
  <c r="AD499" i="2"/>
  <c r="G654" i="7" l="1"/>
  <c r="AD304" i="2" l="1"/>
  <c r="F420" i="7" s="1"/>
  <c r="AD42" i="2" l="1"/>
  <c r="AD655" i="2" l="1"/>
  <c r="AD358" i="2" l="1"/>
  <c r="AD849" i="2" l="1"/>
  <c r="AD463" i="2"/>
  <c r="AD958" i="2" l="1"/>
  <c r="AD422" i="2" l="1"/>
  <c r="AD424" i="2"/>
  <c r="AD1034" i="2"/>
  <c r="AD1031" i="2"/>
  <c r="AD1028" i="2" l="1"/>
  <c r="AD852" i="2"/>
  <c r="AD696" i="2"/>
  <c r="AD693" i="2"/>
  <c r="AD541" i="2"/>
  <c r="AD535" i="2"/>
  <c r="AD531" i="2"/>
  <c r="AD528" i="2"/>
  <c r="AD298" i="2" l="1"/>
  <c r="AD506" i="2" l="1"/>
  <c r="G373" i="7"/>
  <c r="AD608" i="2" l="1"/>
  <c r="AD603" i="2"/>
  <c r="AD611" i="2"/>
  <c r="AD770" i="2"/>
  <c r="AD564" i="2"/>
  <c r="AD583" i="2"/>
  <c r="AD382" i="2"/>
  <c r="F737" i="7" s="1"/>
  <c r="AD380" i="2"/>
  <c r="AD388" i="2"/>
  <c r="AD390" i="2"/>
  <c r="AD381" i="2" l="1"/>
  <c r="F736" i="7"/>
  <c r="D181" i="9"/>
  <c r="D180" i="9" s="1"/>
  <c r="AD423" i="2"/>
  <c r="AD759" i="2"/>
  <c r="AD907" i="2"/>
  <c r="AD901" i="2" l="1"/>
  <c r="G480" i="7"/>
  <c r="G362" i="7"/>
  <c r="AD712" i="2"/>
  <c r="AD164" i="2"/>
  <c r="AD117" i="2"/>
  <c r="AD115" i="2"/>
  <c r="J896" i="7"/>
  <c r="F896" i="7"/>
  <c r="G896" i="7" s="1"/>
  <c r="G895" i="7" s="1"/>
  <c r="G894" i="7" s="1"/>
  <c r="AD509" i="2"/>
  <c r="AD508" i="2" s="1"/>
  <c r="AD513" i="2"/>
  <c r="F234" i="9" l="1"/>
  <c r="K896" i="7"/>
  <c r="L896" i="7"/>
  <c r="J895" i="7"/>
  <c r="D234" i="9"/>
  <c r="D233" i="9" s="1"/>
  <c r="D232" i="9" s="1"/>
  <c r="D231" i="9" s="1"/>
  <c r="F895" i="7"/>
  <c r="F894" i="7" s="1"/>
  <c r="E234" i="9"/>
  <c r="E233" i="9" s="1"/>
  <c r="E232" i="9" s="1"/>
  <c r="E231" i="9" s="1"/>
  <c r="F233" i="9" l="1"/>
  <c r="G234" i="9"/>
  <c r="J894" i="7"/>
  <c r="K894" i="7" s="1"/>
  <c r="K895" i="7"/>
  <c r="L895" i="7"/>
  <c r="M896" i="7"/>
  <c r="AD280" i="2"/>
  <c r="AD52" i="2"/>
  <c r="AD670" i="2"/>
  <c r="G621" i="7"/>
  <c r="AD123" i="2"/>
  <c r="AD212" i="2"/>
  <c r="AD559" i="2"/>
  <c r="AD442" i="2"/>
  <c r="AD413" i="2"/>
  <c r="AD402" i="2"/>
  <c r="J180" i="7"/>
  <c r="F180" i="7"/>
  <c r="D387" i="9" s="1"/>
  <c r="D386" i="9" s="1"/>
  <c r="AF604" i="2"/>
  <c r="AG604" i="2" s="1"/>
  <c r="AD604" i="2"/>
  <c r="AD799" i="2"/>
  <c r="AD596" i="2"/>
  <c r="AD598" i="2"/>
  <c r="F232" i="9" l="1"/>
  <c r="G233" i="9"/>
  <c r="F387" i="9"/>
  <c r="K180" i="7"/>
  <c r="L894" i="7"/>
  <c r="M894" i="7" s="1"/>
  <c r="M895" i="7"/>
  <c r="E387" i="9"/>
  <c r="E386" i="9" s="1"/>
  <c r="J179" i="7"/>
  <c r="K179" i="7" s="1"/>
  <c r="F179" i="7"/>
  <c r="J710" i="7"/>
  <c r="K710" i="7" s="1"/>
  <c r="F231" i="9" l="1"/>
  <c r="G231" i="9" s="1"/>
  <c r="G232" i="9"/>
  <c r="F386" i="9"/>
  <c r="G386" i="9" s="1"/>
  <c r="G387" i="9"/>
  <c r="G635" i="7"/>
  <c r="G638" i="7"/>
  <c r="G641" i="7"/>
  <c r="G644" i="7"/>
  <c r="J441" i="7" l="1"/>
  <c r="F441" i="7"/>
  <c r="F440" i="7" s="1"/>
  <c r="F439" i="7" s="1"/>
  <c r="F438" i="7" s="1"/>
  <c r="F437" i="7" s="1"/>
  <c r="AF315" i="2"/>
  <c r="AD315" i="2"/>
  <c r="AD314" i="2" s="1"/>
  <c r="AD313" i="2" s="1"/>
  <c r="AD312" i="2" s="1"/>
  <c r="F699" i="9" l="1"/>
  <c r="K441" i="7"/>
  <c r="AF314" i="2"/>
  <c r="AG315" i="2"/>
  <c r="D699" i="9"/>
  <c r="D698" i="9" s="1"/>
  <c r="D697" i="9" s="1"/>
  <c r="J440" i="7"/>
  <c r="E699" i="9"/>
  <c r="E698" i="9" s="1"/>
  <c r="E697" i="9" s="1"/>
  <c r="F698" i="9" l="1"/>
  <c r="G699" i="9"/>
  <c r="J439" i="7"/>
  <c r="K440" i="7"/>
  <c r="AF313" i="2"/>
  <c r="AG314" i="2"/>
  <c r="AD148" i="2"/>
  <c r="AD272" i="2"/>
  <c r="F697" i="9" l="1"/>
  <c r="G697" i="9" s="1"/>
  <c r="G698" i="9"/>
  <c r="J438" i="7"/>
  <c r="K439" i="7"/>
  <c r="AD147" i="2"/>
  <c r="AD146" i="2" s="1"/>
  <c r="AD145" i="2" s="1"/>
  <c r="AD144" i="2" s="1"/>
  <c r="F230" i="7"/>
  <c r="F229" i="7" s="1"/>
  <c r="F228" i="7" s="1"/>
  <c r="F227" i="7" s="1"/>
  <c r="J230" i="7"/>
  <c r="H229" i="7"/>
  <c r="H228" i="7" s="1"/>
  <c r="H227" i="7" s="1"/>
  <c r="H226" i="7" s="1"/>
  <c r="H225" i="7" s="1"/>
  <c r="AG148" i="2"/>
  <c r="AF312" i="2"/>
  <c r="AG312" i="2" s="1"/>
  <c r="AG313" i="2"/>
  <c r="AF147" i="2"/>
  <c r="J229" i="7" l="1"/>
  <c r="K230" i="7"/>
  <c r="J437" i="7"/>
  <c r="K437" i="7" s="1"/>
  <c r="K438" i="7"/>
  <c r="F530" i="9"/>
  <c r="AF146" i="2"/>
  <c r="AG147" i="2"/>
  <c r="E530" i="9"/>
  <c r="E529" i="9" s="1"/>
  <c r="E528" i="9" s="1"/>
  <c r="E527" i="9" s="1"/>
  <c r="D531" i="9"/>
  <c r="D530" i="9" s="1"/>
  <c r="D529" i="9" s="1"/>
  <c r="D528" i="9" s="1"/>
  <c r="D527" i="9" s="1"/>
  <c r="F226" i="7"/>
  <c r="F529" i="9" l="1"/>
  <c r="G530" i="9"/>
  <c r="J228" i="7"/>
  <c r="K229" i="7"/>
  <c r="AF145" i="2"/>
  <c r="AG146" i="2"/>
  <c r="AD217" i="2"/>
  <c r="AD210" i="2"/>
  <c r="AD201" i="2"/>
  <c r="AD88" i="2"/>
  <c r="AD82" i="2"/>
  <c r="F528" i="9" l="1"/>
  <c r="G529" i="9"/>
  <c r="J227" i="7"/>
  <c r="K228" i="7"/>
  <c r="AF144" i="2"/>
  <c r="AG144" i="2" s="1"/>
  <c r="AG145" i="2"/>
  <c r="AD796" i="2"/>
  <c r="J746" i="7"/>
  <c r="K746" i="7" s="1"/>
  <c r="E190" i="9"/>
  <c r="F746" i="7"/>
  <c r="F527" i="9" l="1"/>
  <c r="G527" i="9" s="1"/>
  <c r="G528" i="9"/>
  <c r="J226" i="7"/>
  <c r="K226" i="7" s="1"/>
  <c r="K227" i="7"/>
  <c r="F190" i="9"/>
  <c r="G190" i="9" s="1"/>
  <c r="J744" i="7"/>
  <c r="D190" i="9"/>
  <c r="AD389" i="2"/>
  <c r="F745" i="7" l="1"/>
  <c r="F744" i="7" s="1"/>
  <c r="AD107" i="2" l="1"/>
  <c r="AD153" i="2"/>
  <c r="AD521" i="2"/>
  <c r="AD877" i="2"/>
  <c r="AD258" i="2"/>
  <c r="AD549" i="2"/>
  <c r="J735" i="7"/>
  <c r="F735" i="7"/>
  <c r="F734" i="7" s="1"/>
  <c r="F733" i="7" s="1"/>
  <c r="AF379" i="2"/>
  <c r="AF378" i="2" s="1"/>
  <c r="AD379" i="2"/>
  <c r="AD378" i="2" s="1"/>
  <c r="AD190" i="2"/>
  <c r="AD224" i="2"/>
  <c r="AD239" i="2"/>
  <c r="AD46" i="2"/>
  <c r="AD365" i="2"/>
  <c r="AD182" i="2"/>
  <c r="J815" i="7"/>
  <c r="F815" i="7"/>
  <c r="F814" i="7" s="1"/>
  <c r="F813" i="7" s="1"/>
  <c r="F812" i="7" s="1"/>
  <c r="F811" i="7" s="1"/>
  <c r="AF452" i="2"/>
  <c r="AD452" i="2"/>
  <c r="AD451" i="2" s="1"/>
  <c r="AD450" i="2" s="1"/>
  <c r="AD449" i="2" s="1"/>
  <c r="J810" i="7"/>
  <c r="E257" i="9"/>
  <c r="E256" i="9" s="1"/>
  <c r="E255" i="9" s="1"/>
  <c r="E254" i="9" s="1"/>
  <c r="F810" i="7"/>
  <c r="D257" i="9" s="1"/>
  <c r="D256" i="9" s="1"/>
  <c r="D255" i="9" s="1"/>
  <c r="D254" i="9" s="1"/>
  <c r="AF447" i="2"/>
  <c r="AD447" i="2"/>
  <c r="AD446" i="2" s="1"/>
  <c r="AD445" i="2" s="1"/>
  <c r="AD444" i="2" s="1"/>
  <c r="J809" i="7" l="1"/>
  <c r="K810" i="7"/>
  <c r="J814" i="7"/>
  <c r="K815" i="7"/>
  <c r="F179" i="9"/>
  <c r="K735" i="7"/>
  <c r="AF446" i="2"/>
  <c r="AG447" i="2"/>
  <c r="AG378" i="2"/>
  <c r="AG379" i="2"/>
  <c r="AF451" i="2"/>
  <c r="AG452" i="2"/>
  <c r="D179" i="9"/>
  <c r="D178" i="9" s="1"/>
  <c r="D177" i="9" s="1"/>
  <c r="E179" i="9"/>
  <c r="E178" i="9" s="1"/>
  <c r="E177" i="9" s="1"/>
  <c r="J734" i="7"/>
  <c r="AD443" i="2"/>
  <c r="F257" i="9"/>
  <c r="F809" i="7"/>
  <c r="F808" i="7" s="1"/>
  <c r="F807" i="7" s="1"/>
  <c r="F806" i="7" s="1"/>
  <c r="F805" i="7" s="1"/>
  <c r="F256" i="9" l="1"/>
  <c r="G257" i="9"/>
  <c r="F178" i="9"/>
  <c r="G179" i="9"/>
  <c r="J808" i="7"/>
  <c r="K809" i="7"/>
  <c r="J733" i="7"/>
  <c r="K733" i="7" s="1"/>
  <c r="K734" i="7"/>
  <c r="J813" i="7"/>
  <c r="K814" i="7"/>
  <c r="AF450" i="2"/>
  <c r="AG451" i="2"/>
  <c r="AF445" i="2"/>
  <c r="AG446" i="2"/>
  <c r="AD950" i="2"/>
  <c r="AD936" i="2"/>
  <c r="AD935" i="2" s="1"/>
  <c r="AD934" i="2" s="1"/>
  <c r="AD933" i="2" s="1"/>
  <c r="AD932" i="2" s="1"/>
  <c r="AD931" i="2" s="1"/>
  <c r="J518" i="7"/>
  <c r="AF935" i="2"/>
  <c r="AD888" i="2"/>
  <c r="F255" i="9" l="1"/>
  <c r="G256" i="9"/>
  <c r="F177" i="9"/>
  <c r="G177" i="9" s="1"/>
  <c r="G178" i="9"/>
  <c r="J517" i="7"/>
  <c r="K518" i="7"/>
  <c r="J812" i="7"/>
  <c r="K813" i="7"/>
  <c r="J807" i="7"/>
  <c r="K808" i="7"/>
  <c r="AF444" i="2"/>
  <c r="AG445" i="2"/>
  <c r="AF934" i="2"/>
  <c r="AG935" i="2"/>
  <c r="AF449" i="2"/>
  <c r="AG449" i="2" s="1"/>
  <c r="AG450" i="2"/>
  <c r="F518" i="7"/>
  <c r="F254" i="9" l="1"/>
  <c r="G254" i="9" s="1"/>
  <c r="G255" i="9"/>
  <c r="J806" i="7"/>
  <c r="K807" i="7"/>
  <c r="J516" i="7"/>
  <c r="K517" i="7"/>
  <c r="J811" i="7"/>
  <c r="K811" i="7" s="1"/>
  <c r="K812" i="7"/>
  <c r="AF443" i="2"/>
  <c r="AG443" i="2" s="1"/>
  <c r="AF933" i="2"/>
  <c r="AG934" i="2"/>
  <c r="AG444" i="2"/>
  <c r="F517" i="7"/>
  <c r="F516" i="7" s="1"/>
  <c r="F515" i="7" s="1"/>
  <c r="F514" i="7" s="1"/>
  <c r="F513" i="7" s="1"/>
  <c r="K806" i="7" l="1"/>
  <c r="J805" i="7"/>
  <c r="K805" i="7" s="1"/>
  <c r="J515" i="7"/>
  <c r="K516" i="7"/>
  <c r="AF932" i="2"/>
  <c r="AG933" i="2"/>
  <c r="AD431" i="2"/>
  <c r="J514" i="7" l="1"/>
  <c r="K515" i="7"/>
  <c r="AF931" i="2"/>
  <c r="AG931" i="2" s="1"/>
  <c r="AG932" i="2"/>
  <c r="AD985" i="2"/>
  <c r="AD994" i="2"/>
  <c r="AD434" i="2"/>
  <c r="J513" i="7" l="1"/>
  <c r="K513" i="7" s="1"/>
  <c r="K514" i="7"/>
  <c r="AD991" i="2"/>
  <c r="AD988" i="2"/>
  <c r="AD786" i="2"/>
  <c r="AD716" i="2"/>
  <c r="AD658" i="2"/>
  <c r="AD410" i="2"/>
  <c r="AD399" i="2"/>
  <c r="AD438" i="2"/>
  <c r="G473" i="7" l="1"/>
  <c r="AD894" i="2" l="1"/>
  <c r="AD276" i="2" l="1"/>
  <c r="AD689" i="2" l="1"/>
  <c r="AD571" i="2" l="1"/>
  <c r="AD702" i="2" l="1"/>
  <c r="AD749" i="2"/>
  <c r="AD661" i="2"/>
  <c r="J775" i="7" l="1"/>
  <c r="K775" i="7" s="1"/>
  <c r="E32" i="9"/>
  <c r="E31" i="9" s="1"/>
  <c r="E30" i="9" s="1"/>
  <c r="F775" i="7"/>
  <c r="G775" i="7" s="1"/>
  <c r="AF412" i="2"/>
  <c r="AD412" i="2"/>
  <c r="AD411" i="2" s="1"/>
  <c r="F21" i="9"/>
  <c r="J763" i="7"/>
  <c r="F764" i="7"/>
  <c r="G764" i="7" s="1"/>
  <c r="G763" i="7" s="1"/>
  <c r="G762" i="7" s="1"/>
  <c r="G758" i="7" s="1"/>
  <c r="G757" i="7" s="1"/>
  <c r="AF401" i="2"/>
  <c r="AD401" i="2"/>
  <c r="AD400" i="2" s="1"/>
  <c r="F20" i="9" l="1"/>
  <c r="J762" i="7"/>
  <c r="K762" i="7" s="1"/>
  <c r="K763" i="7"/>
  <c r="F32" i="9"/>
  <c r="L775" i="7"/>
  <c r="AF411" i="2"/>
  <c r="AG411" i="2" s="1"/>
  <c r="AG412" i="2"/>
  <c r="AF400" i="2"/>
  <c r="AG400" i="2" s="1"/>
  <c r="AG401" i="2"/>
  <c r="J774" i="7"/>
  <c r="F774" i="7"/>
  <c r="F773" i="7" s="1"/>
  <c r="D32" i="9"/>
  <c r="D31" i="9" s="1"/>
  <c r="D30" i="9" s="1"/>
  <c r="G774" i="7"/>
  <c r="G773" i="7" s="1"/>
  <c r="D21" i="9"/>
  <c r="D20" i="9" s="1"/>
  <c r="D19" i="9" s="1"/>
  <c r="F763" i="7"/>
  <c r="F762" i="7" s="1"/>
  <c r="E21" i="9"/>
  <c r="E20" i="9" s="1"/>
  <c r="E19" i="9" s="1"/>
  <c r="AD761" i="2"/>
  <c r="AD760" i="2"/>
  <c r="AD763" i="2"/>
  <c r="F31" i="9" l="1"/>
  <c r="G32" i="9"/>
  <c r="F19" i="9"/>
  <c r="G19" i="9" s="1"/>
  <c r="G20" i="9"/>
  <c r="G21" i="9"/>
  <c r="J773" i="7"/>
  <c r="K773" i="7" s="1"/>
  <c r="K774" i="7"/>
  <c r="L774" i="7"/>
  <c r="M775" i="7"/>
  <c r="AG759" i="2"/>
  <c r="AG760" i="2"/>
  <c r="AG761" i="2"/>
  <c r="H691" i="7"/>
  <c r="AG763" i="2"/>
  <c r="J665" i="7"/>
  <c r="E695" i="9"/>
  <c r="E694" i="9" s="1"/>
  <c r="F665" i="7"/>
  <c r="J591" i="7"/>
  <c r="F591" i="7"/>
  <c r="F590" i="7" s="1"/>
  <c r="F589" i="7" s="1"/>
  <c r="F588" i="7" s="1"/>
  <c r="F587" i="7" s="1"/>
  <c r="AF741" i="2"/>
  <c r="AD741" i="2"/>
  <c r="AD740" i="2" s="1"/>
  <c r="AD739" i="2" s="1"/>
  <c r="AD738" i="2" s="1"/>
  <c r="AF681" i="2"/>
  <c r="AD681" i="2"/>
  <c r="AD680" i="2" s="1"/>
  <c r="AD679" i="2" s="1"/>
  <c r="AD678" i="2" s="1"/>
  <c r="F696" i="9" l="1"/>
  <c r="G696" i="9" s="1"/>
  <c r="F30" i="9"/>
  <c r="G30" i="9" s="1"/>
  <c r="G31" i="9"/>
  <c r="J590" i="7"/>
  <c r="K591" i="7"/>
  <c r="L773" i="7"/>
  <c r="M773" i="7" s="1"/>
  <c r="M774" i="7"/>
  <c r="J664" i="7"/>
  <c r="K665" i="7"/>
  <c r="AF680" i="2"/>
  <c r="AG681" i="2"/>
  <c r="AF740" i="2"/>
  <c r="AG741" i="2"/>
  <c r="H687" i="7"/>
  <c r="D696" i="9"/>
  <c r="D695" i="9" s="1"/>
  <c r="D694" i="9" s="1"/>
  <c r="F695" i="9"/>
  <c r="F664" i="7"/>
  <c r="F663" i="7" s="1"/>
  <c r="F662" i="7" s="1"/>
  <c r="F661" i="7" s="1"/>
  <c r="AD910" i="2"/>
  <c r="AD862" i="2"/>
  <c r="F694" i="9" l="1"/>
  <c r="G694" i="9" s="1"/>
  <c r="G695" i="9"/>
  <c r="J663" i="7"/>
  <c r="K664" i="7"/>
  <c r="J589" i="7"/>
  <c r="K590" i="7"/>
  <c r="H686" i="7"/>
  <c r="H685" i="7" s="1"/>
  <c r="AF739" i="2"/>
  <c r="AG740" i="2"/>
  <c r="AF679" i="2"/>
  <c r="AG680" i="2"/>
  <c r="AD232" i="2"/>
  <c r="J662" i="7" l="1"/>
  <c r="K663" i="7"/>
  <c r="J588" i="7"/>
  <c r="K589" i="7"/>
  <c r="AF678" i="2"/>
  <c r="AG678" i="2" s="1"/>
  <c r="AG679" i="2"/>
  <c r="AF738" i="2"/>
  <c r="AG739" i="2"/>
  <c r="AD105" i="2"/>
  <c r="F114" i="7"/>
  <c r="AF1017" i="2"/>
  <c r="AD1017" i="2"/>
  <c r="AD1016" i="2" s="1"/>
  <c r="AD1015" i="2" s="1"/>
  <c r="AD1014" i="2" s="1"/>
  <c r="AD1013" i="2" s="1"/>
  <c r="J661" i="7" l="1"/>
  <c r="K661" i="7" s="1"/>
  <c r="K662" i="7"/>
  <c r="J587" i="7"/>
  <c r="K587" i="7" s="1"/>
  <c r="K588" i="7"/>
  <c r="AG738" i="2"/>
  <c r="AF1016" i="2"/>
  <c r="AF1015" i="2" s="1"/>
  <c r="AG1017" i="2"/>
  <c r="AD635" i="2"/>
  <c r="AD637" i="2"/>
  <c r="G377" i="7"/>
  <c r="AD561" i="2"/>
  <c r="J308" i="7"/>
  <c r="E321" i="9"/>
  <c r="E320" i="9" s="1"/>
  <c r="AF225" i="2"/>
  <c r="AG225" i="2" s="1"/>
  <c r="AD226" i="2"/>
  <c r="F308" i="7" s="1"/>
  <c r="D321" i="9" s="1"/>
  <c r="D320" i="9" s="1"/>
  <c r="AD194" i="2"/>
  <c r="J648" i="7"/>
  <c r="E139" i="9"/>
  <c r="E138" i="9" s="1"/>
  <c r="E137" i="9" s="1"/>
  <c r="E136" i="9" s="1"/>
  <c r="AF724" i="2"/>
  <c r="AD725" i="2"/>
  <c r="AD724" i="2" s="1"/>
  <c r="AD723" i="2" s="1"/>
  <c r="AD722" i="2" s="1"/>
  <c r="AD891" i="2"/>
  <c r="G470" i="7"/>
  <c r="J578" i="7"/>
  <c r="J586" i="7"/>
  <c r="E479" i="9"/>
  <c r="E478" i="9" s="1"/>
  <c r="E477" i="9" s="1"/>
  <c r="E476" i="9" s="1"/>
  <c r="E475" i="9" s="1"/>
  <c r="E474" i="9" s="1"/>
  <c r="G585" i="7"/>
  <c r="G584" i="7" s="1"/>
  <c r="G583" i="7" s="1"/>
  <c r="G582" i="7" s="1"/>
  <c r="G581" i="7" s="1"/>
  <c r="G580" i="7" s="1"/>
  <c r="AF676" i="2"/>
  <c r="AD677" i="2"/>
  <c r="F586" i="7" s="1"/>
  <c r="F585" i="7" s="1"/>
  <c r="F584" i="7" s="1"/>
  <c r="F583" i="7" s="1"/>
  <c r="AG389" i="2"/>
  <c r="F139" i="9" l="1"/>
  <c r="K648" i="7"/>
  <c r="J585" i="7"/>
  <c r="K586" i="7"/>
  <c r="J307" i="7"/>
  <c r="K308" i="7"/>
  <c r="J577" i="7"/>
  <c r="K578" i="7"/>
  <c r="AF675" i="2"/>
  <c r="AG676" i="2"/>
  <c r="AF723" i="2"/>
  <c r="AG724" i="2"/>
  <c r="AG1016" i="2"/>
  <c r="AD225" i="2"/>
  <c r="F648" i="7"/>
  <c r="F647" i="7" s="1"/>
  <c r="F646" i="7" s="1"/>
  <c r="F645" i="7" s="1"/>
  <c r="F307" i="7"/>
  <c r="J647" i="7"/>
  <c r="AD676" i="2"/>
  <c r="AD675" i="2" s="1"/>
  <c r="AD674" i="2" s="1"/>
  <c r="AD673" i="2" s="1"/>
  <c r="AD672" i="2" s="1"/>
  <c r="AD671" i="2" s="1"/>
  <c r="F479" i="9"/>
  <c r="D479" i="9"/>
  <c r="D478" i="9" s="1"/>
  <c r="D477" i="9" s="1"/>
  <c r="D476" i="9" s="1"/>
  <c r="D475" i="9" s="1"/>
  <c r="D474" i="9" s="1"/>
  <c r="J899" i="7"/>
  <c r="E237" i="9"/>
  <c r="E236" i="9" s="1"/>
  <c r="E235" i="9" s="1"/>
  <c r="E230" i="9" s="1"/>
  <c r="F899" i="7"/>
  <c r="G899" i="7" s="1"/>
  <c r="G898" i="7" s="1"/>
  <c r="G897" i="7" s="1"/>
  <c r="AF512" i="2"/>
  <c r="AD512" i="2"/>
  <c r="AD511" i="2" s="1"/>
  <c r="AD507" i="2" s="1"/>
  <c r="J804" i="7"/>
  <c r="K804" i="7" s="1"/>
  <c r="F804" i="7"/>
  <c r="G804" i="7" s="1"/>
  <c r="G803" i="7" s="1"/>
  <c r="G802" i="7" s="1"/>
  <c r="G801" i="7" s="1"/>
  <c r="G779" i="7" s="1"/>
  <c r="AF441" i="2"/>
  <c r="AD441" i="2"/>
  <c r="AD440" i="2" s="1"/>
  <c r="AD439" i="2" s="1"/>
  <c r="F138" i="9" l="1"/>
  <c r="G139" i="9"/>
  <c r="F478" i="9"/>
  <c r="G479" i="9"/>
  <c r="J898" i="7"/>
  <c r="K899" i="7"/>
  <c r="L899" i="7"/>
  <c r="J646" i="7"/>
  <c r="K647" i="7"/>
  <c r="J576" i="7"/>
  <c r="K576" i="7" s="1"/>
  <c r="K577" i="7"/>
  <c r="J584" i="7"/>
  <c r="K585" i="7"/>
  <c r="F321" i="9"/>
  <c r="K307" i="7"/>
  <c r="F61" i="9"/>
  <c r="L804" i="7"/>
  <c r="AF722" i="2"/>
  <c r="AG723" i="2"/>
  <c r="AF440" i="2"/>
  <c r="AG441" i="2"/>
  <c r="AF511" i="2"/>
  <c r="AF508" i="2" s="1"/>
  <c r="AG512" i="2"/>
  <c r="AF1014" i="2"/>
  <c r="AG1015" i="2"/>
  <c r="AF674" i="2"/>
  <c r="AG675" i="2"/>
  <c r="G893" i="7"/>
  <c r="G888" i="7" s="1"/>
  <c r="G887" i="7" s="1"/>
  <c r="G886" i="7" s="1"/>
  <c r="G868" i="7" s="1"/>
  <c r="G648" i="7"/>
  <c r="G647" i="7" s="1"/>
  <c r="G646" i="7" s="1"/>
  <c r="G645" i="7" s="1"/>
  <c r="D139" i="9"/>
  <c r="D138" i="9" s="1"/>
  <c r="D137" i="9" s="1"/>
  <c r="D136" i="9" s="1"/>
  <c r="D237" i="9"/>
  <c r="D236" i="9" s="1"/>
  <c r="D235" i="9" s="1"/>
  <c r="D230" i="9" s="1"/>
  <c r="F237" i="9"/>
  <c r="F898" i="7"/>
  <c r="F897" i="7" s="1"/>
  <c r="F893" i="7" s="1"/>
  <c r="D61" i="9"/>
  <c r="D60" i="9" s="1"/>
  <c r="D59" i="9" s="1"/>
  <c r="D58" i="9" s="1"/>
  <c r="F803" i="7"/>
  <c r="F802" i="7" s="1"/>
  <c r="F801" i="7" s="1"/>
  <c r="J803" i="7"/>
  <c r="E61" i="9"/>
  <c r="E60" i="9" s="1"/>
  <c r="E59" i="9" s="1"/>
  <c r="E58" i="9" s="1"/>
  <c r="F137" i="9" l="1"/>
  <c r="G138" i="9"/>
  <c r="F236" i="9"/>
  <c r="G237" i="9"/>
  <c r="F60" i="9"/>
  <c r="G61" i="9"/>
  <c r="F477" i="9"/>
  <c r="G478" i="9"/>
  <c r="F320" i="9"/>
  <c r="G320" i="9" s="1"/>
  <c r="G321" i="9"/>
  <c r="J802" i="7"/>
  <c r="K803" i="7"/>
  <c r="J583" i="7"/>
  <c r="K584" i="7"/>
  <c r="J645" i="7"/>
  <c r="K645" i="7" s="1"/>
  <c r="K646" i="7"/>
  <c r="L898" i="7"/>
  <c r="M899" i="7"/>
  <c r="L803" i="7"/>
  <c r="M804" i="7"/>
  <c r="J897" i="7"/>
  <c r="K898" i="7"/>
  <c r="AG722" i="2"/>
  <c r="AF507" i="2"/>
  <c r="AG508" i="2"/>
  <c r="AF1013" i="2"/>
  <c r="AG1013" i="2" s="1"/>
  <c r="AG1014" i="2"/>
  <c r="AF439" i="2"/>
  <c r="AG439" i="2" s="1"/>
  <c r="AG440" i="2"/>
  <c r="AF673" i="2"/>
  <c r="AG674" i="2"/>
  <c r="AG507" i="2"/>
  <c r="AG511" i="2"/>
  <c r="AD755" i="2"/>
  <c r="F59" i="9" l="1"/>
  <c r="G60" i="9"/>
  <c r="F136" i="9"/>
  <c r="G136" i="9" s="1"/>
  <c r="G137" i="9"/>
  <c r="F476" i="9"/>
  <c r="G477" i="9"/>
  <c r="F235" i="9"/>
  <c r="G236" i="9"/>
  <c r="J893" i="7"/>
  <c r="K893" i="7" s="1"/>
  <c r="K897" i="7"/>
  <c r="L897" i="7"/>
  <c r="M898" i="7"/>
  <c r="J582" i="7"/>
  <c r="K583" i="7"/>
  <c r="L802" i="7"/>
  <c r="M803" i="7"/>
  <c r="J801" i="7"/>
  <c r="K801" i="7" s="1"/>
  <c r="K802" i="7"/>
  <c r="H412" i="7"/>
  <c r="H411" i="7" s="1"/>
  <c r="H404" i="7" s="1"/>
  <c r="AG755" i="2"/>
  <c r="AF672" i="2"/>
  <c r="AG673" i="2"/>
  <c r="AD157" i="2"/>
  <c r="F475" i="9" l="1"/>
  <c r="G476" i="9"/>
  <c r="F58" i="9"/>
  <c r="G58" i="9" s="1"/>
  <c r="G59" i="9"/>
  <c r="F230" i="9"/>
  <c r="G230" i="9" s="1"/>
  <c r="G235" i="9"/>
  <c r="J581" i="7"/>
  <c r="K582" i="7"/>
  <c r="L801" i="7"/>
  <c r="M802" i="7"/>
  <c r="M897" i="7"/>
  <c r="L893" i="7"/>
  <c r="H683" i="7"/>
  <c r="H682" i="7"/>
  <c r="AF671" i="2"/>
  <c r="AG671" i="2" s="1"/>
  <c r="AG672" i="2"/>
  <c r="J427" i="7"/>
  <c r="E346" i="9"/>
  <c r="E345" i="9" s="1"/>
  <c r="E344" i="9" s="1"/>
  <c r="F427" i="7"/>
  <c r="D346" i="9" s="1"/>
  <c r="D345" i="9" s="1"/>
  <c r="D344" i="9" s="1"/>
  <c r="G741" i="7"/>
  <c r="G742" i="7"/>
  <c r="AD386" i="2"/>
  <c r="AF876" i="2"/>
  <c r="AD876" i="2"/>
  <c r="AD875" i="2" s="1"/>
  <c r="F474" i="9" l="1"/>
  <c r="G474" i="9" s="1"/>
  <c r="G475" i="9"/>
  <c r="J580" i="7"/>
  <c r="K580" i="7" s="1"/>
  <c r="K581" i="7"/>
  <c r="F346" i="9"/>
  <c r="K427" i="7"/>
  <c r="M801" i="7"/>
  <c r="L779" i="7"/>
  <c r="M779" i="7" s="1"/>
  <c r="M893" i="7"/>
  <c r="L888" i="7"/>
  <c r="H681" i="7"/>
  <c r="H680" i="7" s="1"/>
  <c r="H679" i="7" s="1"/>
  <c r="AF875" i="2"/>
  <c r="AG875" i="2" s="1"/>
  <c r="AG876" i="2"/>
  <c r="J426" i="7"/>
  <c r="F426" i="7"/>
  <c r="F425" i="7" s="1"/>
  <c r="AF619" i="2"/>
  <c r="AD619" i="2"/>
  <c r="AD618" i="2" s="1"/>
  <c r="AD617" i="2" s="1"/>
  <c r="F345" i="9" l="1"/>
  <c r="G346" i="9"/>
  <c r="J425" i="7"/>
  <c r="K425" i="7" s="1"/>
  <c r="K426" i="7"/>
  <c r="M888" i="7"/>
  <c r="L887" i="7"/>
  <c r="AF618" i="2"/>
  <c r="AG619" i="2"/>
  <c r="AD336" i="2"/>
  <c r="F344" i="9" l="1"/>
  <c r="G344" i="9" s="1"/>
  <c r="G345" i="9"/>
  <c r="L886" i="7"/>
  <c r="M886" i="7" s="1"/>
  <c r="M887" i="7"/>
  <c r="AF617" i="2"/>
  <c r="AG617" i="2" s="1"/>
  <c r="AG618" i="2"/>
  <c r="AD161" i="2"/>
  <c r="J800" i="7"/>
  <c r="K800" i="7" s="1"/>
  <c r="F800" i="7"/>
  <c r="F799" i="7" s="1"/>
  <c r="F798" i="7" s="1"/>
  <c r="F797" i="7" s="1"/>
  <c r="AF437" i="2"/>
  <c r="AD437" i="2"/>
  <c r="AD436" i="2" s="1"/>
  <c r="AD435" i="2" s="1"/>
  <c r="AD913" i="2"/>
  <c r="J598" i="7"/>
  <c r="E72" i="9"/>
  <c r="E71" i="9" s="1"/>
  <c r="E70" i="9" s="1"/>
  <c r="F598" i="7"/>
  <c r="D72" i="9" s="1"/>
  <c r="D71" i="9" s="1"/>
  <c r="D70" i="9" s="1"/>
  <c r="AF688" i="2"/>
  <c r="AD688" i="2"/>
  <c r="AD687" i="2" s="1"/>
  <c r="J597" i="7" l="1"/>
  <c r="K598" i="7"/>
  <c r="AF687" i="2"/>
  <c r="AG688" i="2"/>
  <c r="AF436" i="2"/>
  <c r="AG437" i="2"/>
  <c r="E57" i="9"/>
  <c r="E56" i="9" s="1"/>
  <c r="E55" i="9" s="1"/>
  <c r="E54" i="9" s="1"/>
  <c r="F57" i="9"/>
  <c r="J799" i="7"/>
  <c r="D57" i="9"/>
  <c r="D56" i="9" s="1"/>
  <c r="D55" i="9" s="1"/>
  <c r="D54" i="9" s="1"/>
  <c r="F597" i="7"/>
  <c r="F596" i="7" s="1"/>
  <c r="F72" i="9"/>
  <c r="E448" i="9"/>
  <c r="F448" i="9"/>
  <c r="J206" i="7"/>
  <c r="K206" i="7" s="1"/>
  <c r="F207" i="7"/>
  <c r="D449" i="9" s="1"/>
  <c r="D448" i="9" s="1"/>
  <c r="AF124" i="2"/>
  <c r="AD124" i="2"/>
  <c r="F71" i="9" l="1"/>
  <c r="G72" i="9"/>
  <c r="F56" i="9"/>
  <c r="G57" i="9"/>
  <c r="G448" i="9"/>
  <c r="J798" i="7"/>
  <c r="K799" i="7"/>
  <c r="AG687" i="2"/>
  <c r="J596" i="7"/>
  <c r="K596" i="7" s="1"/>
  <c r="K597" i="7"/>
  <c r="AG124" i="2"/>
  <c r="AF435" i="2"/>
  <c r="AG435" i="2" s="1"/>
  <c r="AG436" i="2"/>
  <c r="F206" i="7"/>
  <c r="AD839" i="2"/>
  <c r="F70" i="9" l="1"/>
  <c r="G70" i="9" s="1"/>
  <c r="G71" i="9"/>
  <c r="F55" i="9"/>
  <c r="G56" i="9"/>
  <c r="J797" i="7"/>
  <c r="K797" i="7" s="1"/>
  <c r="K798" i="7"/>
  <c r="J467" i="7"/>
  <c r="E572" i="9"/>
  <c r="E571" i="9" s="1"/>
  <c r="E570" i="9" s="1"/>
  <c r="F467" i="7"/>
  <c r="F466" i="7" s="1"/>
  <c r="F465" i="7" s="1"/>
  <c r="AF887" i="2"/>
  <c r="AD887" i="2"/>
  <c r="AD886" i="2" s="1"/>
  <c r="G717" i="7"/>
  <c r="AD837" i="2"/>
  <c r="F54" i="9" l="1"/>
  <c r="G54" i="9" s="1"/>
  <c r="G55" i="9"/>
  <c r="F572" i="9"/>
  <c r="K467" i="7"/>
  <c r="H330" i="7"/>
  <c r="H327" i="7" s="1"/>
  <c r="H326" i="7" s="1"/>
  <c r="H325" i="7" s="1"/>
  <c r="H324" i="7" s="1"/>
  <c r="H323" i="7" s="1"/>
  <c r="AG839" i="2"/>
  <c r="AF886" i="2"/>
  <c r="AG886" i="2" s="1"/>
  <c r="AG887" i="2"/>
  <c r="J466" i="7"/>
  <c r="D572" i="9"/>
  <c r="D571" i="9" s="1"/>
  <c r="D570" i="9" s="1"/>
  <c r="AD142" i="2"/>
  <c r="G634" i="7"/>
  <c r="G633" i="7" s="1"/>
  <c r="F635" i="7"/>
  <c r="D126" i="9" s="1"/>
  <c r="D125" i="9" s="1"/>
  <c r="D124" i="9" s="1"/>
  <c r="E126" i="9"/>
  <c r="E125" i="9" s="1"/>
  <c r="E124" i="9" s="1"/>
  <c r="AF984" i="2"/>
  <c r="AD984" i="2"/>
  <c r="AD983" i="2" s="1"/>
  <c r="F571" i="9" l="1"/>
  <c r="G572" i="9"/>
  <c r="J465" i="7"/>
  <c r="K465" i="7" s="1"/>
  <c r="K466" i="7"/>
  <c r="J635" i="7"/>
  <c r="AG984" i="2"/>
  <c r="AF983" i="2"/>
  <c r="AG983" i="2" s="1"/>
  <c r="F634" i="7"/>
  <c r="F633" i="7" s="1"/>
  <c r="G745" i="7"/>
  <c r="F743" i="7"/>
  <c r="F741" i="7"/>
  <c r="AD928" i="2"/>
  <c r="AD942" i="2"/>
  <c r="F570" i="9" l="1"/>
  <c r="G570" i="9" s="1"/>
  <c r="G571" i="9"/>
  <c r="F126" i="9"/>
  <c r="K635" i="7"/>
  <c r="J634" i="7"/>
  <c r="E636" i="9"/>
  <c r="F636" i="9"/>
  <c r="J533" i="7"/>
  <c r="K533" i="7" s="1"/>
  <c r="F534" i="7"/>
  <c r="F533" i="7" s="1"/>
  <c r="AF951" i="2"/>
  <c r="AG951" i="2" s="1"/>
  <c r="AD951" i="2"/>
  <c r="AD112" i="2"/>
  <c r="AD103" i="2"/>
  <c r="G636" i="9" l="1"/>
  <c r="F125" i="9"/>
  <c r="G126" i="9"/>
  <c r="J633" i="7"/>
  <c r="K633" i="7" s="1"/>
  <c r="K634" i="7"/>
  <c r="D637" i="9"/>
  <c r="D636" i="9" s="1"/>
  <c r="F124" i="9" l="1"/>
  <c r="G124" i="9" s="1"/>
  <c r="G125" i="9"/>
  <c r="F892" i="7"/>
  <c r="J892" i="7"/>
  <c r="E229" i="9"/>
  <c r="E228" i="9" s="1"/>
  <c r="E227" i="9" s="1"/>
  <c r="E226" i="9" s="1"/>
  <c r="E225" i="9" s="1"/>
  <c r="AD489" i="2"/>
  <c r="AF505" i="2"/>
  <c r="J891" i="7" l="1"/>
  <c r="K892" i="7"/>
  <c r="H875" i="7"/>
  <c r="H874" i="7" s="1"/>
  <c r="H873" i="7" s="1"/>
  <c r="H872" i="7" s="1"/>
  <c r="AG489" i="2"/>
  <c r="AF504" i="2"/>
  <c r="AG505" i="2"/>
  <c r="F229" i="9"/>
  <c r="F891" i="7"/>
  <c r="F890" i="7" s="1"/>
  <c r="F889" i="7" s="1"/>
  <c r="D229" i="9"/>
  <c r="D228" i="9" s="1"/>
  <c r="D227" i="9" s="1"/>
  <c r="D226" i="9" s="1"/>
  <c r="D225" i="9" s="1"/>
  <c r="AD505" i="2"/>
  <c r="AD504" i="2" s="1"/>
  <c r="AD503" i="2" s="1"/>
  <c r="F228" i="9" l="1"/>
  <c r="G229" i="9"/>
  <c r="J890" i="7"/>
  <c r="K891" i="7"/>
  <c r="H871" i="7"/>
  <c r="H870" i="7" s="1"/>
  <c r="H869" i="7" s="1"/>
  <c r="H868" i="7" s="1"/>
  <c r="AF503" i="2"/>
  <c r="AG504" i="2"/>
  <c r="E55" i="10"/>
  <c r="F888" i="7"/>
  <c r="F887" i="7" s="1"/>
  <c r="F886" i="7" s="1"/>
  <c r="D55" i="10" s="1"/>
  <c r="AD502" i="2"/>
  <c r="AD501" i="2" s="1"/>
  <c r="AD500" i="2" s="1"/>
  <c r="AD858" i="2"/>
  <c r="F227" i="9" l="1"/>
  <c r="G228" i="9"/>
  <c r="J889" i="7"/>
  <c r="K890" i="7"/>
  <c r="AG503" i="2"/>
  <c r="AF502" i="2"/>
  <c r="J243" i="7"/>
  <c r="F243" i="7"/>
  <c r="D693" i="9" s="1"/>
  <c r="D692" i="9" s="1"/>
  <c r="D691" i="9" s="1"/>
  <c r="AD160" i="2"/>
  <c r="AD159" i="2" s="1"/>
  <c r="AF160" i="2"/>
  <c r="AG160" i="2" s="1"/>
  <c r="F226" i="9" l="1"/>
  <c r="G227" i="9"/>
  <c r="J242" i="7"/>
  <c r="K243" i="7"/>
  <c r="K889" i="7"/>
  <c r="J888" i="7"/>
  <c r="AF159" i="2"/>
  <c r="AG159" i="2" s="1"/>
  <c r="AF501" i="2"/>
  <c r="AG502" i="2"/>
  <c r="F693" i="9"/>
  <c r="E693" i="9"/>
  <c r="E692" i="9" s="1"/>
  <c r="E691" i="9" s="1"/>
  <c r="F242" i="7"/>
  <c r="F241" i="7" s="1"/>
  <c r="F225" i="9" l="1"/>
  <c r="G225" i="9" s="1"/>
  <c r="G226" i="9"/>
  <c r="F692" i="9"/>
  <c r="G693" i="9"/>
  <c r="J241" i="7"/>
  <c r="K241" i="7" s="1"/>
  <c r="K242" i="7"/>
  <c r="J887" i="7"/>
  <c r="K888" i="7"/>
  <c r="AF500" i="2"/>
  <c r="AG500" i="2" s="1"/>
  <c r="AG501" i="2"/>
  <c r="F691" i="9" l="1"/>
  <c r="G691" i="9" s="1"/>
  <c r="G692" i="9"/>
  <c r="J886" i="7"/>
  <c r="K887" i="7"/>
  <c r="H245" i="7"/>
  <c r="H244" i="7" s="1"/>
  <c r="H240" i="7" s="1"/>
  <c r="H236" i="7" s="1"/>
  <c r="AD373" i="2"/>
  <c r="F55" i="10" l="1"/>
  <c r="G55" i="10" s="1"/>
  <c r="K886" i="7"/>
  <c r="AD916" i="2"/>
  <c r="J113" i="7" l="1"/>
  <c r="F113" i="7"/>
  <c r="F112" i="7" s="1"/>
  <c r="F111" i="7" s="1"/>
  <c r="J78" i="7"/>
  <c r="F78" i="7"/>
  <c r="AF57" i="2"/>
  <c r="AD57" i="2"/>
  <c r="AD56" i="2" s="1"/>
  <c r="AD55" i="2" s="1"/>
  <c r="J112" i="7" l="1"/>
  <c r="K113" i="7"/>
  <c r="F77" i="7"/>
  <c r="F76" i="7" s="1"/>
  <c r="F75" i="7" s="1"/>
  <c r="D554" i="9"/>
  <c r="J77" i="7"/>
  <c r="F554" i="9"/>
  <c r="G554" i="9" s="1"/>
  <c r="K78" i="7"/>
  <c r="AF56" i="2"/>
  <c r="AG57" i="2"/>
  <c r="AD829" i="2"/>
  <c r="F239" i="7" s="1"/>
  <c r="J76" i="7" l="1"/>
  <c r="K77" i="7"/>
  <c r="J111" i="7"/>
  <c r="K111" i="7" s="1"/>
  <c r="K112" i="7"/>
  <c r="AF55" i="2"/>
  <c r="AG55" i="2" s="1"/>
  <c r="AG56" i="2"/>
  <c r="G498" i="7"/>
  <c r="AF570" i="2"/>
  <c r="AD570" i="2"/>
  <c r="AD569" i="2" s="1"/>
  <c r="AD568" i="2" s="1"/>
  <c r="J75" i="7" l="1"/>
  <c r="K75" i="7" s="1"/>
  <c r="K76" i="7"/>
  <c r="AF569" i="2"/>
  <c r="AG570" i="2"/>
  <c r="G476" i="7"/>
  <c r="AF568" i="2" l="1"/>
  <c r="AG568" i="2" s="1"/>
  <c r="AG569" i="2"/>
  <c r="J855" i="7"/>
  <c r="F855" i="7"/>
  <c r="D332" i="9" s="1"/>
  <c r="D331" i="9" s="1"/>
  <c r="AF634" i="2"/>
  <c r="AG634" i="2" s="1"/>
  <c r="AD634" i="2"/>
  <c r="J854" i="7" l="1"/>
  <c r="K854" i="7" s="1"/>
  <c r="K855" i="7"/>
  <c r="E332" i="9"/>
  <c r="E331" i="9" s="1"/>
  <c r="F854" i="7"/>
  <c r="F332" i="9"/>
  <c r="G855" i="7"/>
  <c r="G854" i="7" s="1"/>
  <c r="AD897" i="2"/>
  <c r="J707" i="7"/>
  <c r="F707" i="7"/>
  <c r="D486" i="9" s="1"/>
  <c r="D485" i="9" s="1"/>
  <c r="AD371" i="2"/>
  <c r="AF372" i="2"/>
  <c r="AG372" i="2" s="1"/>
  <c r="AD372" i="2"/>
  <c r="J82" i="7"/>
  <c r="E558" i="9"/>
  <c r="E557" i="9" s="1"/>
  <c r="E556" i="9" s="1"/>
  <c r="AD62" i="2"/>
  <c r="AD61" i="2" s="1"/>
  <c r="AD60" i="2" s="1"/>
  <c r="AF61" i="2"/>
  <c r="F331" i="9" l="1"/>
  <c r="G331" i="9" s="1"/>
  <c r="G332" i="9"/>
  <c r="J81" i="7"/>
  <c r="K82" i="7"/>
  <c r="F486" i="9"/>
  <c r="K707" i="7"/>
  <c r="AG61" i="2"/>
  <c r="AF60" i="2"/>
  <c r="AG60" i="2" s="1"/>
  <c r="F82" i="7"/>
  <c r="F81" i="7" s="1"/>
  <c r="F80" i="7" s="1"/>
  <c r="F79" i="7" s="1"/>
  <c r="F706" i="7"/>
  <c r="J706" i="7"/>
  <c r="K706" i="7" s="1"/>
  <c r="E486" i="9"/>
  <c r="E485" i="9" s="1"/>
  <c r="E555" i="9"/>
  <c r="F558" i="9"/>
  <c r="AD54" i="2"/>
  <c r="J104" i="7"/>
  <c r="AF560" i="2"/>
  <c r="AG560" i="2" s="1"/>
  <c r="F104" i="7"/>
  <c r="F710" i="7"/>
  <c r="F705" i="7"/>
  <c r="F485" i="9" l="1"/>
  <c r="G485" i="9" s="1"/>
  <c r="G486" i="9"/>
  <c r="F557" i="9"/>
  <c r="G558" i="9"/>
  <c r="J80" i="7"/>
  <c r="K81" i="7"/>
  <c r="F421" i="9"/>
  <c r="K104" i="7"/>
  <c r="AF54" i="2"/>
  <c r="AF59" i="2"/>
  <c r="AG59" i="2" s="1"/>
  <c r="F74" i="7"/>
  <c r="F73" i="7" s="1"/>
  <c r="G82" i="7"/>
  <c r="G81" i="7" s="1"/>
  <c r="G80" i="7" s="1"/>
  <c r="G79" i="7" s="1"/>
  <c r="D558" i="9"/>
  <c r="D557" i="9" s="1"/>
  <c r="AD53" i="2"/>
  <c r="AD59" i="2"/>
  <c r="D421" i="9"/>
  <c r="D420" i="9" s="1"/>
  <c r="F103" i="7"/>
  <c r="AD560" i="2"/>
  <c r="E421" i="9"/>
  <c r="E420" i="9" s="1"/>
  <c r="J103" i="7"/>
  <c r="K103" i="7" s="1"/>
  <c r="F420" i="9" l="1"/>
  <c r="G420" i="9" s="1"/>
  <c r="G421" i="9"/>
  <c r="F556" i="9"/>
  <c r="G557" i="9"/>
  <c r="K80" i="7"/>
  <c r="J79" i="7"/>
  <c r="D556" i="9"/>
  <c r="D555" i="9" s="1"/>
  <c r="AF53" i="2"/>
  <c r="AG53" i="2" s="1"/>
  <c r="AG54" i="2"/>
  <c r="G74" i="7"/>
  <c r="G73" i="7" s="1"/>
  <c r="G556" i="9" l="1"/>
  <c r="F555" i="9"/>
  <c r="G555" i="9" s="1"/>
  <c r="K79" i="7"/>
  <c r="J74" i="7"/>
  <c r="AD567" i="2"/>
  <c r="J73" i="7" l="1"/>
  <c r="K73" i="7" s="1"/>
  <c r="K74" i="7"/>
  <c r="F205" i="9"/>
  <c r="J863" i="7"/>
  <c r="E205" i="9"/>
  <c r="E204" i="9" s="1"/>
  <c r="E203" i="9" s="1"/>
  <c r="F864" i="7"/>
  <c r="F863" i="7" s="1"/>
  <c r="F862" i="7" s="1"/>
  <c r="AD477" i="2"/>
  <c r="AD476" i="2" s="1"/>
  <c r="F204" i="9" l="1"/>
  <c r="G205" i="9"/>
  <c r="J862" i="7"/>
  <c r="K862" i="7" s="1"/>
  <c r="K863" i="7"/>
  <c r="D205" i="9"/>
  <c r="D204" i="9" s="1"/>
  <c r="D203" i="9" s="1"/>
  <c r="F203" i="9" l="1"/>
  <c r="G203" i="9" s="1"/>
  <c r="G204" i="9"/>
  <c r="D686" i="9"/>
  <c r="G497" i="7" l="1"/>
  <c r="G496" i="7" s="1"/>
  <c r="G482" i="7" s="1"/>
  <c r="G481" i="7" s="1"/>
  <c r="J498" i="7"/>
  <c r="K498" i="7" s="1"/>
  <c r="AD915" i="2"/>
  <c r="AD914" i="2" s="1"/>
  <c r="AF915" i="2"/>
  <c r="AF828" i="2"/>
  <c r="AD828" i="2"/>
  <c r="AD827" i="2" s="1"/>
  <c r="AD826" i="2" s="1"/>
  <c r="AD825" i="2" s="1"/>
  <c r="AD824" i="2" s="1"/>
  <c r="AF914" i="2" l="1"/>
  <c r="AG914" i="2" s="1"/>
  <c r="AG915" i="2"/>
  <c r="AF827" i="2"/>
  <c r="AG828" i="2"/>
  <c r="F498" i="7"/>
  <c r="D614" i="9" s="1"/>
  <c r="E614" i="9"/>
  <c r="J497" i="7"/>
  <c r="F614" i="9"/>
  <c r="J314" i="7"/>
  <c r="F314" i="7"/>
  <c r="F313" i="7" s="1"/>
  <c r="F312" i="7" s="1"/>
  <c r="F311" i="7" s="1"/>
  <c r="F310" i="7" s="1"/>
  <c r="F309" i="7" s="1"/>
  <c r="AF231" i="2"/>
  <c r="AD231" i="2"/>
  <c r="AD230" i="2" s="1"/>
  <c r="AD229" i="2" s="1"/>
  <c r="AD228" i="2" s="1"/>
  <c r="AD227" i="2" s="1"/>
  <c r="F218" i="7"/>
  <c r="F217" i="7" s="1"/>
  <c r="F216" i="7" s="1"/>
  <c r="F215" i="7" s="1"/>
  <c r="AD615" i="2"/>
  <c r="AD614" i="2" s="1"/>
  <c r="AD613" i="2" s="1"/>
  <c r="AD612" i="2" s="1"/>
  <c r="J217" i="7"/>
  <c r="AF135" i="2"/>
  <c r="AD135" i="2"/>
  <c r="AD134" i="2" s="1"/>
  <c r="AD133" i="2" s="1"/>
  <c r="G614" i="9" l="1"/>
  <c r="J313" i="7"/>
  <c r="K314" i="7"/>
  <c r="J216" i="7"/>
  <c r="K217" i="7"/>
  <c r="J496" i="7"/>
  <c r="K496" i="7" s="1"/>
  <c r="K497" i="7"/>
  <c r="AF230" i="2"/>
  <c r="AG231" i="2"/>
  <c r="AF826" i="2"/>
  <c r="AG827" i="2"/>
  <c r="AF614" i="2"/>
  <c r="AG615" i="2"/>
  <c r="AF134" i="2"/>
  <c r="AG135" i="2"/>
  <c r="F497" i="7"/>
  <c r="F496" i="7" s="1"/>
  <c r="J312" i="7" l="1"/>
  <c r="K313" i="7"/>
  <c r="J215" i="7"/>
  <c r="K215" i="7" s="1"/>
  <c r="K216" i="7"/>
  <c r="AF133" i="2"/>
  <c r="AG133" i="2" s="1"/>
  <c r="AG134" i="2"/>
  <c r="AF825" i="2"/>
  <c r="AG826" i="2"/>
  <c r="AF613" i="2"/>
  <c r="AG614" i="2"/>
  <c r="AF229" i="2"/>
  <c r="AG230" i="2"/>
  <c r="J455" i="7"/>
  <c r="E279" i="9"/>
  <c r="E278" i="9" s="1"/>
  <c r="F455" i="7"/>
  <c r="D279" i="9" s="1"/>
  <c r="D278" i="9" s="1"/>
  <c r="AF329" i="2"/>
  <c r="AG329" i="2" s="1"/>
  <c r="AD329" i="2"/>
  <c r="F279" i="9" l="1"/>
  <c r="K455" i="7"/>
  <c r="J311" i="7"/>
  <c r="K312" i="7"/>
  <c r="AF228" i="2"/>
  <c r="AG229" i="2"/>
  <c r="AF824" i="2"/>
  <c r="AG824" i="2" s="1"/>
  <c r="AG825" i="2"/>
  <c r="AF612" i="2"/>
  <c r="AG612" i="2" s="1"/>
  <c r="AG613" i="2"/>
  <c r="F454" i="7"/>
  <c r="J454" i="7"/>
  <c r="K454" i="7" s="1"/>
  <c r="AF669" i="2"/>
  <c r="AD669" i="2"/>
  <c r="AD668" i="2" s="1"/>
  <c r="AD667" i="2" s="1"/>
  <c r="J329" i="7"/>
  <c r="K329" i="7" s="1"/>
  <c r="AF836" i="2"/>
  <c r="AG836" i="2" s="1"/>
  <c r="F329" i="7"/>
  <c r="G329" i="7" s="1"/>
  <c r="G328" i="7" s="1"/>
  <c r="F278" i="9" l="1"/>
  <c r="G278" i="9" s="1"/>
  <c r="G279" i="9"/>
  <c r="J310" i="7"/>
  <c r="K311" i="7"/>
  <c r="J328" i="7"/>
  <c r="K328" i="7" s="1"/>
  <c r="L329" i="7"/>
  <c r="AF668" i="2"/>
  <c r="AG669" i="2"/>
  <c r="AF227" i="2"/>
  <c r="AG227" i="2" s="1"/>
  <c r="AG228" i="2"/>
  <c r="AD836" i="2"/>
  <c r="F579" i="7"/>
  <c r="D106" i="9" s="1"/>
  <c r="D105" i="9" s="1"/>
  <c r="D104" i="9" s="1"/>
  <c r="E243" i="9"/>
  <c r="E242" i="9" s="1"/>
  <c r="D243" i="9"/>
  <c r="D242" i="9" s="1"/>
  <c r="F243" i="9"/>
  <c r="F328" i="7"/>
  <c r="F242" i="9" l="1"/>
  <c r="G242" i="9" s="1"/>
  <c r="G243" i="9"/>
  <c r="J309" i="7"/>
  <c r="K309" i="7" s="1"/>
  <c r="K310" i="7"/>
  <c r="L328" i="7"/>
  <c r="M328" i="7" s="1"/>
  <c r="M329" i="7"/>
  <c r="AF667" i="2"/>
  <c r="AG667" i="2" s="1"/>
  <c r="AG668" i="2"/>
  <c r="F578" i="7"/>
  <c r="F577" i="7" s="1"/>
  <c r="F576" i="7" s="1"/>
  <c r="G579" i="7"/>
  <c r="G578" i="7" l="1"/>
  <c r="G577" i="7" s="1"/>
  <c r="G576" i="7" s="1"/>
  <c r="AD982" i="2"/>
  <c r="AD979" i="2"/>
  <c r="E408" i="9"/>
  <c r="F408" i="9"/>
  <c r="J55" i="7"/>
  <c r="K55" i="7" s="1"/>
  <c r="F56" i="7"/>
  <c r="D409" i="9" s="1"/>
  <c r="D408" i="9" s="1"/>
  <c r="AF35" i="2"/>
  <c r="AG35" i="2" s="1"/>
  <c r="AD35" i="2"/>
  <c r="AF769" i="2"/>
  <c r="AD769" i="2"/>
  <c r="AD768" i="2" s="1"/>
  <c r="AD767" i="2" s="1"/>
  <c r="AD766" i="2" s="1"/>
  <c r="AD765" i="2" s="1"/>
  <c r="AD764" i="2" s="1"/>
  <c r="E455" i="9"/>
  <c r="F455" i="9"/>
  <c r="J213" i="7"/>
  <c r="K213" i="7" s="1"/>
  <c r="F214" i="7"/>
  <c r="D456" i="9" s="1"/>
  <c r="D455" i="9" s="1"/>
  <c r="G455" i="9" l="1"/>
  <c r="G408" i="9"/>
  <c r="AF768" i="2"/>
  <c r="AG769" i="2"/>
  <c r="E105" i="9"/>
  <c r="E104" i="9" s="1"/>
  <c r="F55" i="7"/>
  <c r="F213" i="7"/>
  <c r="AF131" i="2"/>
  <c r="AG131" i="2" s="1"/>
  <c r="AD131" i="2"/>
  <c r="AD130" i="2"/>
  <c r="AF767" i="2" l="1"/>
  <c r="AG768" i="2"/>
  <c r="F106" i="9"/>
  <c r="J503" i="7"/>
  <c r="K503" i="7" s="1"/>
  <c r="F503" i="7"/>
  <c r="AF920" i="2"/>
  <c r="AD920" i="2"/>
  <c r="AD919" i="2" s="1"/>
  <c r="AD918" i="2" s="1"/>
  <c r="AD917" i="2" s="1"/>
  <c r="F105" i="9" l="1"/>
  <c r="G106" i="9"/>
  <c r="AF919" i="2"/>
  <c r="AG920" i="2"/>
  <c r="AF766" i="2"/>
  <c r="AG767" i="2"/>
  <c r="F502" i="7"/>
  <c r="F501" i="7" s="1"/>
  <c r="F500" i="7" s="1"/>
  <c r="F499" i="7" s="1"/>
  <c r="J502" i="7"/>
  <c r="E690" i="9"/>
  <c r="E689" i="9" s="1"/>
  <c r="E688" i="9" s="1"/>
  <c r="D690" i="9"/>
  <c r="D689" i="9" s="1"/>
  <c r="D688" i="9" s="1"/>
  <c r="F104" i="9" l="1"/>
  <c r="G104" i="9" s="1"/>
  <c r="G105" i="9"/>
  <c r="J501" i="7"/>
  <c r="J500" i="7" s="1"/>
  <c r="K502" i="7"/>
  <c r="AF765" i="2"/>
  <c r="AG766" i="2"/>
  <c r="AF918" i="2"/>
  <c r="AG919" i="2"/>
  <c r="F690" i="9"/>
  <c r="E131" i="9"/>
  <c r="E130" i="9" s="1"/>
  <c r="F131" i="9"/>
  <c r="E128" i="9"/>
  <c r="E127" i="9" s="1"/>
  <c r="F128" i="9"/>
  <c r="G632" i="7"/>
  <c r="G629" i="7"/>
  <c r="G637" i="7"/>
  <c r="G636" i="7" s="1"/>
  <c r="J637" i="7"/>
  <c r="G640" i="7"/>
  <c r="G639" i="7" s="1"/>
  <c r="J640" i="7"/>
  <c r="F638" i="7"/>
  <c r="F637" i="7" s="1"/>
  <c r="F636" i="7" s="1"/>
  <c r="F641" i="7"/>
  <c r="AF987" i="2"/>
  <c r="AF989" i="2"/>
  <c r="AG989" i="2" s="1"/>
  <c r="AD987" i="2"/>
  <c r="AD986" i="2" s="1"/>
  <c r="AD990" i="2"/>
  <c r="AD989" i="2" s="1"/>
  <c r="AF96" i="2"/>
  <c r="F127" i="9" l="1"/>
  <c r="G127" i="9" s="1"/>
  <c r="G128" i="9"/>
  <c r="F689" i="9"/>
  <c r="G690" i="9"/>
  <c r="F130" i="9"/>
  <c r="G130" i="9" s="1"/>
  <c r="G131" i="9"/>
  <c r="J639" i="7"/>
  <c r="K639" i="7" s="1"/>
  <c r="K640" i="7"/>
  <c r="K501" i="7"/>
  <c r="J636" i="7"/>
  <c r="K636" i="7" s="1"/>
  <c r="K637" i="7"/>
  <c r="AF917" i="2"/>
  <c r="AG917" i="2" s="1"/>
  <c r="AG918" i="2"/>
  <c r="H155" i="7"/>
  <c r="H154" i="7" s="1"/>
  <c r="H150" i="7" s="1"/>
  <c r="H149" i="7" s="1"/>
  <c r="AG96" i="2"/>
  <c r="AF986" i="2"/>
  <c r="AG986" i="2" s="1"/>
  <c r="AG987" i="2"/>
  <c r="AF764" i="2"/>
  <c r="AG764" i="2" s="1"/>
  <c r="AG765" i="2"/>
  <c r="F640" i="7"/>
  <c r="F639" i="7" s="1"/>
  <c r="D132" i="9"/>
  <c r="D131" i="9" s="1"/>
  <c r="D130" i="9" s="1"/>
  <c r="D129" i="9"/>
  <c r="D128" i="9" s="1"/>
  <c r="D127" i="9" s="1"/>
  <c r="D287" i="9"/>
  <c r="D286" i="9" s="1"/>
  <c r="D285" i="9" s="1"/>
  <c r="D284" i="9" s="1"/>
  <c r="F688" i="9" l="1"/>
  <c r="G688" i="9" s="1"/>
  <c r="G689" i="9"/>
  <c r="J499" i="7"/>
  <c r="K499" i="7" s="1"/>
  <c r="K500" i="7"/>
  <c r="J283" i="7"/>
  <c r="H282" i="7"/>
  <c r="H281" i="7" s="1"/>
  <c r="H280" i="7" s="1"/>
  <c r="H279" i="7" s="1"/>
  <c r="AG201" i="2"/>
  <c r="AF200" i="2"/>
  <c r="AD200" i="2"/>
  <c r="AD199" i="2" s="1"/>
  <c r="AD198" i="2" s="1"/>
  <c r="F283" i="7"/>
  <c r="F282" i="7" s="1"/>
  <c r="F281" i="7" s="1"/>
  <c r="F280" i="7" s="1"/>
  <c r="F287" i="9" l="1"/>
  <c r="K283" i="7"/>
  <c r="J282" i="7"/>
  <c r="AF199" i="2"/>
  <c r="AG200" i="2"/>
  <c r="E287" i="9"/>
  <c r="E286" i="9" s="1"/>
  <c r="E285" i="9" s="1"/>
  <c r="E284" i="9" s="1"/>
  <c r="F286" i="9" l="1"/>
  <c r="G287" i="9"/>
  <c r="J281" i="7"/>
  <c r="K282" i="7"/>
  <c r="H792" i="7"/>
  <c r="H791" i="7" s="1"/>
  <c r="H790" i="7" s="1"/>
  <c r="H780" i="7" s="1"/>
  <c r="H779" i="7" s="1"/>
  <c r="AG431" i="2"/>
  <c r="H494" i="7"/>
  <c r="H493" i="7" s="1"/>
  <c r="AG342" i="2"/>
  <c r="H366" i="7"/>
  <c r="H365" i="7" s="1"/>
  <c r="H364" i="7" s="1"/>
  <c r="H363" i="7" s="1"/>
  <c r="AG265" i="2"/>
  <c r="AF198" i="2"/>
  <c r="AG198" i="2" s="1"/>
  <c r="AG199" i="2"/>
  <c r="J142" i="7"/>
  <c r="K142" i="7" s="1"/>
  <c r="F142" i="7"/>
  <c r="AF81" i="2"/>
  <c r="AD81" i="2"/>
  <c r="AD80" i="2" s="1"/>
  <c r="AD79" i="2" s="1"/>
  <c r="J822" i="7"/>
  <c r="F822" i="7"/>
  <c r="F821" i="7" s="1"/>
  <c r="F820" i="7" s="1"/>
  <c r="J825" i="7"/>
  <c r="E594" i="9"/>
  <c r="E593" i="9" s="1"/>
  <c r="E592" i="9" s="1"/>
  <c r="F825" i="7"/>
  <c r="D594" i="9" s="1"/>
  <c r="D593" i="9" s="1"/>
  <c r="D592" i="9" s="1"/>
  <c r="AF459" i="2"/>
  <c r="AF462" i="2"/>
  <c r="AD462" i="2"/>
  <c r="AD461" i="2" s="1"/>
  <c r="AD459" i="2"/>
  <c r="AD458" i="2" s="1"/>
  <c r="F285" i="9" l="1"/>
  <c r="G286" i="9"/>
  <c r="F594" i="9"/>
  <c r="K825" i="7"/>
  <c r="J280" i="7"/>
  <c r="K280" i="7" s="1"/>
  <c r="K281" i="7"/>
  <c r="F591" i="9"/>
  <c r="K822" i="7"/>
  <c r="H760" i="7"/>
  <c r="H759" i="7" s="1"/>
  <c r="H758" i="7" s="1"/>
  <c r="H757" i="7" s="1"/>
  <c r="AG399" i="2"/>
  <c r="AF461" i="2"/>
  <c r="AG461" i="2" s="1"/>
  <c r="AG462" i="2"/>
  <c r="AF458" i="2"/>
  <c r="AG458" i="2" s="1"/>
  <c r="AG459" i="2"/>
  <c r="AF80" i="2"/>
  <c r="AG81" i="2"/>
  <c r="F141" i="7"/>
  <c r="F140" i="7" s="1"/>
  <c r="F139" i="7" s="1"/>
  <c r="F138" i="7" s="1"/>
  <c r="F137" i="7" s="1"/>
  <c r="F136" i="7" s="1"/>
  <c r="J141" i="7"/>
  <c r="AD457" i="2"/>
  <c r="AD456" i="2" s="1"/>
  <c r="AD455" i="2" s="1"/>
  <c r="AD454" i="2" s="1"/>
  <c r="AD78" i="2"/>
  <c r="D591" i="9"/>
  <c r="D590" i="9" s="1"/>
  <c r="D589" i="9" s="1"/>
  <c r="F824" i="7"/>
  <c r="F823" i="7" s="1"/>
  <c r="F819" i="7" s="1"/>
  <c r="F818" i="7" s="1"/>
  <c r="F817" i="7" s="1"/>
  <c r="F816" i="7" s="1"/>
  <c r="J824" i="7"/>
  <c r="E591" i="9"/>
  <c r="E590" i="9" s="1"/>
  <c r="E589" i="9" s="1"/>
  <c r="J821" i="7"/>
  <c r="J148" i="7"/>
  <c r="F148" i="7"/>
  <c r="F147" i="7" s="1"/>
  <c r="F146" i="7" s="1"/>
  <c r="F145" i="7" s="1"/>
  <c r="F144" i="7" s="1"/>
  <c r="F143" i="7" s="1"/>
  <c r="F135" i="7" s="1"/>
  <c r="AF87" i="2"/>
  <c r="AD87" i="2"/>
  <c r="AD86" i="2" s="1"/>
  <c r="AD85" i="2" s="1"/>
  <c r="AD84" i="2" s="1"/>
  <c r="AD83" i="2" s="1"/>
  <c r="F284" i="9" l="1"/>
  <c r="G284" i="9" s="1"/>
  <c r="G285" i="9"/>
  <c r="F590" i="9"/>
  <c r="G591" i="9"/>
  <c r="F593" i="9"/>
  <c r="G594" i="9"/>
  <c r="J147" i="7"/>
  <c r="K148" i="7"/>
  <c r="J140" i="7"/>
  <c r="K141" i="7"/>
  <c r="J820" i="7"/>
  <c r="K820" i="7" s="1"/>
  <c r="K821" i="7"/>
  <c r="J823" i="7"/>
  <c r="K823" i="7" s="1"/>
  <c r="K824" i="7"/>
  <c r="AG80" i="2"/>
  <c r="AF79" i="2"/>
  <c r="AF457" i="2"/>
  <c r="AF456" i="2" s="1"/>
  <c r="AF86" i="2"/>
  <c r="AG87" i="2"/>
  <c r="AD77" i="2"/>
  <c r="AD76" i="2" s="1"/>
  <c r="AD75" i="2" s="1"/>
  <c r="E15" i="10"/>
  <c r="D15" i="10"/>
  <c r="F592" i="9" l="1"/>
  <c r="G592" i="9" s="1"/>
  <c r="G593" i="9"/>
  <c r="F589" i="9"/>
  <c r="G589" i="9" s="1"/>
  <c r="G590" i="9"/>
  <c r="J146" i="7"/>
  <c r="K147" i="7"/>
  <c r="J819" i="7"/>
  <c r="J139" i="7"/>
  <c r="K140" i="7"/>
  <c r="AG457" i="2"/>
  <c r="AF85" i="2"/>
  <c r="AG86" i="2"/>
  <c r="AF455" i="2"/>
  <c r="AG456" i="2"/>
  <c r="J145" i="7" l="1"/>
  <c r="K146" i="7"/>
  <c r="J138" i="7"/>
  <c r="K139" i="7"/>
  <c r="J818" i="7"/>
  <c r="K819" i="7"/>
  <c r="AF454" i="2"/>
  <c r="AG454" i="2" s="1"/>
  <c r="AG455" i="2"/>
  <c r="AF84" i="2"/>
  <c r="AG85" i="2"/>
  <c r="AD699" i="2"/>
  <c r="J817" i="7" l="1"/>
  <c r="K818" i="7"/>
  <c r="J144" i="7"/>
  <c r="K145" i="7"/>
  <c r="J137" i="7"/>
  <c r="K138" i="7"/>
  <c r="H620" i="7"/>
  <c r="H619" i="7" s="1"/>
  <c r="AG712" i="2"/>
  <c r="AG84" i="2"/>
  <c r="AF83" i="2"/>
  <c r="AG83" i="2" s="1"/>
  <c r="H607" i="7"/>
  <c r="H606" i="7" s="1"/>
  <c r="AG699" i="2"/>
  <c r="J136" i="7" l="1"/>
  <c r="K136" i="7" s="1"/>
  <c r="K137" i="7"/>
  <c r="J816" i="7"/>
  <c r="K816" i="7" s="1"/>
  <c r="K817" i="7"/>
  <c r="J143" i="7"/>
  <c r="K144" i="7"/>
  <c r="AF78" i="2"/>
  <c r="AG79" i="2"/>
  <c r="H610" i="7"/>
  <c r="H609" i="7" s="1"/>
  <c r="AG702" i="2"/>
  <c r="H574" i="7"/>
  <c r="H573" i="7" s="1"/>
  <c r="AG661" i="2"/>
  <c r="H677" i="7"/>
  <c r="H676" i="7" s="1"/>
  <c r="H675" i="7" s="1"/>
  <c r="H674" i="7" s="1"/>
  <c r="H673" i="7" s="1"/>
  <c r="H666" i="7" s="1"/>
  <c r="AG749" i="2"/>
  <c r="AD416" i="2"/>
  <c r="AD971" i="2"/>
  <c r="F553" i="7" s="1"/>
  <c r="F552" i="7" s="1"/>
  <c r="F551" i="7" s="1"/>
  <c r="F550" i="7" s="1"/>
  <c r="F549" i="7" s="1"/>
  <c r="F548" i="7" s="1"/>
  <c r="F547" i="7" s="1"/>
  <c r="F546" i="7" s="1"/>
  <c r="D38" i="10" s="1"/>
  <c r="G552" i="7"/>
  <c r="G551" i="7" s="1"/>
  <c r="G550" i="7" s="1"/>
  <c r="G549" i="7" s="1"/>
  <c r="G548" i="7" s="1"/>
  <c r="G547" i="7" s="1"/>
  <c r="G546" i="7" s="1"/>
  <c r="G545" i="7" s="1"/>
  <c r="J553" i="7"/>
  <c r="E38" i="10"/>
  <c r="AF970" i="2"/>
  <c r="J135" i="7" l="1"/>
  <c r="K143" i="7"/>
  <c r="F341" i="9"/>
  <c r="K553" i="7"/>
  <c r="AF969" i="2"/>
  <c r="AG969" i="2" s="1"/>
  <c r="AG970" i="2"/>
  <c r="H777" i="7"/>
  <c r="H776" i="7" s="1"/>
  <c r="H766" i="7" s="1"/>
  <c r="H765" i="7" s="1"/>
  <c r="H756" i="7" s="1"/>
  <c r="AG416" i="2"/>
  <c r="AF77" i="2"/>
  <c r="AG78" i="2"/>
  <c r="L766" i="7"/>
  <c r="D341" i="9"/>
  <c r="D340" i="9" s="1"/>
  <c r="D339" i="9" s="1"/>
  <c r="D338" i="9" s="1"/>
  <c r="D337" i="9" s="1"/>
  <c r="D336" i="9" s="1"/>
  <c r="J552" i="7"/>
  <c r="E341" i="9"/>
  <c r="E340" i="9" s="1"/>
  <c r="E339" i="9" s="1"/>
  <c r="E338" i="9" s="1"/>
  <c r="E337" i="9" s="1"/>
  <c r="E336" i="9" s="1"/>
  <c r="AD970" i="2"/>
  <c r="AD969" i="2" s="1"/>
  <c r="AD968" i="2" s="1"/>
  <c r="AD967" i="2" s="1"/>
  <c r="F340" i="9" l="1"/>
  <c r="G341" i="9"/>
  <c r="J551" i="7"/>
  <c r="K552" i="7"/>
  <c r="K135" i="7"/>
  <c r="F15" i="10"/>
  <c r="G15" i="10" s="1"/>
  <c r="L765" i="7"/>
  <c r="M766" i="7"/>
  <c r="AF968" i="2"/>
  <c r="AG968" i="2" s="1"/>
  <c r="AG77" i="2"/>
  <c r="AF76" i="2"/>
  <c r="AG76" i="2" s="1"/>
  <c r="AD966" i="2"/>
  <c r="AD965" i="2" s="1"/>
  <c r="AD964" i="2" s="1"/>
  <c r="AD963" i="2" s="1"/>
  <c r="F339" i="9" l="1"/>
  <c r="G340" i="9"/>
  <c r="L756" i="7"/>
  <c r="M765" i="7"/>
  <c r="J550" i="7"/>
  <c r="K551" i="7"/>
  <c r="AF967" i="2"/>
  <c r="AG967" i="2" s="1"/>
  <c r="AD706" i="2"/>
  <c r="F338" i="9" l="1"/>
  <c r="G339" i="9"/>
  <c r="L755" i="7"/>
  <c r="M755" i="7" s="1"/>
  <c r="M756" i="7"/>
  <c r="J549" i="7"/>
  <c r="K550" i="7"/>
  <c r="AF966" i="2"/>
  <c r="H614" i="7"/>
  <c r="H613" i="7" s="1"/>
  <c r="AG706" i="2"/>
  <c r="AD789" i="2"/>
  <c r="F337" i="9" l="1"/>
  <c r="G338" i="9"/>
  <c r="J548" i="7"/>
  <c r="K549" i="7"/>
  <c r="AG966" i="2"/>
  <c r="AF965" i="2"/>
  <c r="AG531" i="2"/>
  <c r="H728" i="7"/>
  <c r="H727" i="7" s="1"/>
  <c r="H720" i="7" s="1"/>
  <c r="AG789" i="2"/>
  <c r="H37" i="7"/>
  <c r="H36" i="7" s="1"/>
  <c r="H29" i="7" s="1"/>
  <c r="AG541" i="2"/>
  <c r="H539" i="7"/>
  <c r="H538" i="7" s="1"/>
  <c r="H529" i="7" s="1"/>
  <c r="H528" i="7" s="1"/>
  <c r="H527" i="7" s="1"/>
  <c r="H519" i="7" s="1"/>
  <c r="H504" i="7" s="1"/>
  <c r="AG958" i="2"/>
  <c r="H129" i="7"/>
  <c r="H128" i="7" s="1"/>
  <c r="AG1034" i="2"/>
  <c r="H185" i="7"/>
  <c r="H184" i="7" s="1"/>
  <c r="H175" i="7" s="1"/>
  <c r="H174" i="7" s="1"/>
  <c r="H159" i="7" s="1"/>
  <c r="H158" i="7" s="1"/>
  <c r="H157" i="7" s="1"/>
  <c r="AG611" i="2"/>
  <c r="H61" i="7"/>
  <c r="H60" i="7" s="1"/>
  <c r="AG42" i="2"/>
  <c r="H126" i="7"/>
  <c r="H125" i="7" s="1"/>
  <c r="H116" i="7" s="1"/>
  <c r="AG1031" i="2"/>
  <c r="H109" i="7"/>
  <c r="H108" i="7" s="1"/>
  <c r="H99" i="7" s="1"/>
  <c r="H98" i="7" s="1"/>
  <c r="H97" i="7" s="1"/>
  <c r="H96" i="7" s="1"/>
  <c r="AG567" i="2"/>
  <c r="F336" i="9" l="1"/>
  <c r="G336" i="9" s="1"/>
  <c r="G337" i="9"/>
  <c r="J547" i="7"/>
  <c r="K548" i="7"/>
  <c r="H719" i="7"/>
  <c r="H718" i="7" s="1"/>
  <c r="H712" i="7" s="1"/>
  <c r="H51" i="7"/>
  <c r="AF964" i="2"/>
  <c r="AG965" i="2"/>
  <c r="H115" i="7"/>
  <c r="H95" i="7" s="1"/>
  <c r="H278" i="7"/>
  <c r="H277" i="7" s="1"/>
  <c r="H265" i="7" s="1"/>
  <c r="H485" i="7"/>
  <c r="H484" i="7" s="1"/>
  <c r="H483" i="7" s="1"/>
  <c r="AG907" i="2"/>
  <c r="H488" i="7"/>
  <c r="H487" i="7" s="1"/>
  <c r="AG910" i="2"/>
  <c r="H27" i="7"/>
  <c r="H26" i="7"/>
  <c r="H22" i="7" s="1"/>
  <c r="H21" i="7" s="1"/>
  <c r="J479" i="7"/>
  <c r="J643" i="7"/>
  <c r="AG964" i="2" l="1"/>
  <c r="AF963" i="2"/>
  <c r="J478" i="7"/>
  <c r="K479" i="7"/>
  <c r="J642" i="7"/>
  <c r="K642" i="7" s="1"/>
  <c r="K643" i="7"/>
  <c r="J546" i="7"/>
  <c r="K547" i="7"/>
  <c r="H50" i="7"/>
  <c r="J560" i="7"/>
  <c r="K560" i="7" s="1"/>
  <c r="F560" i="7"/>
  <c r="AF349" i="2"/>
  <c r="AD349" i="2"/>
  <c r="AD348" i="2" s="1"/>
  <c r="AD347" i="2" s="1"/>
  <c r="AD346" i="2" s="1"/>
  <c r="AD345" i="2" s="1"/>
  <c r="AD344" i="2" s="1"/>
  <c r="AD343" i="2" s="1"/>
  <c r="F38" i="10" l="1"/>
  <c r="G38" i="10" s="1"/>
  <c r="K546" i="7"/>
  <c r="J477" i="7"/>
  <c r="K477" i="7" s="1"/>
  <c r="K478" i="7"/>
  <c r="H49" i="7"/>
  <c r="AF348" i="2"/>
  <c r="AG349" i="2"/>
  <c r="H48" i="7" l="1"/>
  <c r="H617" i="7"/>
  <c r="H616" i="7" s="1"/>
  <c r="H612" i="7" s="1"/>
  <c r="AG709" i="2"/>
  <c r="AF347" i="2"/>
  <c r="AG348" i="2"/>
  <c r="J431" i="7"/>
  <c r="K431" i="7" s="1"/>
  <c r="G430" i="7"/>
  <c r="H39" i="7" l="1"/>
  <c r="AF346" i="2"/>
  <c r="AG347" i="2"/>
  <c r="J430" i="7"/>
  <c r="K430" i="7" s="1"/>
  <c r="F350" i="9"/>
  <c r="G372" i="7"/>
  <c r="G370" i="7" s="1"/>
  <c r="AD857" i="2"/>
  <c r="AD856" i="2" s="1"/>
  <c r="AD855" i="2" s="1"/>
  <c r="J163" i="7"/>
  <c r="K163" i="7" s="1"/>
  <c r="F163" i="7"/>
  <c r="F349" i="9" l="1"/>
  <c r="AF345" i="2"/>
  <c r="AG346" i="2"/>
  <c r="G371" i="7"/>
  <c r="F373" i="7"/>
  <c r="F907" i="7"/>
  <c r="F906" i="7" s="1"/>
  <c r="J416" i="7"/>
  <c r="E621" i="9"/>
  <c r="E620" i="9" s="1"/>
  <c r="E619" i="9" s="1"/>
  <c r="E618" i="9" s="1"/>
  <c r="F416" i="7"/>
  <c r="D621" i="9" s="1"/>
  <c r="D620" i="9" s="1"/>
  <c r="D619" i="9" s="1"/>
  <c r="D618" i="9" s="1"/>
  <c r="AF152" i="2"/>
  <c r="AD152" i="2"/>
  <c r="AD151" i="2" s="1"/>
  <c r="AD150" i="2" s="1"/>
  <c r="AD149" i="2" s="1"/>
  <c r="AD143" i="2" s="1"/>
  <c r="J486" i="7"/>
  <c r="E597" i="9"/>
  <c r="E596" i="9" s="1"/>
  <c r="E595" i="9" s="1"/>
  <c r="E588" i="9" s="1"/>
  <c r="F486" i="7"/>
  <c r="D597" i="9" s="1"/>
  <c r="D596" i="9" s="1"/>
  <c r="D595" i="9" s="1"/>
  <c r="D588" i="9" s="1"/>
  <c r="AF906" i="2"/>
  <c r="AD906" i="2"/>
  <c r="AD905" i="2" s="1"/>
  <c r="AD904" i="2" s="1"/>
  <c r="J709" i="7"/>
  <c r="D490" i="9"/>
  <c r="D489" i="9" s="1"/>
  <c r="D488" i="9" s="1"/>
  <c r="D487" i="9" s="1"/>
  <c r="J708" i="7" l="1"/>
  <c r="K708" i="7" s="1"/>
  <c r="K709" i="7"/>
  <c r="J485" i="7"/>
  <c r="K486" i="7"/>
  <c r="F621" i="9"/>
  <c r="K416" i="7"/>
  <c r="AF905" i="2"/>
  <c r="AG906" i="2"/>
  <c r="AF151" i="2"/>
  <c r="AG152" i="2"/>
  <c r="AF344" i="2"/>
  <c r="AG345" i="2"/>
  <c r="F905" i="7"/>
  <c r="F904" i="7" s="1"/>
  <c r="F902" i="7"/>
  <c r="F903" i="7"/>
  <c r="F372" i="7"/>
  <c r="F370" i="7" s="1"/>
  <c r="D617" i="9"/>
  <c r="F415" i="7"/>
  <c r="F414" i="7" s="1"/>
  <c r="F413" i="7" s="1"/>
  <c r="J415" i="7"/>
  <c r="F709" i="7"/>
  <c r="F708" i="7" s="1"/>
  <c r="F597" i="9"/>
  <c r="F485" i="7"/>
  <c r="F484" i="7" s="1"/>
  <c r="F483" i="7" s="1"/>
  <c r="E490" i="9"/>
  <c r="E489" i="9" s="1"/>
  <c r="E488" i="9" s="1"/>
  <c r="E487" i="9" s="1"/>
  <c r="F490" i="9"/>
  <c r="F489" i="9" l="1"/>
  <c r="G490" i="9"/>
  <c r="F596" i="9"/>
  <c r="G597" i="9"/>
  <c r="F620" i="9"/>
  <c r="G621" i="9"/>
  <c r="J414" i="7"/>
  <c r="K415" i="7"/>
  <c r="J484" i="7"/>
  <c r="K485" i="7"/>
  <c r="H568" i="7"/>
  <c r="H567" i="7" s="1"/>
  <c r="H566" i="7" s="1"/>
  <c r="H565" i="7" s="1"/>
  <c r="H564" i="7" s="1"/>
  <c r="H563" i="7" s="1"/>
  <c r="H562" i="7" s="1"/>
  <c r="AG655" i="2"/>
  <c r="AF343" i="2"/>
  <c r="AG343" i="2" s="1"/>
  <c r="AG344" i="2"/>
  <c r="AF904" i="2"/>
  <c r="AG904" i="2" s="1"/>
  <c r="AG905" i="2"/>
  <c r="H601" i="7"/>
  <c r="H600" i="7" s="1"/>
  <c r="H599" i="7" s="1"/>
  <c r="H595" i="7" s="1"/>
  <c r="AG693" i="2"/>
  <c r="H491" i="7"/>
  <c r="H490" i="7" s="1"/>
  <c r="AG913" i="2"/>
  <c r="AF150" i="2"/>
  <c r="AG151" i="2"/>
  <c r="F900" i="7"/>
  <c r="F901" i="7"/>
  <c r="F371" i="7"/>
  <c r="AF387" i="2"/>
  <c r="F884" i="7"/>
  <c r="D216" i="9" s="1"/>
  <c r="J885" i="7"/>
  <c r="F885" i="7"/>
  <c r="D217" i="9" s="1"/>
  <c r="J884" i="7"/>
  <c r="AF497" i="2"/>
  <c r="AG497" i="2" s="1"/>
  <c r="AD497" i="2"/>
  <c r="AF495" i="2"/>
  <c r="AG495" i="2" s="1"/>
  <c r="AD495" i="2"/>
  <c r="E215" i="9"/>
  <c r="J299" i="7"/>
  <c r="F299" i="7"/>
  <c r="F298" i="7" s="1"/>
  <c r="J301" i="7"/>
  <c r="F301" i="7"/>
  <c r="F300" i="7" s="1"/>
  <c r="G489" i="9" l="1"/>
  <c r="F488" i="9"/>
  <c r="F619" i="9"/>
  <c r="G620" i="9"/>
  <c r="F595" i="9"/>
  <c r="G596" i="9"/>
  <c r="D215" i="9"/>
  <c r="J298" i="7"/>
  <c r="K298" i="7" s="1"/>
  <c r="K299" i="7"/>
  <c r="F217" i="9"/>
  <c r="G217" i="9" s="1"/>
  <c r="K885" i="7"/>
  <c r="J300" i="7"/>
  <c r="K300" i="7" s="1"/>
  <c r="K301" i="7"/>
  <c r="J483" i="7"/>
  <c r="K483" i="7" s="1"/>
  <c r="K484" i="7"/>
  <c r="F216" i="9"/>
  <c r="G216" i="9" s="1"/>
  <c r="K884" i="7"/>
  <c r="J413" i="7"/>
  <c r="K413" i="7" s="1"/>
  <c r="K414" i="7"/>
  <c r="H594" i="7"/>
  <c r="H593" i="7" s="1"/>
  <c r="H592" i="7" s="1"/>
  <c r="H482" i="7"/>
  <c r="H481" i="7" s="1"/>
  <c r="H462" i="7" s="1"/>
  <c r="AG387" i="2"/>
  <c r="H740" i="7"/>
  <c r="AG386" i="2"/>
  <c r="H744" i="7"/>
  <c r="K744" i="7" s="1"/>
  <c r="AG796" i="2"/>
  <c r="H748" i="7"/>
  <c r="H747" i="7" s="1"/>
  <c r="AG799" i="2"/>
  <c r="AF149" i="2"/>
  <c r="AG150" i="2"/>
  <c r="AD494" i="2"/>
  <c r="AF494" i="2"/>
  <c r="AG494" i="2" s="1"/>
  <c r="J883" i="7"/>
  <c r="K883" i="7" s="1"/>
  <c r="F883" i="7"/>
  <c r="D314" i="9"/>
  <c r="D313" i="9" s="1"/>
  <c r="E312" i="9"/>
  <c r="E311" i="9" s="1"/>
  <c r="F312" i="9"/>
  <c r="F314" i="9"/>
  <c r="E314" i="9"/>
  <c r="E313" i="9" s="1"/>
  <c r="D312" i="9"/>
  <c r="D311" i="9" s="1"/>
  <c r="F297" i="7"/>
  <c r="F296" i="7" s="1"/>
  <c r="F295" i="7" s="1"/>
  <c r="F487" i="9" l="1"/>
  <c r="G487" i="9" s="1"/>
  <c r="G488" i="9"/>
  <c r="F618" i="9"/>
  <c r="G618" i="9" s="1"/>
  <c r="G619" i="9"/>
  <c r="F313" i="9"/>
  <c r="G313" i="9" s="1"/>
  <c r="G314" i="9"/>
  <c r="F311" i="9"/>
  <c r="G311" i="9" s="1"/>
  <c r="G312" i="9"/>
  <c r="F588" i="9"/>
  <c r="G588" i="9" s="1"/>
  <c r="G595" i="9"/>
  <c r="F215" i="9"/>
  <c r="G215" i="9" s="1"/>
  <c r="J297" i="7"/>
  <c r="H442" i="7"/>
  <c r="H403" i="7" s="1"/>
  <c r="H739" i="7"/>
  <c r="H738" i="7" s="1"/>
  <c r="H732" i="7" s="1"/>
  <c r="H731" i="7" s="1"/>
  <c r="H730" i="7" s="1"/>
  <c r="H711" i="7" s="1"/>
  <c r="AF143" i="2"/>
  <c r="AG143" i="2" s="1"/>
  <c r="AG149" i="2"/>
  <c r="E310" i="9"/>
  <c r="E309" i="9" s="1"/>
  <c r="E308" i="9" s="1"/>
  <c r="D310" i="9"/>
  <c r="D309" i="9" s="1"/>
  <c r="D308" i="9" s="1"/>
  <c r="F310" i="9" l="1"/>
  <c r="F309" i="9" s="1"/>
  <c r="J296" i="7"/>
  <c r="K297" i="7"/>
  <c r="AF216" i="2"/>
  <c r="AF215" i="2" s="1"/>
  <c r="AD216" i="2"/>
  <c r="AD218" i="2"/>
  <c r="AF218" i="2"/>
  <c r="AG218" i="2" s="1"/>
  <c r="G310" i="9" l="1"/>
  <c r="F308" i="9"/>
  <c r="G308" i="9" s="1"/>
  <c r="G309" i="9"/>
  <c r="J295" i="7"/>
  <c r="K295" i="7" s="1"/>
  <c r="K296" i="7"/>
  <c r="AG216" i="2"/>
  <c r="AD215" i="2"/>
  <c r="AD214" i="2" s="1"/>
  <c r="AD213" i="2" s="1"/>
  <c r="AF214" i="2" l="1"/>
  <c r="AG215" i="2"/>
  <c r="AD129" i="2"/>
  <c r="AF45" i="2"/>
  <c r="AD45" i="2"/>
  <c r="AD44" i="2" s="1"/>
  <c r="AD43" i="2" s="1"/>
  <c r="AF213" i="2" l="1"/>
  <c r="AG213" i="2" s="1"/>
  <c r="AG214" i="2"/>
  <c r="AF44" i="2"/>
  <c r="AG45" i="2"/>
  <c r="G511" i="7"/>
  <c r="J512" i="7"/>
  <c r="F512" i="7"/>
  <c r="D361" i="9" s="1"/>
  <c r="D360" i="9" s="1"/>
  <c r="AF929" i="2"/>
  <c r="AG929" i="2" s="1"/>
  <c r="AD929" i="2"/>
  <c r="E584" i="9"/>
  <c r="E583" i="9" s="1"/>
  <c r="E582" i="9" s="1"/>
  <c r="F584" i="9"/>
  <c r="G479" i="7"/>
  <c r="G478" i="7" s="1"/>
  <c r="G477" i="7" s="1"/>
  <c r="AF900" i="2"/>
  <c r="F480" i="7"/>
  <c r="F583" i="9" l="1"/>
  <c r="G584" i="9"/>
  <c r="F479" i="7"/>
  <c r="F478" i="7" s="1"/>
  <c r="F477" i="7" s="1"/>
  <c r="D585" i="9"/>
  <c r="F361" i="9"/>
  <c r="K512" i="7"/>
  <c r="AF43" i="2"/>
  <c r="AG43" i="2" s="1"/>
  <c r="AG44" i="2"/>
  <c r="AF899" i="2"/>
  <c r="AG900" i="2"/>
  <c r="H561" i="7"/>
  <c r="F511" i="7"/>
  <c r="AD900" i="2"/>
  <c r="AD899" i="2" s="1"/>
  <c r="AD898" i="2" s="1"/>
  <c r="E361" i="9"/>
  <c r="E360" i="9" s="1"/>
  <c r="J511" i="7"/>
  <c r="K511" i="7" s="1"/>
  <c r="G643" i="7"/>
  <c r="G642" i="7" s="1"/>
  <c r="F360" i="9" l="1"/>
  <c r="G360" i="9" s="1"/>
  <c r="G361" i="9"/>
  <c r="F582" i="9"/>
  <c r="G582" i="9" s="1"/>
  <c r="G583" i="9"/>
  <c r="AG899" i="2"/>
  <c r="AF898" i="2"/>
  <c r="J784" i="7"/>
  <c r="K784" i="7" s="1"/>
  <c r="F784" i="7"/>
  <c r="J786" i="7"/>
  <c r="K786" i="7" s="1"/>
  <c r="F786" i="7"/>
  <c r="J789" i="7"/>
  <c r="K789" i="7" s="1"/>
  <c r="F789" i="7"/>
  <c r="AF426" i="2"/>
  <c r="AD426" i="2"/>
  <c r="AD425" i="2" s="1"/>
  <c r="AF423" i="2"/>
  <c r="AG423" i="2" s="1"/>
  <c r="AF421" i="2"/>
  <c r="AG421" i="2" s="1"/>
  <c r="AD421" i="2"/>
  <c r="J524" i="7"/>
  <c r="K524" i="7" s="1"/>
  <c r="F524" i="7"/>
  <c r="G524" i="7" s="1"/>
  <c r="G523" i="7" s="1"/>
  <c r="J526" i="7"/>
  <c r="F526" i="7"/>
  <c r="F525" i="7" s="1"/>
  <c r="AF943" i="2"/>
  <c r="AG943" i="2" s="1"/>
  <c r="AD943" i="2"/>
  <c r="AF941" i="2"/>
  <c r="AG941" i="2" s="1"/>
  <c r="AD941" i="2"/>
  <c r="G435" i="7"/>
  <c r="G434" i="7" s="1"/>
  <c r="G433" i="7" s="1"/>
  <c r="G432" i="7" s="1"/>
  <c r="J436" i="7"/>
  <c r="K436" i="7" s="1"/>
  <c r="F436" i="7"/>
  <c r="D355" i="9" s="1"/>
  <c r="D354" i="9" s="1"/>
  <c r="D353" i="9" s="1"/>
  <c r="D352" i="9" s="1"/>
  <c r="G429" i="7"/>
  <c r="AD881" i="2"/>
  <c r="F431" i="7" s="1"/>
  <c r="D350" i="9" s="1"/>
  <c r="D349" i="9" s="1"/>
  <c r="J235" i="7"/>
  <c r="E549" i="9"/>
  <c r="F235" i="7"/>
  <c r="D549" i="9" s="1"/>
  <c r="E438" i="9"/>
  <c r="E437" i="9" s="1"/>
  <c r="J194" i="7"/>
  <c r="F194" i="7"/>
  <c r="J196" i="7"/>
  <c r="F196" i="7"/>
  <c r="D438" i="9" s="1"/>
  <c r="D437" i="9" s="1"/>
  <c r="J66" i="7"/>
  <c r="F66" i="7"/>
  <c r="D463" i="9" s="1"/>
  <c r="F438" i="9" l="1"/>
  <c r="K196" i="7"/>
  <c r="L526" i="7"/>
  <c r="F611" i="9" s="1"/>
  <c r="K526" i="7"/>
  <c r="F463" i="9"/>
  <c r="G463" i="9" s="1"/>
  <c r="K66" i="7"/>
  <c r="F436" i="9"/>
  <c r="K194" i="7"/>
  <c r="J234" i="7"/>
  <c r="K235" i="7"/>
  <c r="L524" i="7"/>
  <c r="AF425" i="2"/>
  <c r="AG425" i="2" s="1"/>
  <c r="AG426" i="2"/>
  <c r="E436" i="9"/>
  <c r="E435" i="9" s="1"/>
  <c r="E434" i="9" s="1"/>
  <c r="F193" i="7"/>
  <c r="D436" i="9"/>
  <c r="D435" i="9" s="1"/>
  <c r="D434" i="9" s="1"/>
  <c r="F65" i="7"/>
  <c r="F64" i="7" s="1"/>
  <c r="F63" i="7" s="1"/>
  <c r="E355" i="9"/>
  <c r="E354" i="9" s="1"/>
  <c r="E353" i="9" s="1"/>
  <c r="E352" i="9" s="1"/>
  <c r="F355" i="9"/>
  <c r="J435" i="7"/>
  <c r="J65" i="7"/>
  <c r="AD420" i="2"/>
  <c r="AD419" i="2" s="1"/>
  <c r="G428" i="7"/>
  <c r="G424" i="7" s="1"/>
  <c r="AF940" i="2"/>
  <c r="AF420" i="2"/>
  <c r="J523" i="7"/>
  <c r="K523" i="7" s="1"/>
  <c r="F523" i="7"/>
  <c r="F522" i="7" s="1"/>
  <c r="D611" i="9"/>
  <c r="D610" i="9" s="1"/>
  <c r="E611" i="9"/>
  <c r="E610" i="9" s="1"/>
  <c r="D609" i="9"/>
  <c r="D608" i="9" s="1"/>
  <c r="AD940" i="2"/>
  <c r="AD939" i="2" s="1"/>
  <c r="AD938" i="2" s="1"/>
  <c r="E609" i="9"/>
  <c r="E608" i="9" s="1"/>
  <c r="G526" i="7"/>
  <c r="G525" i="7" s="1"/>
  <c r="G522" i="7" s="1"/>
  <c r="J525" i="7"/>
  <c r="K525" i="7" s="1"/>
  <c r="F435" i="7"/>
  <c r="F434" i="7" s="1"/>
  <c r="F433" i="7" s="1"/>
  <c r="F432" i="7" s="1"/>
  <c r="F549" i="9"/>
  <c r="F234" i="7"/>
  <c r="F233" i="7" s="1"/>
  <c r="F232" i="7" s="1"/>
  <c r="F231" i="7" s="1"/>
  <c r="F225" i="7" s="1"/>
  <c r="J193" i="7"/>
  <c r="K193" i="7" s="1"/>
  <c r="J195" i="7"/>
  <c r="K195" i="7" s="1"/>
  <c r="F195" i="7"/>
  <c r="E548" i="9"/>
  <c r="E547" i="9" s="1"/>
  <c r="E546" i="9" s="1"/>
  <c r="E545" i="9" s="1"/>
  <c r="D548" i="9"/>
  <c r="D547" i="9" s="1"/>
  <c r="D546" i="9" s="1"/>
  <c r="D545" i="9" s="1"/>
  <c r="A791" i="7"/>
  <c r="A792" i="7"/>
  <c r="A793" i="7"/>
  <c r="A794" i="7"/>
  <c r="A795" i="7"/>
  <c r="A796" i="7"/>
  <c r="F548" i="9" l="1"/>
  <c r="G549" i="9"/>
  <c r="F354" i="9"/>
  <c r="G355" i="9"/>
  <c r="F435" i="9"/>
  <c r="G436" i="9"/>
  <c r="F610" i="9"/>
  <c r="G610" i="9" s="1"/>
  <c r="G611" i="9"/>
  <c r="F437" i="9"/>
  <c r="G437" i="9" s="1"/>
  <c r="G438" i="9"/>
  <c r="J64" i="7"/>
  <c r="K65" i="7"/>
  <c r="L523" i="7"/>
  <c r="M524" i="7"/>
  <c r="L525" i="7"/>
  <c r="M525" i="7" s="1"/>
  <c r="M526" i="7"/>
  <c r="J434" i="7"/>
  <c r="K435" i="7"/>
  <c r="J233" i="7"/>
  <c r="K234" i="7"/>
  <c r="F609" i="9"/>
  <c r="AF939" i="2"/>
  <c r="AG940" i="2"/>
  <c r="H755" i="7"/>
  <c r="H754" i="7" s="1"/>
  <c r="AF419" i="2"/>
  <c r="AG419" i="2" s="1"/>
  <c r="AG420" i="2"/>
  <c r="F192" i="7"/>
  <c r="F521" i="7"/>
  <c r="F520" i="7" s="1"/>
  <c r="G521" i="7"/>
  <c r="G520" i="7" s="1"/>
  <c r="J192" i="7"/>
  <c r="K192" i="7" s="1"/>
  <c r="J522" i="7"/>
  <c r="K522" i="7" s="1"/>
  <c r="D607" i="9"/>
  <c r="E607" i="9"/>
  <c r="J629" i="7"/>
  <c r="J632" i="7"/>
  <c r="E123" i="9"/>
  <c r="G631" i="7"/>
  <c r="G630" i="7" s="1"/>
  <c r="G628" i="7"/>
  <c r="G627" i="7" s="1"/>
  <c r="F135" i="9"/>
  <c r="E135" i="9"/>
  <c r="E155" i="9"/>
  <c r="E154" i="9" s="1"/>
  <c r="E153" i="9" s="1"/>
  <c r="G135" i="9" l="1"/>
  <c r="F353" i="9"/>
  <c r="G354" i="9"/>
  <c r="F608" i="9"/>
  <c r="G609" i="9"/>
  <c r="F434" i="9"/>
  <c r="G434" i="9" s="1"/>
  <c r="G435" i="9"/>
  <c r="F547" i="9"/>
  <c r="G548" i="9"/>
  <c r="J232" i="7"/>
  <c r="K233" i="7"/>
  <c r="J63" i="7"/>
  <c r="K63" i="7" s="1"/>
  <c r="K64" i="7"/>
  <c r="J628" i="7"/>
  <c r="F120" i="9"/>
  <c r="G120" i="9" s="1"/>
  <c r="K629" i="7"/>
  <c r="J433" i="7"/>
  <c r="K434" i="7"/>
  <c r="L522" i="7"/>
  <c r="M523" i="7"/>
  <c r="J631" i="7"/>
  <c r="F123" i="9"/>
  <c r="G123" i="9" s="1"/>
  <c r="K632" i="7"/>
  <c r="AF938" i="2"/>
  <c r="AG938" i="2" s="1"/>
  <c r="AG939" i="2"/>
  <c r="G626" i="7"/>
  <c r="G423" i="7"/>
  <c r="G422" i="7" s="1"/>
  <c r="G421" i="7" s="1"/>
  <c r="J521" i="7"/>
  <c r="G716" i="7"/>
  <c r="G715" i="7" s="1"/>
  <c r="G714" i="7" s="1"/>
  <c r="G713" i="7" s="1"/>
  <c r="G712" i="7" s="1"/>
  <c r="J717" i="7"/>
  <c r="AF776" i="2"/>
  <c r="AG776" i="2" s="1"/>
  <c r="F717" i="7"/>
  <c r="D156" i="9" s="1"/>
  <c r="D155" i="9" s="1"/>
  <c r="D154" i="9" s="1"/>
  <c r="D153" i="9" s="1"/>
  <c r="J654" i="7"/>
  <c r="G653" i="7"/>
  <c r="G652" i="7" s="1"/>
  <c r="G651" i="7" s="1"/>
  <c r="G650" i="7" s="1"/>
  <c r="G649" i="7" s="1"/>
  <c r="AF730" i="2"/>
  <c r="F654" i="7"/>
  <c r="D224" i="9" s="1"/>
  <c r="D223" i="9" s="1"/>
  <c r="D222" i="9" s="1"/>
  <c r="D221" i="9" s="1"/>
  <c r="F546" i="9" l="1"/>
  <c r="G547" i="9"/>
  <c r="F607" i="9"/>
  <c r="G607" i="9" s="1"/>
  <c r="G608" i="9"/>
  <c r="F352" i="9"/>
  <c r="G352" i="9" s="1"/>
  <c r="G353" i="9"/>
  <c r="J520" i="7"/>
  <c r="K520" i="7" s="1"/>
  <c r="K521" i="7"/>
  <c r="J630" i="7"/>
  <c r="K630" i="7" s="1"/>
  <c r="K631" i="7"/>
  <c r="J432" i="7"/>
  <c r="K432" i="7" s="1"/>
  <c r="K433" i="7"/>
  <c r="F156" i="9"/>
  <c r="K717" i="7"/>
  <c r="L521" i="7"/>
  <c r="M522" i="7"/>
  <c r="J627" i="7"/>
  <c r="K628" i="7"/>
  <c r="K232" i="7"/>
  <c r="J231" i="7"/>
  <c r="J653" i="7"/>
  <c r="F224" i="9"/>
  <c r="G224" i="9" s="1"/>
  <c r="K654" i="7"/>
  <c r="AF729" i="2"/>
  <c r="AG730" i="2"/>
  <c r="AF775" i="2"/>
  <c r="AD776" i="2"/>
  <c r="AD775" i="2" s="1"/>
  <c r="AD774" i="2" s="1"/>
  <c r="F716" i="7"/>
  <c r="F715" i="7" s="1"/>
  <c r="F714" i="7" s="1"/>
  <c r="F713" i="7" s="1"/>
  <c r="J716" i="7"/>
  <c r="F653" i="7"/>
  <c r="F652" i="7" s="1"/>
  <c r="F651" i="7" s="1"/>
  <c r="F650" i="7" s="1"/>
  <c r="F649" i="7" s="1"/>
  <c r="AD730" i="2"/>
  <c r="AD729" i="2" s="1"/>
  <c r="AD728" i="2" s="1"/>
  <c r="AD727" i="2" s="1"/>
  <c r="AD726" i="2" s="1"/>
  <c r="F155" i="9" l="1"/>
  <c r="G156" i="9"/>
  <c r="F545" i="9"/>
  <c r="G545" i="9" s="1"/>
  <c r="G546" i="9"/>
  <c r="L520" i="7"/>
  <c r="M521" i="7"/>
  <c r="J715" i="7"/>
  <c r="K716" i="7"/>
  <c r="K627" i="7"/>
  <c r="J626" i="7"/>
  <c r="K626" i="7" s="1"/>
  <c r="J225" i="7"/>
  <c r="K225" i="7" s="1"/>
  <c r="K231" i="7"/>
  <c r="J652" i="7"/>
  <c r="K653" i="7"/>
  <c r="AF774" i="2"/>
  <c r="AG775" i="2"/>
  <c r="AD773" i="2"/>
  <c r="AF728" i="2"/>
  <c r="AG729" i="2"/>
  <c r="F154" i="9" l="1"/>
  <c r="G155" i="9"/>
  <c r="J714" i="7"/>
  <c r="K715" i="7"/>
  <c r="L519" i="7"/>
  <c r="M519" i="7" s="1"/>
  <c r="M520" i="7"/>
  <c r="J651" i="7"/>
  <c r="K652" i="7"/>
  <c r="AF727" i="2"/>
  <c r="AG728" i="2"/>
  <c r="AF773" i="2"/>
  <c r="AG773" i="2" s="1"/>
  <c r="AG774" i="2"/>
  <c r="F348" i="9"/>
  <c r="F430" i="7"/>
  <c r="D348" i="9" s="1"/>
  <c r="D347" i="9" s="1"/>
  <c r="D343" i="9" s="1"/>
  <c r="AF880" i="2"/>
  <c r="AF874" i="2" s="1"/>
  <c r="AD880" i="2"/>
  <c r="AD874" i="2" s="1"/>
  <c r="F347" i="9" l="1"/>
  <c r="F153" i="9"/>
  <c r="G153" i="9" s="1"/>
  <c r="G154" i="9"/>
  <c r="J713" i="7"/>
  <c r="K713" i="7" s="1"/>
  <c r="K714" i="7"/>
  <c r="J650" i="7"/>
  <c r="K651" i="7"/>
  <c r="AG727" i="2"/>
  <c r="AF726" i="2"/>
  <c r="AG726" i="2" s="1"/>
  <c r="AG874" i="2"/>
  <c r="AG880" i="2"/>
  <c r="D342" i="9"/>
  <c r="AF879" i="2"/>
  <c r="AD879" i="2"/>
  <c r="AD878" i="2" s="1"/>
  <c r="L868" i="7"/>
  <c r="M868" i="7" s="1"/>
  <c r="F343" i="9" l="1"/>
  <c r="J649" i="7"/>
  <c r="K649" i="7" s="1"/>
  <c r="K650" i="7"/>
  <c r="AF878" i="2"/>
  <c r="AG878" i="2" s="1"/>
  <c r="AG879" i="2"/>
  <c r="E350" i="9"/>
  <c r="E349" i="9" l="1"/>
  <c r="G349" i="9" s="1"/>
  <c r="G350" i="9"/>
  <c r="D616" i="9"/>
  <c r="D615" i="9" s="1"/>
  <c r="E348" i="9" l="1"/>
  <c r="E347" i="9" s="1"/>
  <c r="AF711" i="2"/>
  <c r="AF708" i="2"/>
  <c r="G348" i="9" l="1"/>
  <c r="E343" i="9"/>
  <c r="G343" i="9" s="1"/>
  <c r="G347" i="9"/>
  <c r="H361" i="7"/>
  <c r="H360" i="7" s="1"/>
  <c r="H353" i="7" s="1"/>
  <c r="H352" i="7" s="1"/>
  <c r="H351" i="7" s="1"/>
  <c r="AG852" i="2"/>
  <c r="H849" i="7"/>
  <c r="H848" i="7" s="1"/>
  <c r="H847" i="7" s="1"/>
  <c r="H846" i="7" s="1"/>
  <c r="H845" i="7" s="1"/>
  <c r="AG1009" i="2"/>
  <c r="AF707" i="2"/>
  <c r="AG707" i="2" s="1"/>
  <c r="AG708" i="2"/>
  <c r="AF710" i="2"/>
  <c r="AG710" i="2" s="1"/>
  <c r="AG711" i="2"/>
  <c r="F629" i="7"/>
  <c r="H826" i="7" l="1"/>
  <c r="H834" i="7"/>
  <c r="D120" i="9"/>
  <c r="D119" i="9" s="1"/>
  <c r="D118" i="9" s="1"/>
  <c r="F628" i="7"/>
  <c r="F627" i="7" s="1"/>
  <c r="AD1009" i="2"/>
  <c r="F644" i="7"/>
  <c r="D135" i="9" s="1"/>
  <c r="F632" i="7"/>
  <c r="F643" i="7" l="1"/>
  <c r="F642" i="7" s="1"/>
  <c r="D134" i="9"/>
  <c r="D133" i="9" s="1"/>
  <c r="F631" i="7"/>
  <c r="F630" i="7" s="1"/>
  <c r="D123" i="9"/>
  <c r="D122" i="9" s="1"/>
  <c r="D121" i="9" s="1"/>
  <c r="AD709" i="2"/>
  <c r="F626" i="7" l="1"/>
  <c r="D117" i="9"/>
  <c r="F238" i="7"/>
  <c r="F237" i="7" s="1"/>
  <c r="J238" i="7"/>
  <c r="J833" i="7"/>
  <c r="K833" i="7" s="1"/>
  <c r="F833" i="7"/>
  <c r="J237" i="7" l="1"/>
  <c r="K237" i="7" s="1"/>
  <c r="K238" i="7"/>
  <c r="D685" i="9"/>
  <c r="D684" i="9" s="1"/>
  <c r="F686" i="9"/>
  <c r="E686" i="9"/>
  <c r="E685" i="9" s="1"/>
  <c r="E684" i="9" s="1"/>
  <c r="AD896" i="2"/>
  <c r="AF896" i="2"/>
  <c r="AG896" i="2" s="1"/>
  <c r="F685" i="9" l="1"/>
  <c r="G686" i="9"/>
  <c r="AD303" i="2"/>
  <c r="AD302" i="2" s="1"/>
  <c r="AD301" i="2" s="1"/>
  <c r="AF303" i="2"/>
  <c r="F684" i="9" l="1"/>
  <c r="G684" i="9" s="1"/>
  <c r="G685" i="9"/>
  <c r="AF302" i="2"/>
  <c r="AG303" i="2"/>
  <c r="AF993" i="2"/>
  <c r="AD993" i="2"/>
  <c r="AD992" i="2" s="1"/>
  <c r="AF981" i="2"/>
  <c r="AD981" i="2"/>
  <c r="AD980" i="2" s="1"/>
  <c r="AF978" i="2"/>
  <c r="AD978" i="2"/>
  <c r="AD977" i="2" s="1"/>
  <c r="AF977" i="2" l="1"/>
  <c r="AG977" i="2" s="1"/>
  <c r="AG978" i="2"/>
  <c r="AF992" i="2"/>
  <c r="AG992" i="2" s="1"/>
  <c r="AG993" i="2"/>
  <c r="AF980" i="2"/>
  <c r="AG980" i="2" s="1"/>
  <c r="AG981" i="2"/>
  <c r="AF301" i="2"/>
  <c r="AG301" i="2" s="1"/>
  <c r="AG302" i="2"/>
  <c r="AD976" i="2"/>
  <c r="AD975" i="2" s="1"/>
  <c r="AD974" i="2" s="1"/>
  <c r="AD973" i="2" s="1"/>
  <c r="AF976" i="2" l="1"/>
  <c r="AG976" i="2" s="1"/>
  <c r="J294" i="7"/>
  <c r="F294" i="7"/>
  <c r="AF211" i="2"/>
  <c r="AG211" i="2" s="1"/>
  <c r="AD211" i="2"/>
  <c r="J293" i="7" l="1"/>
  <c r="K293" i="7" s="1"/>
  <c r="F307" i="9"/>
  <c r="G307" i="9" s="1"/>
  <c r="K294" i="7"/>
  <c r="AF975" i="2"/>
  <c r="AG963" i="2" s="1"/>
  <c r="D307" i="9"/>
  <c r="D306" i="9" s="1"/>
  <c r="F293" i="7"/>
  <c r="E306" i="9"/>
  <c r="F306" i="9" l="1"/>
  <c r="G306" i="9"/>
  <c r="AG975" i="2"/>
  <c r="AF974" i="2"/>
  <c r="G744" i="7"/>
  <c r="L744" i="7"/>
  <c r="M744" i="7" s="1"/>
  <c r="AF973" i="2" l="1"/>
  <c r="AG973" i="2" s="1"/>
  <c r="AG974" i="2"/>
  <c r="E134" i="9"/>
  <c r="E133" i="9" s="1"/>
  <c r="F134" i="9" l="1"/>
  <c r="F133" i="9" l="1"/>
  <c r="G133" i="9" s="1"/>
  <c r="G134" i="9"/>
  <c r="J510" i="7"/>
  <c r="E359" i="9"/>
  <c r="E358" i="9" s="1"/>
  <c r="F510" i="7"/>
  <c r="AF927" i="2"/>
  <c r="AG927" i="2" s="1"/>
  <c r="AD927" i="2"/>
  <c r="L510" i="7" l="1"/>
  <c r="K510" i="7"/>
  <c r="AD926" i="2"/>
  <c r="AD925" i="2" s="1"/>
  <c r="AD924" i="2" s="1"/>
  <c r="AD923" i="2" s="1"/>
  <c r="E357" i="9"/>
  <c r="E356" i="9" s="1"/>
  <c r="E351" i="9" s="1"/>
  <c r="AF926" i="2"/>
  <c r="F359" i="9"/>
  <c r="G510" i="7"/>
  <c r="G509" i="7" s="1"/>
  <c r="D359" i="9"/>
  <c r="D358" i="9" s="1"/>
  <c r="J509" i="7"/>
  <c r="K509" i="7" s="1"/>
  <c r="F509" i="7"/>
  <c r="F358" i="9" l="1"/>
  <c r="G358" i="9" s="1"/>
  <c r="G359" i="9"/>
  <c r="L509" i="7"/>
  <c r="M510" i="7"/>
  <c r="AF925" i="2"/>
  <c r="AG926" i="2"/>
  <c r="J508" i="7"/>
  <c r="D357" i="9"/>
  <c r="D356" i="9" s="1"/>
  <c r="D351" i="9" s="1"/>
  <c r="F508" i="7"/>
  <c r="F507" i="7" s="1"/>
  <c r="F506" i="7" s="1"/>
  <c r="F505" i="7" s="1"/>
  <c r="G508" i="7"/>
  <c r="G507" i="7" s="1"/>
  <c r="G506" i="7" s="1"/>
  <c r="G505" i="7" s="1"/>
  <c r="F357" i="9" l="1"/>
  <c r="L508" i="7"/>
  <c r="M509" i="7"/>
  <c r="J507" i="7"/>
  <c r="K508" i="7"/>
  <c r="AF924" i="2"/>
  <c r="AG925" i="2"/>
  <c r="AD666" i="2"/>
  <c r="AD721" i="2"/>
  <c r="F356" i="9" l="1"/>
  <c r="G357" i="9"/>
  <c r="L507" i="7"/>
  <c r="M508" i="7"/>
  <c r="J506" i="7"/>
  <c r="K507" i="7"/>
  <c r="AF923" i="2"/>
  <c r="AG923" i="2" s="1"/>
  <c r="AG924" i="2"/>
  <c r="F351" i="9" l="1"/>
  <c r="G351" i="9" s="1"/>
  <c r="G356" i="9"/>
  <c r="L506" i="7"/>
  <c r="M507" i="7"/>
  <c r="J505" i="7"/>
  <c r="K505" i="7" s="1"/>
  <c r="K506" i="7"/>
  <c r="J90" i="7"/>
  <c r="E566" i="9"/>
  <c r="F90" i="7"/>
  <c r="G90" i="7" s="1"/>
  <c r="G89" i="7" s="1"/>
  <c r="AF69" i="2"/>
  <c r="AG69" i="2" s="1"/>
  <c r="AD69" i="2"/>
  <c r="AF67" i="2"/>
  <c r="AG67" i="2" s="1"/>
  <c r="J89" i="7" l="1"/>
  <c r="K89" i="7" s="1"/>
  <c r="K90" i="7"/>
  <c r="L90" i="7"/>
  <c r="M90" i="7" s="1"/>
  <c r="L505" i="7"/>
  <c r="M506" i="7"/>
  <c r="E564" i="9"/>
  <c r="AD67" i="2"/>
  <c r="AD66" i="2" s="1"/>
  <c r="AD65" i="2" s="1"/>
  <c r="AD64" i="2" s="1"/>
  <c r="AD63" i="2" s="1"/>
  <c r="F88" i="7"/>
  <c r="D566" i="9"/>
  <c r="F566" i="9"/>
  <c r="G566" i="9" s="1"/>
  <c r="F89" i="7"/>
  <c r="AF66" i="2"/>
  <c r="AF665" i="2"/>
  <c r="AD665" i="2"/>
  <c r="AD664" i="2" s="1"/>
  <c r="AD663" i="2" s="1"/>
  <c r="AD662" i="2" s="1"/>
  <c r="AD720" i="2"/>
  <c r="AD719" i="2" s="1"/>
  <c r="AD718" i="2" s="1"/>
  <c r="AD717" i="2" s="1"/>
  <c r="AF720" i="2"/>
  <c r="L504" i="7" l="1"/>
  <c r="M505" i="7"/>
  <c r="L89" i="7"/>
  <c r="M89" i="7" s="1"/>
  <c r="AF719" i="2"/>
  <c r="AG719" i="2" s="1"/>
  <c r="AG720" i="2"/>
  <c r="AF664" i="2"/>
  <c r="AG665" i="2"/>
  <c r="AF65" i="2"/>
  <c r="AG66" i="2"/>
  <c r="E223" i="9"/>
  <c r="E222" i="9" s="1"/>
  <c r="E221" i="9" s="1"/>
  <c r="F87" i="7"/>
  <c r="F86" i="7" s="1"/>
  <c r="F85" i="7" s="1"/>
  <c r="F84" i="7" s="1"/>
  <c r="F83" i="7" s="1"/>
  <c r="D564" i="9"/>
  <c r="G88" i="7"/>
  <c r="G87" i="7" s="1"/>
  <c r="G86" i="7" s="1"/>
  <c r="G85" i="7" s="1"/>
  <c r="G84" i="7" s="1"/>
  <c r="G83" i="7" s="1"/>
  <c r="L403" i="7" l="1"/>
  <c r="M403" i="7" s="1"/>
  <c r="M504" i="7"/>
  <c r="L86" i="7"/>
  <c r="M86" i="7" s="1"/>
  <c r="F223" i="9"/>
  <c r="AF718" i="2"/>
  <c r="AG718" i="2" s="1"/>
  <c r="AF663" i="2"/>
  <c r="AG664" i="2"/>
  <c r="AF64" i="2"/>
  <c r="AG65" i="2"/>
  <c r="J87" i="7"/>
  <c r="F564" i="9"/>
  <c r="G564" i="9" s="1"/>
  <c r="F222" i="9" l="1"/>
  <c r="G223" i="9"/>
  <c r="L85" i="7"/>
  <c r="M85" i="7" s="1"/>
  <c r="J86" i="7"/>
  <c r="K87" i="7"/>
  <c r="AF717" i="2"/>
  <c r="AG717" i="2" s="1"/>
  <c r="AF662" i="2"/>
  <c r="AG662" i="2" s="1"/>
  <c r="AG663" i="2"/>
  <c r="AF63" i="2"/>
  <c r="AG63" i="2" s="1"/>
  <c r="AG64" i="2"/>
  <c r="J245" i="7"/>
  <c r="E702" i="9"/>
  <c r="E701" i="9" s="1"/>
  <c r="E700" i="9" s="1"/>
  <c r="E687" i="9" s="1"/>
  <c r="F246" i="7"/>
  <c r="D702" i="9" s="1"/>
  <c r="D701" i="9" s="1"/>
  <c r="D700" i="9" s="1"/>
  <c r="D687" i="9" s="1"/>
  <c r="AF163" i="2"/>
  <c r="AG163" i="2" s="1"/>
  <c r="AD163" i="2"/>
  <c r="F221" i="9" l="1"/>
  <c r="G221" i="9" s="1"/>
  <c r="G222" i="9"/>
  <c r="L84" i="7"/>
  <c r="M84" i="7" s="1"/>
  <c r="J85" i="7"/>
  <c r="K86" i="7"/>
  <c r="J244" i="7"/>
  <c r="K245" i="7"/>
  <c r="AF162" i="2"/>
  <c r="AD162" i="2"/>
  <c r="AD158" i="2" s="1"/>
  <c r="F702" i="9"/>
  <c r="F245" i="7"/>
  <c r="F244" i="7" s="1"/>
  <c r="F240" i="7" s="1"/>
  <c r="F236" i="7" s="1"/>
  <c r="F701" i="9" l="1"/>
  <c r="G702" i="9"/>
  <c r="J240" i="7"/>
  <c r="K244" i="7"/>
  <c r="L83" i="7"/>
  <c r="M83" i="7" s="1"/>
  <c r="J84" i="7"/>
  <c r="K85" i="7"/>
  <c r="AF158" i="2"/>
  <c r="AG158" i="2" s="1"/>
  <c r="AG162" i="2"/>
  <c r="E613" i="9"/>
  <c r="E612" i="9" s="1"/>
  <c r="D613" i="9"/>
  <c r="D612" i="9" s="1"/>
  <c r="F700" i="9" l="1"/>
  <c r="G701" i="9"/>
  <c r="J83" i="7"/>
  <c r="K83" i="7" s="1"/>
  <c r="K84" i="7"/>
  <c r="J236" i="7"/>
  <c r="K236" i="7" s="1"/>
  <c r="K240" i="7"/>
  <c r="L39" i="7"/>
  <c r="M39" i="7" s="1"/>
  <c r="F613" i="9"/>
  <c r="F612" i="9" l="1"/>
  <c r="G612" i="9" s="1"/>
  <c r="G613" i="9"/>
  <c r="F687" i="9"/>
  <c r="G687" i="9" s="1"/>
  <c r="G700" i="9"/>
  <c r="G519" i="7"/>
  <c r="G504" i="7" s="1"/>
  <c r="G376" i="7" l="1"/>
  <c r="G375" i="7" s="1"/>
  <c r="G374" i="7" s="1"/>
  <c r="G369" i="7" s="1"/>
  <c r="G368" i="7" s="1"/>
  <c r="J377" i="7"/>
  <c r="F377" i="7"/>
  <c r="D629" i="9" s="1"/>
  <c r="D628" i="9" s="1"/>
  <c r="D627" i="9" s="1"/>
  <c r="D626" i="9" s="1"/>
  <c r="AD861" i="2"/>
  <c r="AD860" i="2" s="1"/>
  <c r="AF861" i="2"/>
  <c r="J376" i="7" l="1"/>
  <c r="F629" i="9"/>
  <c r="K377" i="7"/>
  <c r="AF860" i="2"/>
  <c r="AG861" i="2"/>
  <c r="AD859" i="2"/>
  <c r="AD854" i="2"/>
  <c r="AD853" i="2" s="1"/>
  <c r="F376" i="7"/>
  <c r="F375" i="7" s="1"/>
  <c r="F374" i="7" s="1"/>
  <c r="E629" i="9"/>
  <c r="E628" i="9" s="1"/>
  <c r="E627" i="9" s="1"/>
  <c r="E626" i="9" s="1"/>
  <c r="F628" i="9" l="1"/>
  <c r="G629" i="9"/>
  <c r="J375" i="7"/>
  <c r="K376" i="7"/>
  <c r="AF859" i="2"/>
  <c r="AG859" i="2" s="1"/>
  <c r="AG860" i="2"/>
  <c r="F882" i="7"/>
  <c r="D214" i="9" s="1"/>
  <c r="F627" i="9" l="1"/>
  <c r="G628" i="9"/>
  <c r="J374" i="7"/>
  <c r="K374" i="7" s="1"/>
  <c r="K375" i="7"/>
  <c r="D335" i="9"/>
  <c r="AF873" i="2"/>
  <c r="AG873" i="2" s="1"/>
  <c r="F626" i="9" l="1"/>
  <c r="G626" i="9" s="1"/>
  <c r="G627" i="9"/>
  <c r="E342" i="9"/>
  <c r="E335" i="9" s="1"/>
  <c r="F342" i="9"/>
  <c r="AD873" i="2"/>
  <c r="F335" i="9" l="1"/>
  <c r="G335" i="9" s="1"/>
  <c r="G342" i="9"/>
  <c r="F369" i="7"/>
  <c r="F368" i="7" s="1"/>
  <c r="D251" i="9" l="1"/>
  <c r="D39" i="10"/>
  <c r="D37" i="10" s="1"/>
  <c r="F251" i="9"/>
  <c r="F39" i="10"/>
  <c r="E39" i="10"/>
  <c r="E37" i="10" s="1"/>
  <c r="F559" i="7"/>
  <c r="F558" i="7" s="1"/>
  <c r="F557" i="7" s="1"/>
  <c r="F556" i="7" s="1"/>
  <c r="F555" i="7" s="1"/>
  <c r="F554" i="7" s="1"/>
  <c r="F545" i="7" s="1"/>
  <c r="E251" i="9"/>
  <c r="J559" i="7"/>
  <c r="F367" i="9"/>
  <c r="F37" i="10" l="1"/>
  <c r="G37" i="10" s="1"/>
  <c r="G39" i="10"/>
  <c r="G251" i="9"/>
  <c r="J558" i="7"/>
  <c r="K559" i="7"/>
  <c r="D144" i="9"/>
  <c r="J557" i="7" l="1"/>
  <c r="K558" i="7"/>
  <c r="J678" i="7"/>
  <c r="K678" i="7" s="1"/>
  <c r="J556" i="7" l="1"/>
  <c r="K557" i="7"/>
  <c r="J857" i="7"/>
  <c r="K857" i="7" s="1"/>
  <c r="F857" i="7"/>
  <c r="J844" i="7"/>
  <c r="E99" i="9"/>
  <c r="E98" i="9" s="1"/>
  <c r="F844" i="7"/>
  <c r="D99" i="9" s="1"/>
  <c r="D98" i="9" s="1"/>
  <c r="J842" i="7"/>
  <c r="E97" i="9"/>
  <c r="E96" i="9" s="1"/>
  <c r="F842" i="7"/>
  <c r="D97" i="9" s="1"/>
  <c r="D96" i="9" s="1"/>
  <c r="J840" i="7"/>
  <c r="E95" i="9"/>
  <c r="E94" i="9" s="1"/>
  <c r="F840" i="7"/>
  <c r="D95" i="9" s="1"/>
  <c r="D94" i="9" s="1"/>
  <c r="J729" i="7"/>
  <c r="K729" i="7" s="1"/>
  <c r="F729" i="7"/>
  <c r="J726" i="7"/>
  <c r="K726" i="7" s="1"/>
  <c r="F726" i="7"/>
  <c r="J723" i="7"/>
  <c r="K723" i="7" s="1"/>
  <c r="F723" i="7"/>
  <c r="J692" i="7"/>
  <c r="K692" i="7" s="1"/>
  <c r="F692" i="7"/>
  <c r="J690" i="7"/>
  <c r="K690" i="7" s="1"/>
  <c r="F690" i="7"/>
  <c r="J689" i="7"/>
  <c r="K689" i="7" s="1"/>
  <c r="F689" i="7"/>
  <c r="J688" i="7"/>
  <c r="K688" i="7" s="1"/>
  <c r="F688" i="7"/>
  <c r="J684" i="7"/>
  <c r="K684" i="7" s="1"/>
  <c r="E144" i="9"/>
  <c r="F684" i="7"/>
  <c r="F678" i="7"/>
  <c r="J625" i="7"/>
  <c r="K625" i="7" s="1"/>
  <c r="F625" i="7"/>
  <c r="J615" i="7"/>
  <c r="K615" i="7" s="1"/>
  <c r="F615" i="7"/>
  <c r="J611" i="7"/>
  <c r="K611" i="7" s="1"/>
  <c r="F611" i="7"/>
  <c r="J608" i="7"/>
  <c r="K608" i="7" s="1"/>
  <c r="F608" i="7"/>
  <c r="J605" i="7"/>
  <c r="K605" i="7" s="1"/>
  <c r="F605" i="7"/>
  <c r="J602" i="7"/>
  <c r="K602" i="7" s="1"/>
  <c r="F602" i="7"/>
  <c r="J575" i="7"/>
  <c r="F575" i="7"/>
  <c r="J572" i="7"/>
  <c r="K572" i="7" s="1"/>
  <c r="F572" i="7"/>
  <c r="J569" i="7"/>
  <c r="K569" i="7" s="1"/>
  <c r="F569" i="7"/>
  <c r="J540" i="7"/>
  <c r="K540" i="7" s="1"/>
  <c r="F540" i="7"/>
  <c r="J537" i="7"/>
  <c r="K537" i="7" s="1"/>
  <c r="F537" i="7"/>
  <c r="J532" i="7"/>
  <c r="K532" i="7" s="1"/>
  <c r="F532" i="7"/>
  <c r="J492" i="7"/>
  <c r="K492" i="7" s="1"/>
  <c r="F492" i="7"/>
  <c r="J489" i="7"/>
  <c r="K489" i="7" s="1"/>
  <c r="E600" i="9"/>
  <c r="F489" i="7"/>
  <c r="D600" i="9" s="1"/>
  <c r="D584" i="9"/>
  <c r="D583" i="9" s="1"/>
  <c r="D582" i="9" s="1"/>
  <c r="J476" i="7"/>
  <c r="K476" i="7" s="1"/>
  <c r="J473" i="7"/>
  <c r="K473" i="7" s="1"/>
  <c r="J470" i="7"/>
  <c r="K470" i="7" s="1"/>
  <c r="J362" i="7"/>
  <c r="K362" i="7" s="1"/>
  <c r="J359" i="7"/>
  <c r="K359" i="7" s="1"/>
  <c r="F359" i="7"/>
  <c r="J356" i="7"/>
  <c r="K356" i="7" s="1"/>
  <c r="F356" i="7"/>
  <c r="J331" i="7"/>
  <c r="F331" i="7"/>
  <c r="J199" i="7"/>
  <c r="K199" i="7" s="1"/>
  <c r="F199" i="7"/>
  <c r="J186" i="7"/>
  <c r="K186" i="7" s="1"/>
  <c r="F186" i="7"/>
  <c r="J183" i="7"/>
  <c r="K183" i="7" s="1"/>
  <c r="F183" i="7"/>
  <c r="J178" i="7"/>
  <c r="K178" i="7" s="1"/>
  <c r="F178" i="7"/>
  <c r="J173" i="7"/>
  <c r="F173" i="7"/>
  <c r="J171" i="7"/>
  <c r="F171" i="7"/>
  <c r="AF104" i="2"/>
  <c r="AG104" i="2" s="1"/>
  <c r="AD104" i="2"/>
  <c r="J130" i="7"/>
  <c r="K130" i="7" s="1"/>
  <c r="F130" i="7"/>
  <c r="D676" i="9" s="1"/>
  <c r="D675" i="9" s="1"/>
  <c r="D674" i="9" s="1"/>
  <c r="J127" i="7"/>
  <c r="E462" i="9"/>
  <c r="E461" i="9" s="1"/>
  <c r="E460" i="9" s="1"/>
  <c r="F127" i="7"/>
  <c r="J124" i="7"/>
  <c r="K124" i="7" s="1"/>
  <c r="F124" i="7"/>
  <c r="D670" i="9" s="1"/>
  <c r="D669" i="9" s="1"/>
  <c r="D668" i="9" s="1"/>
  <c r="J119" i="7"/>
  <c r="K119" i="7" s="1"/>
  <c r="F119" i="7"/>
  <c r="D665" i="9" s="1"/>
  <c r="D664" i="9" s="1"/>
  <c r="D663" i="9" s="1"/>
  <c r="J110" i="7"/>
  <c r="K110" i="7" s="1"/>
  <c r="F110" i="7"/>
  <c r="J107" i="7"/>
  <c r="K107" i="7" s="1"/>
  <c r="F107" i="7"/>
  <c r="J102" i="7"/>
  <c r="K102" i="7" s="1"/>
  <c r="F102" i="7"/>
  <c r="J38" i="7"/>
  <c r="K38" i="7" s="1"/>
  <c r="F38" i="7"/>
  <c r="D661" i="9" s="1"/>
  <c r="D660" i="9" s="1"/>
  <c r="D659" i="9" s="1"/>
  <c r="J35" i="7"/>
  <c r="K35" i="7" s="1"/>
  <c r="F35" i="7"/>
  <c r="D658" i="9" s="1"/>
  <c r="D657" i="9" s="1"/>
  <c r="D656" i="9" s="1"/>
  <c r="J32" i="7"/>
  <c r="K32" i="7" s="1"/>
  <c r="F32" i="7"/>
  <c r="D655" i="9" s="1"/>
  <c r="D654" i="9" s="1"/>
  <c r="D653" i="9" s="1"/>
  <c r="D652" i="9" s="1"/>
  <c r="J28" i="7"/>
  <c r="K28" i="7" s="1"/>
  <c r="F28" i="7"/>
  <c r="D651" i="9" s="1"/>
  <c r="D650" i="9" s="1"/>
  <c r="D649" i="9" s="1"/>
  <c r="J25" i="7"/>
  <c r="K25" i="7" s="1"/>
  <c r="F25" i="7"/>
  <c r="D648" i="9" s="1"/>
  <c r="D647" i="9" s="1"/>
  <c r="D646" i="9" s="1"/>
  <c r="F553" i="9"/>
  <c r="E553" i="9"/>
  <c r="E552" i="9" s="1"/>
  <c r="E551" i="9" s="1"/>
  <c r="E550" i="9" s="1"/>
  <c r="D553" i="9"/>
  <c r="D552" i="9" s="1"/>
  <c r="D551" i="9" s="1"/>
  <c r="D550" i="9" s="1"/>
  <c r="D462" i="9" l="1"/>
  <c r="D461" i="9" s="1"/>
  <c r="D460" i="9" s="1"/>
  <c r="D673" i="9"/>
  <c r="D672" i="9" s="1"/>
  <c r="D671" i="9" s="1"/>
  <c r="D662" i="9" s="1"/>
  <c r="D645" i="9" s="1"/>
  <c r="F552" i="9"/>
  <c r="G553" i="9"/>
  <c r="F95" i="9"/>
  <c r="K840" i="7"/>
  <c r="L331" i="7"/>
  <c r="K331" i="7"/>
  <c r="F462" i="9"/>
  <c r="K127" i="7"/>
  <c r="L173" i="7"/>
  <c r="K173" i="7"/>
  <c r="F92" i="9"/>
  <c r="K575" i="7"/>
  <c r="F97" i="9"/>
  <c r="K842" i="7"/>
  <c r="L171" i="7"/>
  <c r="K171" i="7"/>
  <c r="F99" i="9"/>
  <c r="K844" i="7"/>
  <c r="J555" i="7"/>
  <c r="K556" i="7"/>
  <c r="E93" i="9"/>
  <c r="D93" i="9"/>
  <c r="E92" i="9"/>
  <c r="D92" i="9"/>
  <c r="G92" i="9" l="1"/>
  <c r="F461" i="9"/>
  <c r="G462" i="9"/>
  <c r="F94" i="9"/>
  <c r="G94" i="9" s="1"/>
  <c r="G95" i="9"/>
  <c r="F98" i="9"/>
  <c r="G98" i="9" s="1"/>
  <c r="G99" i="9"/>
  <c r="F96" i="9"/>
  <c r="G96" i="9" s="1"/>
  <c r="G97" i="9"/>
  <c r="F551" i="9"/>
  <c r="G552" i="9"/>
  <c r="L172" i="7"/>
  <c r="M172" i="7" s="1"/>
  <c r="M173" i="7"/>
  <c r="L330" i="7"/>
  <c r="M331" i="7"/>
  <c r="J554" i="7"/>
  <c r="K555" i="7"/>
  <c r="L170" i="7"/>
  <c r="M171" i="7"/>
  <c r="AD758" i="2"/>
  <c r="F93" i="9" l="1"/>
  <c r="G93" i="9" s="1"/>
  <c r="F550" i="9"/>
  <c r="G550" i="9" s="1"/>
  <c r="G551" i="9"/>
  <c r="F460" i="9"/>
  <c r="G460" i="9" s="1"/>
  <c r="G461" i="9"/>
  <c r="M170" i="7"/>
  <c r="L169" i="7"/>
  <c r="L327" i="7"/>
  <c r="M330" i="7"/>
  <c r="J545" i="7"/>
  <c r="K545" i="7" s="1"/>
  <c r="K554" i="7"/>
  <c r="AF1033" i="2"/>
  <c r="AD1033" i="2"/>
  <c r="AD1032" i="2" s="1"/>
  <c r="AF912" i="2"/>
  <c r="AD912" i="2"/>
  <c r="AD911" i="2" s="1"/>
  <c r="AF758" i="2"/>
  <c r="AF1041" i="2"/>
  <c r="AD1041" i="2"/>
  <c r="AD1040" i="2" s="1"/>
  <c r="AD1039" i="2" s="1"/>
  <c r="AD1038" i="2" s="1"/>
  <c r="AD1037" i="2" s="1"/>
  <c r="AD1036" i="2" s="1"/>
  <c r="AD1035" i="2" s="1"/>
  <c r="AF1030" i="2"/>
  <c r="AD1030" i="2"/>
  <c r="AD1029" i="2" s="1"/>
  <c r="AF1027" i="2"/>
  <c r="AD1027" i="2"/>
  <c r="AD1026" i="2" s="1"/>
  <c r="AF1022" i="2"/>
  <c r="AD1022" i="2"/>
  <c r="AD1021" i="2" s="1"/>
  <c r="AF1001" i="2"/>
  <c r="AD1001" i="2"/>
  <c r="AD1000" i="2" s="1"/>
  <c r="AD999" i="2" s="1"/>
  <c r="AD998" i="2" s="1"/>
  <c r="AD997" i="2" s="1"/>
  <c r="AD996" i="2" s="1"/>
  <c r="AD972" i="2"/>
  <c r="AF957" i="2"/>
  <c r="AD957" i="2"/>
  <c r="AD956" i="2" s="1"/>
  <c r="AF954" i="2"/>
  <c r="AD954" i="2"/>
  <c r="AD953" i="2" s="1"/>
  <c r="AF949" i="2"/>
  <c r="AF948" i="2" s="1"/>
  <c r="AD949" i="2"/>
  <c r="AD948" i="2" s="1"/>
  <c r="AF909" i="2"/>
  <c r="AD909" i="2"/>
  <c r="AD908" i="2" s="1"/>
  <c r="AF895" i="2"/>
  <c r="AG895" i="2" s="1"/>
  <c r="AF893" i="2"/>
  <c r="AF890" i="2"/>
  <c r="AF869" i="2"/>
  <c r="AD869" i="2"/>
  <c r="AD868" i="2" s="1"/>
  <c r="AD867" i="2" s="1"/>
  <c r="AD866" i="2" s="1"/>
  <c r="AD865" i="2" s="1"/>
  <c r="AD864" i="2" s="1"/>
  <c r="AF851" i="2"/>
  <c r="AF848" i="2"/>
  <c r="AD848" i="2"/>
  <c r="AD847" i="2" s="1"/>
  <c r="AF845" i="2"/>
  <c r="AD845" i="2"/>
  <c r="AD844" i="2" s="1"/>
  <c r="AF838" i="2"/>
  <c r="AG838" i="2" s="1"/>
  <c r="AD838" i="2"/>
  <c r="AF821" i="2"/>
  <c r="AG821" i="2" s="1"/>
  <c r="AD821" i="2"/>
  <c r="AF819" i="2"/>
  <c r="AG819" i="2" s="1"/>
  <c r="AD819" i="2"/>
  <c r="AF817" i="2"/>
  <c r="AG817" i="2" s="1"/>
  <c r="AD817" i="2"/>
  <c r="AF810" i="2"/>
  <c r="AD810" i="2"/>
  <c r="AD809" i="2" s="1"/>
  <c r="AD808" i="2" s="1"/>
  <c r="AD807" i="2" s="1"/>
  <c r="AD806" i="2" s="1"/>
  <c r="AD805" i="2" s="1"/>
  <c r="AF795" i="2"/>
  <c r="AD795" i="2"/>
  <c r="AD794" i="2" s="1"/>
  <c r="AF788" i="2"/>
  <c r="AD788" i="2"/>
  <c r="AD787" i="2" s="1"/>
  <c r="AF785" i="2"/>
  <c r="AD785" i="2"/>
  <c r="AD784" i="2" s="1"/>
  <c r="AF782" i="2"/>
  <c r="AD782" i="2"/>
  <c r="AD781" i="2" s="1"/>
  <c r="AF762" i="2"/>
  <c r="AG762" i="2" s="1"/>
  <c r="AD762" i="2"/>
  <c r="AD757" i="2" s="1"/>
  <c r="AD756" i="2" s="1"/>
  <c r="AF754" i="2"/>
  <c r="AD754" i="2"/>
  <c r="AD753" i="2" s="1"/>
  <c r="AD752" i="2" s="1"/>
  <c r="AF748" i="2"/>
  <c r="AD748" i="2"/>
  <c r="AD747" i="2" s="1"/>
  <c r="AD746" i="2" s="1"/>
  <c r="AD745" i="2" s="1"/>
  <c r="AF715" i="2"/>
  <c r="AD715" i="2"/>
  <c r="AD714" i="2" s="1"/>
  <c r="AD713" i="2" s="1"/>
  <c r="AF705" i="2"/>
  <c r="AD705" i="2"/>
  <c r="AD704" i="2" s="1"/>
  <c r="AF701" i="2"/>
  <c r="AD701" i="2"/>
  <c r="AD700" i="2" s="1"/>
  <c r="AF698" i="2"/>
  <c r="AD698" i="2"/>
  <c r="AD697" i="2" s="1"/>
  <c r="AF695" i="2"/>
  <c r="AD695" i="2"/>
  <c r="AD694" i="2" s="1"/>
  <c r="AF692" i="2"/>
  <c r="AD692" i="2"/>
  <c r="AD691" i="2" s="1"/>
  <c r="AF660" i="2"/>
  <c r="AD660" i="2"/>
  <c r="AD659" i="2" s="1"/>
  <c r="AF657" i="2"/>
  <c r="AD657" i="2"/>
  <c r="AD656" i="2" s="1"/>
  <c r="AF654" i="2"/>
  <c r="AD654" i="2"/>
  <c r="AD653" i="2" s="1"/>
  <c r="AF645" i="2"/>
  <c r="AD645" i="2"/>
  <c r="AD644" i="2" s="1"/>
  <c r="AD643" i="2" s="1"/>
  <c r="AD642" i="2" s="1"/>
  <c r="AD641" i="2" s="1"/>
  <c r="AD640" i="2" s="1"/>
  <c r="AD639" i="2" s="1"/>
  <c r="AF636" i="2"/>
  <c r="AF633" i="2" s="1"/>
  <c r="AD636" i="2"/>
  <c r="AD633" i="2" s="1"/>
  <c r="AF627" i="2"/>
  <c r="AD627" i="2"/>
  <c r="AD626" i="2" s="1"/>
  <c r="AD625" i="2" s="1"/>
  <c r="AD624" i="2" s="1"/>
  <c r="AD623" i="2" s="1"/>
  <c r="AD622" i="2" s="1"/>
  <c r="AF610" i="2"/>
  <c r="AG610" i="2" s="1"/>
  <c r="AD610" i="2"/>
  <c r="AB610" i="2"/>
  <c r="AB609" i="2" s="1"/>
  <c r="AF609" i="2"/>
  <c r="AG609" i="2" s="1"/>
  <c r="AD609" i="2"/>
  <c r="AF607" i="2"/>
  <c r="AG607" i="2" s="1"/>
  <c r="AD607" i="2"/>
  <c r="AB607" i="2"/>
  <c r="AB606" i="2" s="1"/>
  <c r="AF606" i="2"/>
  <c r="AG606" i="2" s="1"/>
  <c r="AD606" i="2"/>
  <c r="AF602" i="2"/>
  <c r="AD602" i="2"/>
  <c r="AD601" i="2" s="1"/>
  <c r="AF597" i="2"/>
  <c r="AG597" i="2" s="1"/>
  <c r="AD597" i="2"/>
  <c r="AF595" i="2"/>
  <c r="AG595" i="2" s="1"/>
  <c r="AD595" i="2"/>
  <c r="AF591" i="2"/>
  <c r="AD591" i="2"/>
  <c r="AD590" i="2" s="1"/>
  <c r="AD589" i="2" s="1"/>
  <c r="L326" i="7" l="1"/>
  <c r="M327" i="7"/>
  <c r="L168" i="7"/>
  <c r="M169" i="7"/>
  <c r="AF847" i="2"/>
  <c r="AG847" i="2" s="1"/>
  <c r="AG848" i="2"/>
  <c r="AF631" i="2"/>
  <c r="AG636" i="2"/>
  <c r="AF659" i="2"/>
  <c r="AG659" i="2" s="1"/>
  <c r="AG660" i="2"/>
  <c r="AF700" i="2"/>
  <c r="AG700" i="2" s="1"/>
  <c r="AG701" i="2"/>
  <c r="AF747" i="2"/>
  <c r="AG748" i="2"/>
  <c r="AF781" i="2"/>
  <c r="AG781" i="2" s="1"/>
  <c r="AG782" i="2"/>
  <c r="AF794" i="2"/>
  <c r="AG794" i="2" s="1"/>
  <c r="AG795" i="2"/>
  <c r="AF850" i="2"/>
  <c r="AG850" i="2" s="1"/>
  <c r="AG851" i="2"/>
  <c r="AF892" i="2"/>
  <c r="AG892" i="2" s="1"/>
  <c r="AG893" i="2"/>
  <c r="AF908" i="2"/>
  <c r="AG908" i="2" s="1"/>
  <c r="AG909" i="2"/>
  <c r="AF953" i="2"/>
  <c r="AG953" i="2" s="1"/>
  <c r="AG954" i="2"/>
  <c r="AF911" i="2"/>
  <c r="AG911" i="2" s="1"/>
  <c r="AG912" i="2"/>
  <c r="AF844" i="2"/>
  <c r="AG844" i="2" s="1"/>
  <c r="AG845" i="2"/>
  <c r="AF1000" i="2"/>
  <c r="AG1001" i="2"/>
  <c r="AF1026" i="2"/>
  <c r="AG1026" i="2" s="1"/>
  <c r="AG1027" i="2"/>
  <c r="AF1040" i="2"/>
  <c r="AG1041" i="2"/>
  <c r="AF809" i="2"/>
  <c r="AG810" i="2"/>
  <c r="AF889" i="2"/>
  <c r="AG889" i="2" s="1"/>
  <c r="AG890" i="2"/>
  <c r="AF1021" i="2"/>
  <c r="AG1021" i="2" s="1"/>
  <c r="AG1022" i="2"/>
  <c r="AF1029" i="2"/>
  <c r="AG1029" i="2" s="1"/>
  <c r="AG1030" i="2"/>
  <c r="AF590" i="2"/>
  <c r="AG591" i="2"/>
  <c r="AF653" i="2"/>
  <c r="AG653" i="2" s="1"/>
  <c r="AG654" i="2"/>
  <c r="AF694" i="2"/>
  <c r="AG694" i="2" s="1"/>
  <c r="AG695" i="2"/>
  <c r="AF714" i="2"/>
  <c r="AG715" i="2"/>
  <c r="AF787" i="2"/>
  <c r="AG787" i="2" s="1"/>
  <c r="AG788" i="2"/>
  <c r="AF601" i="2"/>
  <c r="AG601" i="2" s="1"/>
  <c r="AG602" i="2"/>
  <c r="AF626" i="2"/>
  <c r="AG627" i="2"/>
  <c r="AF644" i="2"/>
  <c r="AG645" i="2"/>
  <c r="AF656" i="2"/>
  <c r="AG656" i="2" s="1"/>
  <c r="AG657" i="2"/>
  <c r="AF691" i="2"/>
  <c r="AG691" i="2" s="1"/>
  <c r="AG692" i="2"/>
  <c r="AF697" i="2"/>
  <c r="AG697" i="2" s="1"/>
  <c r="AG698" i="2"/>
  <c r="AF704" i="2"/>
  <c r="AG705" i="2"/>
  <c r="AF753" i="2"/>
  <c r="AG754" i="2"/>
  <c r="AF784" i="2"/>
  <c r="AG784" i="2" s="1"/>
  <c r="AG785" i="2"/>
  <c r="AF868" i="2"/>
  <c r="AG869" i="2"/>
  <c r="AG948" i="2"/>
  <c r="AG949" i="2"/>
  <c r="AF956" i="2"/>
  <c r="AG956" i="2" s="1"/>
  <c r="AG957" i="2"/>
  <c r="AG758" i="2"/>
  <c r="AF1032" i="2"/>
  <c r="AG1032" i="2" s="1"/>
  <c r="AG1033" i="2"/>
  <c r="AD903" i="2"/>
  <c r="AD902" i="2" s="1"/>
  <c r="AD835" i="2"/>
  <c r="AD834" i="2" s="1"/>
  <c r="AD833" i="2" s="1"/>
  <c r="AD832" i="2" s="1"/>
  <c r="AD831" i="2" s="1"/>
  <c r="AF835" i="2"/>
  <c r="AD652" i="2"/>
  <c r="AD651" i="2" s="1"/>
  <c r="AD650" i="2" s="1"/>
  <c r="AD798" i="2"/>
  <c r="AD797" i="2" s="1"/>
  <c r="AD793" i="2" s="1"/>
  <c r="AD792" i="2" s="1"/>
  <c r="F749" i="7"/>
  <c r="AF798" i="2"/>
  <c r="J749" i="7"/>
  <c r="K749" i="7" s="1"/>
  <c r="AD708" i="2"/>
  <c r="AD707" i="2" s="1"/>
  <c r="F618" i="7"/>
  <c r="AD890" i="2"/>
  <c r="AD889" i="2" s="1"/>
  <c r="F470" i="7"/>
  <c r="AD895" i="2"/>
  <c r="F476" i="7"/>
  <c r="AF972" i="2"/>
  <c r="AG972" i="2" s="1"/>
  <c r="J618" i="7"/>
  <c r="K618" i="7" s="1"/>
  <c r="AD893" i="2"/>
  <c r="AD892" i="2" s="1"/>
  <c r="F473" i="7"/>
  <c r="AD1008" i="2"/>
  <c r="AD1007" i="2" s="1"/>
  <c r="AD1006" i="2" s="1"/>
  <c r="AD1005" i="2" s="1"/>
  <c r="AD1004" i="2" s="1"/>
  <c r="AD1003" i="2" s="1"/>
  <c r="AD995" i="2" s="1"/>
  <c r="F850" i="7"/>
  <c r="AF1008" i="2"/>
  <c r="J850" i="7"/>
  <c r="K850" i="7" s="1"/>
  <c r="J621" i="7"/>
  <c r="K621" i="7" s="1"/>
  <c r="AD851" i="2"/>
  <c r="AD850" i="2" s="1"/>
  <c r="AD843" i="2" s="1"/>
  <c r="AD842" i="2" s="1"/>
  <c r="F362" i="7"/>
  <c r="AD711" i="2"/>
  <c r="AD710" i="2" s="1"/>
  <c r="F621" i="7"/>
  <c r="AD1020" i="2"/>
  <c r="AD1019" i="2" s="1"/>
  <c r="AD1012" i="2" s="1"/>
  <c r="AF816" i="2"/>
  <c r="AF594" i="2"/>
  <c r="AD600" i="2"/>
  <c r="AD599" i="2" s="1"/>
  <c r="AD751" i="2"/>
  <c r="AD750" i="2" s="1"/>
  <c r="AD947" i="2"/>
  <c r="AD946" i="2" s="1"/>
  <c r="AD594" i="2"/>
  <c r="AD593" i="2" s="1"/>
  <c r="AF872" i="2"/>
  <c r="AD816" i="2"/>
  <c r="AD815" i="2" s="1"/>
  <c r="AD814" i="2" s="1"/>
  <c r="AD813" i="2" s="1"/>
  <c r="AD812" i="2" s="1"/>
  <c r="AD804" i="2" s="1"/>
  <c r="AD690" i="2"/>
  <c r="AD686" i="2" s="1"/>
  <c r="AD631" i="2"/>
  <c r="AD630" i="2" s="1"/>
  <c r="AD629" i="2" s="1"/>
  <c r="AD621" i="2" s="1"/>
  <c r="AD632" i="2"/>
  <c r="AD780" i="2"/>
  <c r="AF757" i="2"/>
  <c r="AF582" i="2"/>
  <c r="AD582" i="2"/>
  <c r="AD581" i="2" s="1"/>
  <c r="AD580" i="2" s="1"/>
  <c r="AD579" i="2" s="1"/>
  <c r="AD578" i="2" s="1"/>
  <c r="AD577" i="2" s="1"/>
  <c r="AD576" i="2" s="1"/>
  <c r="AF566" i="2"/>
  <c r="AG566" i="2" s="1"/>
  <c r="AD566" i="2"/>
  <c r="AB566" i="2"/>
  <c r="AB565" i="2" s="1"/>
  <c r="AF565" i="2"/>
  <c r="AG565" i="2" s="1"/>
  <c r="AD565" i="2"/>
  <c r="AF563" i="2"/>
  <c r="AG563" i="2" s="1"/>
  <c r="AD563" i="2"/>
  <c r="AB563" i="2"/>
  <c r="AB562" i="2" s="1"/>
  <c r="AF562" i="2"/>
  <c r="AG562" i="2" s="1"/>
  <c r="AD562" i="2"/>
  <c r="AF558" i="2"/>
  <c r="AF557" i="2" s="1"/>
  <c r="AD558" i="2"/>
  <c r="AD557" i="2" s="1"/>
  <c r="AF556" i="2" l="1"/>
  <c r="L159" i="7"/>
  <c r="M168" i="7"/>
  <c r="L325" i="7"/>
  <c r="M326" i="7"/>
  <c r="AD779" i="2"/>
  <c r="AD778" i="2" s="1"/>
  <c r="AD772" i="2" s="1"/>
  <c r="AG753" i="2"/>
  <c r="AF752" i="2"/>
  <c r="AF600" i="2"/>
  <c r="AF599" i="2" s="1"/>
  <c r="AG599" i="2" s="1"/>
  <c r="AF885" i="2"/>
  <c r="AG885" i="2" s="1"/>
  <c r="AF690" i="2"/>
  <c r="AF686" i="2" s="1"/>
  <c r="AF843" i="2"/>
  <c r="AF842" i="2" s="1"/>
  <c r="AF780" i="2"/>
  <c r="AF779" i="2" s="1"/>
  <c r="AF581" i="2"/>
  <c r="AG582" i="2"/>
  <c r="AF871" i="2"/>
  <c r="AG871" i="2" s="1"/>
  <c r="AG872" i="2"/>
  <c r="AF797" i="2"/>
  <c r="AG798" i="2"/>
  <c r="AF756" i="2"/>
  <c r="AG756" i="2" s="1"/>
  <c r="AG757" i="2"/>
  <c r="AF630" i="2"/>
  <c r="AG631" i="2"/>
  <c r="AF834" i="2"/>
  <c r="AG835" i="2"/>
  <c r="AF713" i="2"/>
  <c r="AG713" i="2" s="1"/>
  <c r="AG714" i="2"/>
  <c r="AF1039" i="2"/>
  <c r="AG1040" i="2"/>
  <c r="AF999" i="2"/>
  <c r="AG1000" i="2"/>
  <c r="AF632" i="2"/>
  <c r="AG632" i="2" s="1"/>
  <c r="AG633" i="2"/>
  <c r="AF947" i="2"/>
  <c r="AF593" i="2"/>
  <c r="AG593" i="2" s="1"/>
  <c r="AG594" i="2"/>
  <c r="AF1007" i="2"/>
  <c r="AG1008" i="2"/>
  <c r="AG557" i="2"/>
  <c r="AG558" i="2"/>
  <c r="AF625" i="2"/>
  <c r="AG626" i="2"/>
  <c r="AF815" i="2"/>
  <c r="AG816" i="2"/>
  <c r="AF1020" i="2"/>
  <c r="AF652" i="2"/>
  <c r="AF903" i="2"/>
  <c r="AG903" i="2" s="1"/>
  <c r="AF867" i="2"/>
  <c r="AG868" i="2"/>
  <c r="AF703" i="2"/>
  <c r="AG703" i="2" s="1"/>
  <c r="AG704" i="2"/>
  <c r="AF643" i="2"/>
  <c r="AG644" i="2"/>
  <c r="AF589" i="2"/>
  <c r="AG589" i="2" s="1"/>
  <c r="AG590" i="2"/>
  <c r="AF808" i="2"/>
  <c r="AG809" i="2"/>
  <c r="AF746" i="2"/>
  <c r="AG747" i="2"/>
  <c r="AD885" i="2"/>
  <c r="AD884" i="2" s="1"/>
  <c r="AD883" i="2" s="1"/>
  <c r="AD882" i="2" s="1"/>
  <c r="AD1011" i="2"/>
  <c r="AD1010" i="2" s="1"/>
  <c r="AD703" i="2"/>
  <c r="AD685" i="2" s="1"/>
  <c r="AD791" i="2"/>
  <c r="AD790" i="2" s="1"/>
  <c r="AD744" i="2"/>
  <c r="AD743" i="2" s="1"/>
  <c r="AD945" i="2"/>
  <c r="AD841" i="2"/>
  <c r="AD872" i="2"/>
  <c r="AD871" i="2" s="1"/>
  <c r="AD556" i="2"/>
  <c r="AD555" i="2" s="1"/>
  <c r="AD554" i="2" s="1"/>
  <c r="AD588" i="2"/>
  <c r="L324" i="7" l="1"/>
  <c r="M325" i="7"/>
  <c r="L158" i="7"/>
  <c r="M158" i="7" s="1"/>
  <c r="M159" i="7"/>
  <c r="AD771" i="2"/>
  <c r="AF685" i="2"/>
  <c r="AG686" i="2"/>
  <c r="AG600" i="2"/>
  <c r="AG690" i="2"/>
  <c r="AG843" i="2"/>
  <c r="AG556" i="2"/>
  <c r="AG842" i="2"/>
  <c r="AF841" i="2"/>
  <c r="AG841" i="2" s="1"/>
  <c r="AG780" i="2"/>
  <c r="AF807" i="2"/>
  <c r="AG808" i="2"/>
  <c r="AF642" i="2"/>
  <c r="AG643" i="2"/>
  <c r="AF866" i="2"/>
  <c r="AG867" i="2"/>
  <c r="AF751" i="2"/>
  <c r="AG752" i="2"/>
  <c r="AF588" i="2"/>
  <c r="AF587" i="2" s="1"/>
  <c r="AF586" i="2" s="1"/>
  <c r="AF1019" i="2"/>
  <c r="AG1020" i="2"/>
  <c r="AF946" i="2"/>
  <c r="AG947" i="2"/>
  <c r="AF1038" i="2"/>
  <c r="AG1039" i="2"/>
  <c r="AF833" i="2"/>
  <c r="AG834" i="2"/>
  <c r="AF793" i="2"/>
  <c r="AG797" i="2"/>
  <c r="AF778" i="2"/>
  <c r="AG779" i="2"/>
  <c r="AF745" i="2"/>
  <c r="AG745" i="2" s="1"/>
  <c r="AG746" i="2"/>
  <c r="AF651" i="2"/>
  <c r="AF650" i="2" s="1"/>
  <c r="AG652" i="2"/>
  <c r="AF624" i="2"/>
  <c r="AG625" i="2"/>
  <c r="AF1006" i="2"/>
  <c r="AG1007" i="2"/>
  <c r="AF814" i="2"/>
  <c r="AG815" i="2"/>
  <c r="AF998" i="2"/>
  <c r="AG999" i="2"/>
  <c r="AF629" i="2"/>
  <c r="AG630" i="2"/>
  <c r="AF580" i="2"/>
  <c r="AG581" i="2"/>
  <c r="AD684" i="2"/>
  <c r="AD683" i="2" s="1"/>
  <c r="AD553" i="2"/>
  <c r="AD552" i="2" s="1"/>
  <c r="AD587" i="2"/>
  <c r="AD586" i="2" s="1"/>
  <c r="AD937" i="2"/>
  <c r="AD922" i="2" s="1"/>
  <c r="AD649" i="2"/>
  <c r="AD648" i="2" s="1"/>
  <c r="AD840" i="2"/>
  <c r="AD830" i="2" s="1"/>
  <c r="L323" i="7" l="1"/>
  <c r="M324" i="7"/>
  <c r="AF555" i="2"/>
  <c r="AG555" i="2" s="1"/>
  <c r="AG651" i="2"/>
  <c r="AF832" i="2"/>
  <c r="AG833" i="2"/>
  <c r="AG946" i="2"/>
  <c r="AF945" i="2"/>
  <c r="AF579" i="2"/>
  <c r="AG580" i="2"/>
  <c r="AF806" i="2"/>
  <c r="AG807" i="2"/>
  <c r="AF1005" i="2"/>
  <c r="AG1006" i="2"/>
  <c r="AF623" i="2"/>
  <c r="AG624" i="2"/>
  <c r="AG793" i="2"/>
  <c r="AF792" i="2"/>
  <c r="AF1037" i="2"/>
  <c r="AG1038" i="2"/>
  <c r="AF1012" i="2"/>
  <c r="AG1019" i="2"/>
  <c r="AG898" i="2"/>
  <c r="AF884" i="2"/>
  <c r="AG884" i="2" s="1"/>
  <c r="AF772" i="2"/>
  <c r="AG778" i="2"/>
  <c r="AF997" i="2"/>
  <c r="AG998" i="2"/>
  <c r="AF865" i="2"/>
  <c r="AG866" i="2"/>
  <c r="AG629" i="2"/>
  <c r="AF813" i="2"/>
  <c r="AG814" i="2"/>
  <c r="AG588" i="2"/>
  <c r="AG751" i="2"/>
  <c r="AF750" i="2"/>
  <c r="AF641" i="2"/>
  <c r="AG642" i="2"/>
  <c r="AD551" i="2"/>
  <c r="AD550" i="2" s="1"/>
  <c r="AD585" i="2"/>
  <c r="AD584" i="2" s="1"/>
  <c r="AD647" i="2"/>
  <c r="AD638" i="2" s="1"/>
  <c r="AD863" i="2"/>
  <c r="AD823" i="2" s="1"/>
  <c r="AF548" i="2"/>
  <c r="AD548" i="2"/>
  <c r="AD547" i="2" s="1"/>
  <c r="AD546" i="2" s="1"/>
  <c r="AD545" i="2" s="1"/>
  <c r="AD544" i="2" s="1"/>
  <c r="AF540" i="2"/>
  <c r="AD540" i="2"/>
  <c r="AD539" i="2" s="1"/>
  <c r="AF537" i="2"/>
  <c r="AD537" i="2"/>
  <c r="AD536" i="2" s="1"/>
  <c r="AF534" i="2"/>
  <c r="AD534" i="2"/>
  <c r="AD533" i="2" s="1"/>
  <c r="AF530" i="2"/>
  <c r="AG530" i="2" s="1"/>
  <c r="AD530" i="2"/>
  <c r="AF529" i="2"/>
  <c r="AG529" i="2" s="1"/>
  <c r="AD529" i="2"/>
  <c r="AF527" i="2"/>
  <c r="AD527" i="2"/>
  <c r="AD526" i="2" s="1"/>
  <c r="L322" i="7" l="1"/>
  <c r="M322" i="7" s="1"/>
  <c r="M323" i="7"/>
  <c r="AF554" i="2"/>
  <c r="AF864" i="2"/>
  <c r="AG864" i="2" s="1"/>
  <c r="AG865" i="2"/>
  <c r="AF622" i="2"/>
  <c r="AG623" i="2"/>
  <c r="AF533" i="2"/>
  <c r="AG533" i="2" s="1"/>
  <c r="AG534" i="2"/>
  <c r="AF539" i="2"/>
  <c r="AG539" i="2" s="1"/>
  <c r="AG540" i="2"/>
  <c r="AF805" i="2"/>
  <c r="AG805" i="2" s="1"/>
  <c r="AG806" i="2"/>
  <c r="AF831" i="2"/>
  <c r="AG831" i="2" s="1"/>
  <c r="AG832" i="2"/>
  <c r="AF640" i="2"/>
  <c r="AG641" i="2"/>
  <c r="AG587" i="2"/>
  <c r="AF996" i="2"/>
  <c r="AG996" i="2" s="1"/>
  <c r="AG997" i="2"/>
  <c r="AG772" i="2"/>
  <c r="AG1012" i="2"/>
  <c r="AF1011" i="2"/>
  <c r="AF1004" i="2"/>
  <c r="AG1005" i="2"/>
  <c r="AG945" i="2"/>
  <c r="AF937" i="2"/>
  <c r="AF922" i="2" s="1"/>
  <c r="AF812" i="2"/>
  <c r="AG813" i="2"/>
  <c r="AF1036" i="2"/>
  <c r="AG1037" i="2"/>
  <c r="AF791" i="2"/>
  <c r="AG792" i="2"/>
  <c r="AF578" i="2"/>
  <c r="AG579" i="2"/>
  <c r="AF526" i="2"/>
  <c r="AG526" i="2" s="1"/>
  <c r="AG527" i="2"/>
  <c r="AF536" i="2"/>
  <c r="AG536" i="2" s="1"/>
  <c r="AG537" i="2"/>
  <c r="AF547" i="2"/>
  <c r="AG548" i="2"/>
  <c r="AF744" i="2"/>
  <c r="AG750" i="2"/>
  <c r="AF684" i="2"/>
  <c r="AF683" i="2" s="1"/>
  <c r="AG685" i="2"/>
  <c r="AG650" i="2"/>
  <c r="AF649" i="2"/>
  <c r="AD532" i="2"/>
  <c r="AD525" i="2" s="1"/>
  <c r="AD524" i="2" s="1"/>
  <c r="AD543" i="2"/>
  <c r="AD542" i="2" s="1"/>
  <c r="AG554" i="2" l="1"/>
  <c r="AF553" i="2"/>
  <c r="AG553" i="2"/>
  <c r="AF532" i="2"/>
  <c r="AF525" i="2" s="1"/>
  <c r="AG683" i="2"/>
  <c r="AG684" i="2"/>
  <c r="AG1011" i="2"/>
  <c r="AF648" i="2"/>
  <c r="AG649" i="2"/>
  <c r="AF546" i="2"/>
  <c r="AG547" i="2"/>
  <c r="AF790" i="2"/>
  <c r="AF771" i="2" s="1"/>
  <c r="AF647" i="2" s="1"/>
  <c r="AG791" i="2"/>
  <c r="AF804" i="2"/>
  <c r="AG804" i="2" s="1"/>
  <c r="AG812" i="2"/>
  <c r="AF639" i="2"/>
  <c r="AG639" i="2" s="1"/>
  <c r="AG640" i="2"/>
  <c r="AG622" i="2"/>
  <c r="AF621" i="2"/>
  <c r="AG621" i="2" s="1"/>
  <c r="AF743" i="2"/>
  <c r="AG743" i="2" s="1"/>
  <c r="AG744" i="2"/>
  <c r="AG922" i="2"/>
  <c r="AG937" i="2"/>
  <c r="AF577" i="2"/>
  <c r="AG578" i="2"/>
  <c r="AF1035" i="2"/>
  <c r="AG1035" i="2" s="1"/>
  <c r="AG1036" i="2"/>
  <c r="AF1003" i="2"/>
  <c r="AF995" i="2" s="1"/>
  <c r="AG1004" i="2"/>
  <c r="AG586" i="2"/>
  <c r="AF585" i="2"/>
  <c r="AD523" i="2"/>
  <c r="AD522" i="2" s="1"/>
  <c r="AF552" i="2" l="1"/>
  <c r="AF551" i="2" s="1"/>
  <c r="AG551" i="2" s="1"/>
  <c r="AG525" i="2"/>
  <c r="AF524" i="2"/>
  <c r="AG532" i="2"/>
  <c r="AG790" i="2"/>
  <c r="AG771" i="2"/>
  <c r="AG648" i="2"/>
  <c r="AF584" i="2"/>
  <c r="AG584" i="2" s="1"/>
  <c r="AG585" i="2"/>
  <c r="AG995" i="2"/>
  <c r="AG1003" i="2"/>
  <c r="AF576" i="2"/>
  <c r="AG576" i="2" s="1"/>
  <c r="AG577" i="2"/>
  <c r="AF545" i="2"/>
  <c r="AG546" i="2"/>
  <c r="AF1010" i="2"/>
  <c r="AG1010" i="2" s="1"/>
  <c r="F448" i="7"/>
  <c r="AG552" i="2" l="1"/>
  <c r="AF544" i="2"/>
  <c r="AG545" i="2"/>
  <c r="AF550" i="2"/>
  <c r="AG550" i="2" s="1"/>
  <c r="AF310" i="2"/>
  <c r="AD310" i="2"/>
  <c r="AD309" i="2" s="1"/>
  <c r="AD308" i="2" s="1"/>
  <c r="AD307" i="2" s="1"/>
  <c r="AD306" i="2" s="1"/>
  <c r="AF309" i="2" l="1"/>
  <c r="AG310" i="2"/>
  <c r="AF638" i="2"/>
  <c r="AG638" i="2" s="1"/>
  <c r="AG647" i="2"/>
  <c r="AG544" i="2"/>
  <c r="AF543" i="2"/>
  <c r="AD305" i="2"/>
  <c r="F565" i="9"/>
  <c r="D565" i="9"/>
  <c r="AF542" i="2" l="1"/>
  <c r="AG542" i="2" s="1"/>
  <c r="AG543" i="2"/>
  <c r="AF523" i="2"/>
  <c r="AG524" i="2"/>
  <c r="AF308" i="2"/>
  <c r="AG309" i="2"/>
  <c r="E565" i="9"/>
  <c r="G565" i="9" s="1"/>
  <c r="F676" i="9"/>
  <c r="E676" i="9"/>
  <c r="E675" i="9" s="1"/>
  <c r="E674" i="9" s="1"/>
  <c r="F675" i="9" l="1"/>
  <c r="G676" i="9"/>
  <c r="AF522" i="2"/>
  <c r="AG522" i="2" s="1"/>
  <c r="AG523" i="2"/>
  <c r="AF307" i="2"/>
  <c r="AG308" i="2"/>
  <c r="F129" i="7"/>
  <c r="F128" i="7" s="1"/>
  <c r="J129" i="7"/>
  <c r="D189" i="9"/>
  <c r="D188" i="9" s="1"/>
  <c r="E103" i="9"/>
  <c r="E102" i="9" s="1"/>
  <c r="E101" i="9" s="1"/>
  <c r="E112" i="9"/>
  <c r="E111" i="9" s="1"/>
  <c r="E110" i="9" s="1"/>
  <c r="F103" i="9"/>
  <c r="F677" i="7"/>
  <c r="F676" i="7" s="1"/>
  <c r="F675" i="7" s="1"/>
  <c r="F674" i="7" s="1"/>
  <c r="D89" i="9"/>
  <c r="D88" i="9" s="1"/>
  <c r="D87" i="9" s="1"/>
  <c r="D79" i="9"/>
  <c r="D78" i="9" s="1"/>
  <c r="D77" i="9" s="1"/>
  <c r="D142" i="9"/>
  <c r="D141" i="9" s="1"/>
  <c r="D148" i="9"/>
  <c r="D149" i="9"/>
  <c r="D150" i="9"/>
  <c r="D152" i="9"/>
  <c r="D151" i="9" s="1"/>
  <c r="D162" i="9"/>
  <c r="D161" i="9" s="1"/>
  <c r="D160" i="9" s="1"/>
  <c r="D165" i="9"/>
  <c r="D164" i="9" s="1"/>
  <c r="D163" i="9" s="1"/>
  <c r="D168" i="9"/>
  <c r="D167" i="9" s="1"/>
  <c r="D166" i="9" s="1"/>
  <c r="D599" i="9"/>
  <c r="D598" i="9" s="1"/>
  <c r="F495" i="7"/>
  <c r="D635" i="9"/>
  <c r="D634" i="9" s="1"/>
  <c r="D633" i="9" s="1"/>
  <c r="D640" i="9"/>
  <c r="D639" i="9" s="1"/>
  <c r="D638" i="9" s="1"/>
  <c r="D643" i="9"/>
  <c r="D642" i="9" s="1"/>
  <c r="D641" i="9" s="1"/>
  <c r="D575" i="9"/>
  <c r="D574" i="9" s="1"/>
  <c r="D573" i="9" s="1"/>
  <c r="F384" i="7"/>
  <c r="F392" i="7"/>
  <c r="D544" i="9" s="1"/>
  <c r="D543" i="9" s="1"/>
  <c r="D542" i="9" s="1"/>
  <c r="D541" i="9" s="1"/>
  <c r="F388" i="7"/>
  <c r="F387" i="7" s="1"/>
  <c r="F386" i="7" s="1"/>
  <c r="F385" i="7" s="1"/>
  <c r="F367" i="7"/>
  <c r="D525" i="9" s="1"/>
  <c r="D524" i="9" s="1"/>
  <c r="D523" i="9" s="1"/>
  <c r="D522" i="9" s="1"/>
  <c r="D521" i="9" s="1"/>
  <c r="F345" i="7"/>
  <c r="D506" i="9" s="1"/>
  <c r="D505" i="9" s="1"/>
  <c r="D504" i="9" s="1"/>
  <c r="F349" i="7"/>
  <c r="D509" i="9" s="1"/>
  <c r="D508" i="9" s="1"/>
  <c r="D507" i="9" s="1"/>
  <c r="D517" i="9"/>
  <c r="D516" i="9" s="1"/>
  <c r="D515" i="9" s="1"/>
  <c r="D514" i="9"/>
  <c r="D513" i="9" s="1"/>
  <c r="D512" i="9" s="1"/>
  <c r="F72" i="7"/>
  <c r="D469" i="9" s="1"/>
  <c r="F461" i="7"/>
  <c r="D473" i="9" s="1"/>
  <c r="D484" i="9"/>
  <c r="D483" i="9" s="1"/>
  <c r="D482" i="9" s="1"/>
  <c r="F257" i="7"/>
  <c r="F224" i="7"/>
  <c r="F223" i="7" s="1"/>
  <c r="F222" i="7" s="1"/>
  <c r="F221" i="7" s="1"/>
  <c r="F220" i="7" s="1"/>
  <c r="F219" i="7" s="1"/>
  <c r="D367" i="9"/>
  <c r="D366" i="9" s="1"/>
  <c r="F165" i="7"/>
  <c r="F167" i="7"/>
  <c r="D371" i="9" s="1"/>
  <c r="D370" i="9" s="1"/>
  <c r="F410" i="7"/>
  <c r="D374" i="9" s="1"/>
  <c r="D373" i="9" s="1"/>
  <c r="D372" i="9" s="1"/>
  <c r="F170" i="7"/>
  <c r="D385" i="9"/>
  <c r="D384" i="9" s="1"/>
  <c r="D383" i="9" s="1"/>
  <c r="D390" i="9"/>
  <c r="D389" i="9" s="1"/>
  <c r="D388" i="9" s="1"/>
  <c r="F20" i="7"/>
  <c r="F54" i="7"/>
  <c r="D407" i="9" s="1"/>
  <c r="F59" i="7"/>
  <c r="D412" i="9" s="1"/>
  <c r="D411" i="9" s="1"/>
  <c r="D410" i="9" s="1"/>
  <c r="F62" i="7"/>
  <c r="D415" i="9" s="1"/>
  <c r="D414" i="9" s="1"/>
  <c r="D413" i="9" s="1"/>
  <c r="F264" i="7"/>
  <c r="D430" i="9" s="1"/>
  <c r="D429" i="9" s="1"/>
  <c r="D428" i="9" s="1"/>
  <c r="F191" i="7"/>
  <c r="D433" i="9" s="1"/>
  <c r="D432" i="9" s="1"/>
  <c r="D431" i="9" s="1"/>
  <c r="D441" i="9"/>
  <c r="D440" i="9" s="1"/>
  <c r="D439" i="9" s="1"/>
  <c r="F203" i="7"/>
  <c r="D445" i="9" s="1"/>
  <c r="D444" i="9" s="1"/>
  <c r="F205" i="7"/>
  <c r="D447" i="9" s="1"/>
  <c r="D446" i="9" s="1"/>
  <c r="F339" i="7"/>
  <c r="D459" i="9" s="1"/>
  <c r="D458" i="9" s="1"/>
  <c r="D457" i="9" s="1"/>
  <c r="F210" i="7"/>
  <c r="D452" i="9" s="1"/>
  <c r="D451" i="9" s="1"/>
  <c r="F212" i="7"/>
  <c r="D454" i="9" s="1"/>
  <c r="D453" i="9" s="1"/>
  <c r="D424" i="9"/>
  <c r="D423" i="9" s="1"/>
  <c r="D422" i="9" s="1"/>
  <c r="D427" i="9"/>
  <c r="D426" i="9" s="1"/>
  <c r="D425" i="9" s="1"/>
  <c r="D398" i="9"/>
  <c r="D397" i="9" s="1"/>
  <c r="D396" i="9" s="1"/>
  <c r="D395" i="9" s="1"/>
  <c r="D394" i="9" s="1"/>
  <c r="D327" i="9"/>
  <c r="D326" i="9" s="1"/>
  <c r="D325" i="9" s="1"/>
  <c r="D324" i="9" s="1"/>
  <c r="F699" i="7"/>
  <c r="F321" i="7"/>
  <c r="D265" i="9" s="1"/>
  <c r="F399" i="7"/>
  <c r="D272" i="9"/>
  <c r="D271" i="9" s="1"/>
  <c r="D270" i="9" s="1"/>
  <c r="F451" i="7"/>
  <c r="D275" i="9" s="1"/>
  <c r="D274" i="9" s="1"/>
  <c r="F453" i="7"/>
  <c r="D277" i="9" s="1"/>
  <c r="D276" i="9" s="1"/>
  <c r="F402" i="7"/>
  <c r="F287" i="7"/>
  <c r="D291" i="9" s="1"/>
  <c r="D290" i="9" s="1"/>
  <c r="D289" i="9" s="1"/>
  <c r="F272" i="7"/>
  <c r="D296" i="9" s="1"/>
  <c r="D295" i="9" s="1"/>
  <c r="D294" i="9" s="1"/>
  <c r="D293" i="9" s="1"/>
  <c r="F292" i="7"/>
  <c r="F276" i="7"/>
  <c r="D300" i="9" s="1"/>
  <c r="D299" i="9" s="1"/>
  <c r="D298" i="9" s="1"/>
  <c r="F306" i="7"/>
  <c r="D245" i="9"/>
  <c r="D213" i="9"/>
  <c r="D212" i="9" s="1"/>
  <c r="F875" i="7"/>
  <c r="D220" i="9" s="1"/>
  <c r="D219" i="9" s="1"/>
  <c r="D218" i="9" s="1"/>
  <c r="F832" i="7"/>
  <c r="F831" i="7" s="1"/>
  <c r="D187" i="9"/>
  <c r="D186" i="9" s="1"/>
  <c r="AD385" i="2"/>
  <c r="D193" i="9"/>
  <c r="D192" i="9" s="1"/>
  <c r="D191" i="9" s="1"/>
  <c r="F867" i="7"/>
  <c r="F45" i="7"/>
  <c r="F47" i="7"/>
  <c r="F46" i="7" s="1"/>
  <c r="F761" i="7"/>
  <c r="D18" i="9" s="1"/>
  <c r="D17" i="9" s="1"/>
  <c r="D16" i="9" s="1"/>
  <c r="F769" i="7"/>
  <c r="F772" i="7"/>
  <c r="D41" i="9"/>
  <c r="D40" i="9" s="1"/>
  <c r="F672" i="7"/>
  <c r="D66" i="9" s="1"/>
  <c r="D65" i="9" s="1"/>
  <c r="D64" i="9" s="1"/>
  <c r="D63" i="9" s="1"/>
  <c r="D62" i="9" s="1"/>
  <c r="D250" i="9"/>
  <c r="D249" i="9" s="1"/>
  <c r="D248" i="9" s="1"/>
  <c r="D247" i="9" s="1"/>
  <c r="D246" i="9" s="1"/>
  <c r="F156" i="7"/>
  <c r="E208" i="9"/>
  <c r="E207" i="9" s="1"/>
  <c r="E206" i="9" s="1"/>
  <c r="E202" i="9" s="1"/>
  <c r="J743" i="7"/>
  <c r="K743" i="7" s="1"/>
  <c r="J741" i="7"/>
  <c r="K741" i="7" s="1"/>
  <c r="J867" i="7"/>
  <c r="J45" i="7"/>
  <c r="K45" i="7" s="1"/>
  <c r="J47" i="7"/>
  <c r="K47" i="7" s="1"/>
  <c r="F563" i="9"/>
  <c r="J539" i="7"/>
  <c r="E563" i="9"/>
  <c r="G472" i="7"/>
  <c r="G471" i="7" s="1"/>
  <c r="G475" i="7"/>
  <c r="G474" i="7" s="1"/>
  <c r="G469" i="7"/>
  <c r="G468" i="7" s="1"/>
  <c r="G617" i="7"/>
  <c r="G616" i="7" s="1"/>
  <c r="G740" i="7"/>
  <c r="G361" i="7"/>
  <c r="G360" i="7" s="1"/>
  <c r="G353" i="7" s="1"/>
  <c r="G352" i="7" s="1"/>
  <c r="G351" i="7" s="1"/>
  <c r="G350" i="7" s="1"/>
  <c r="E575" i="9"/>
  <c r="E574" i="9" s="1"/>
  <c r="E573" i="9" s="1"/>
  <c r="E509" i="9"/>
  <c r="E508" i="9" s="1"/>
  <c r="E507" i="9" s="1"/>
  <c r="E544" i="9"/>
  <c r="E148" i="9"/>
  <c r="E149" i="9"/>
  <c r="E150" i="9"/>
  <c r="E66" i="9"/>
  <c r="E65" i="9" s="1"/>
  <c r="E64" i="9" s="1"/>
  <c r="E63" i="9" s="1"/>
  <c r="E62" i="9" s="1"/>
  <c r="E213" i="9"/>
  <c r="E212" i="9" s="1"/>
  <c r="E334" i="9"/>
  <c r="E333" i="9" s="1"/>
  <c r="E330" i="9" s="1"/>
  <c r="E300" i="9"/>
  <c r="E299" i="9" s="1"/>
  <c r="E298" i="9" s="1"/>
  <c r="E291" i="9"/>
  <c r="E290" i="9" s="1"/>
  <c r="E289" i="9" s="1"/>
  <c r="E288" i="9" s="1"/>
  <c r="E283" i="9" s="1"/>
  <c r="E265" i="9"/>
  <c r="E20" i="10"/>
  <c r="E651" i="9"/>
  <c r="E650" i="9" s="1"/>
  <c r="E649" i="9" s="1"/>
  <c r="E407" i="9"/>
  <c r="E469" i="9"/>
  <c r="E424" i="9"/>
  <c r="E423" i="9" s="1"/>
  <c r="E422" i="9" s="1"/>
  <c r="E433" i="9"/>
  <c r="E432" i="9" s="1"/>
  <c r="E431" i="9" s="1"/>
  <c r="J410" i="7"/>
  <c r="J420" i="7"/>
  <c r="J469" i="7"/>
  <c r="J488" i="7"/>
  <c r="J495" i="7"/>
  <c r="K495" i="7" s="1"/>
  <c r="J461" i="7"/>
  <c r="J448" i="7"/>
  <c r="K448" i="7" s="1"/>
  <c r="J451" i="7"/>
  <c r="J453" i="7"/>
  <c r="J725" i="7"/>
  <c r="F144" i="9"/>
  <c r="G144" i="9" s="1"/>
  <c r="F148" i="9"/>
  <c r="F149" i="9"/>
  <c r="F150" i="9"/>
  <c r="J672" i="7"/>
  <c r="J699" i="7"/>
  <c r="J705" i="7"/>
  <c r="J907" i="7"/>
  <c r="K907" i="7" s="1"/>
  <c r="J875" i="7"/>
  <c r="J882" i="7"/>
  <c r="L842" i="7"/>
  <c r="M842" i="7" s="1"/>
  <c r="J839" i="7"/>
  <c r="K839" i="7" s="1"/>
  <c r="L857" i="7"/>
  <c r="J761" i="7"/>
  <c r="J769" i="7"/>
  <c r="J772" i="7"/>
  <c r="K772" i="7" s="1"/>
  <c r="J778" i="7"/>
  <c r="J785" i="7"/>
  <c r="K785" i="7" s="1"/>
  <c r="J788" i="7"/>
  <c r="J793" i="7"/>
  <c r="F50" i="9" s="1"/>
  <c r="G50" i="9" s="1"/>
  <c r="J796" i="7"/>
  <c r="F53" i="9" s="1"/>
  <c r="G53" i="9" s="1"/>
  <c r="J339" i="7"/>
  <c r="J346" i="7"/>
  <c r="J349" i="7"/>
  <c r="J399" i="7"/>
  <c r="K399" i="7" s="1"/>
  <c r="J402" i="7"/>
  <c r="K402" i="7" s="1"/>
  <c r="J358" i="7"/>
  <c r="J355" i="7"/>
  <c r="J367" i="7"/>
  <c r="J384" i="7"/>
  <c r="K384" i="7" s="1"/>
  <c r="J392" i="7"/>
  <c r="K392" i="7" s="1"/>
  <c r="J388" i="7"/>
  <c r="K388" i="7" s="1"/>
  <c r="J330" i="7"/>
  <c r="K330" i="7" s="1"/>
  <c r="F250" i="9"/>
  <c r="J272" i="7"/>
  <c r="J276" i="7"/>
  <c r="J287" i="7"/>
  <c r="K287" i="7" s="1"/>
  <c r="J292" i="7"/>
  <c r="J306" i="7"/>
  <c r="K306" i="7" s="1"/>
  <c r="J321" i="7"/>
  <c r="J257" i="7"/>
  <c r="K257" i="7" s="1"/>
  <c r="J264" i="7"/>
  <c r="J24" i="7"/>
  <c r="J26" i="7"/>
  <c r="K26" i="7" s="1"/>
  <c r="J31" i="7"/>
  <c r="J54" i="7"/>
  <c r="J59" i="7"/>
  <c r="K59" i="7" s="1"/>
  <c r="J62" i="7"/>
  <c r="J72" i="7"/>
  <c r="K72" i="7" s="1"/>
  <c r="J101" i="7"/>
  <c r="F424" i="9"/>
  <c r="J109" i="7"/>
  <c r="J118" i="7"/>
  <c r="J126" i="7"/>
  <c r="J156" i="7"/>
  <c r="K156" i="7" s="1"/>
  <c r="J167" i="7"/>
  <c r="J165" i="7"/>
  <c r="K165" i="7" s="1"/>
  <c r="F380" i="9"/>
  <c r="J177" i="7"/>
  <c r="J182" i="7"/>
  <c r="J191" i="7"/>
  <c r="AF120" i="2"/>
  <c r="J210" i="7"/>
  <c r="J212" i="7"/>
  <c r="AF141" i="2"/>
  <c r="L740" i="7"/>
  <c r="M740" i="7" s="1"/>
  <c r="J224" i="7"/>
  <c r="G777" i="7"/>
  <c r="G776" i="7" s="1"/>
  <c r="AF406" i="2"/>
  <c r="AF409" i="2"/>
  <c r="AD406" i="2"/>
  <c r="AD405" i="2" s="1"/>
  <c r="AD409" i="2"/>
  <c r="AD408" i="2" s="1"/>
  <c r="G620" i="7"/>
  <c r="G619" i="7" s="1"/>
  <c r="L620" i="7"/>
  <c r="L617" i="7"/>
  <c r="G849" i="7"/>
  <c r="G848" i="7" s="1"/>
  <c r="L849" i="7"/>
  <c r="AF275" i="2"/>
  <c r="AD275" i="2"/>
  <c r="AD274" i="2" s="1"/>
  <c r="AD273" i="2" s="1"/>
  <c r="AF129" i="2"/>
  <c r="AG129" i="2" s="1"/>
  <c r="AF127" i="2"/>
  <c r="AD127" i="2"/>
  <c r="AD126" i="2" s="1"/>
  <c r="AF102" i="2"/>
  <c r="AG102" i="2" s="1"/>
  <c r="AD102" i="2"/>
  <c r="F683" i="7"/>
  <c r="E142" i="9"/>
  <c r="E141" i="9" s="1"/>
  <c r="AF357" i="2"/>
  <c r="AD357" i="2"/>
  <c r="AD356" i="2" s="1"/>
  <c r="AD355" i="2" s="1"/>
  <c r="AD354" i="2" s="1"/>
  <c r="AD279" i="2"/>
  <c r="AD278" i="2" s="1"/>
  <c r="AD277" i="2" s="1"/>
  <c r="AF279" i="2"/>
  <c r="AD271" i="2"/>
  <c r="AD270" i="2" s="1"/>
  <c r="AD269" i="2" s="1"/>
  <c r="AF271" i="2"/>
  <c r="J205" i="7"/>
  <c r="J203" i="7"/>
  <c r="F796" i="7"/>
  <c r="F793" i="7"/>
  <c r="F346" i="7"/>
  <c r="L748" i="7"/>
  <c r="AF520" i="2"/>
  <c r="AF488" i="2"/>
  <c r="AF480" i="2"/>
  <c r="AF470" i="2"/>
  <c r="AF433" i="2"/>
  <c r="AF430" i="2"/>
  <c r="AF398" i="2"/>
  <c r="AF370" i="2"/>
  <c r="AF364" i="2"/>
  <c r="AF341" i="2"/>
  <c r="AF335" i="2"/>
  <c r="AF327" i="2"/>
  <c r="AG327" i="2" s="1"/>
  <c r="AF325" i="2"/>
  <c r="AF322" i="2"/>
  <c r="AF297" i="2"/>
  <c r="AF289" i="2"/>
  <c r="AF286" i="2"/>
  <c r="AF264" i="2"/>
  <c r="AF257" i="2"/>
  <c r="AF254" i="2"/>
  <c r="AF247" i="2"/>
  <c r="AF209" i="2"/>
  <c r="AG209" i="2" s="1"/>
  <c r="AF238" i="2"/>
  <c r="AF223" i="2"/>
  <c r="AF222" i="2" s="1"/>
  <c r="AF193" i="2"/>
  <c r="AF189" i="2"/>
  <c r="AF204" i="2"/>
  <c r="AF181" i="2"/>
  <c r="AF174" i="2"/>
  <c r="AF156" i="2"/>
  <c r="AF116" i="2"/>
  <c r="AG116" i="2" s="1"/>
  <c r="AF114" i="2"/>
  <c r="AG114" i="2" s="1"/>
  <c r="AF111" i="2"/>
  <c r="AG111" i="2" s="1"/>
  <c r="AF110" i="2"/>
  <c r="AG106" i="2"/>
  <c r="AF95" i="2"/>
  <c r="AF51" i="2"/>
  <c r="AF41" i="2"/>
  <c r="AF38" i="2"/>
  <c r="AF33" i="2"/>
  <c r="AG26" i="2"/>
  <c r="AF24" i="2"/>
  <c r="AG24" i="2" s="1"/>
  <c r="AF17" i="2"/>
  <c r="J20" i="7" s="1"/>
  <c r="K20" i="7" s="1"/>
  <c r="E52" i="9"/>
  <c r="E51" i="9" s="1"/>
  <c r="E49" i="9"/>
  <c r="E48" i="9" s="1"/>
  <c r="E793" i="7"/>
  <c r="E795" i="7"/>
  <c r="E796" i="7"/>
  <c r="E792" i="7"/>
  <c r="B792" i="7"/>
  <c r="C792" i="7"/>
  <c r="B793" i="7"/>
  <c r="C793" i="7"/>
  <c r="B794" i="7"/>
  <c r="C794" i="7"/>
  <c r="B795" i="7"/>
  <c r="C795" i="7"/>
  <c r="B796" i="7"/>
  <c r="C796" i="7"/>
  <c r="C791" i="7"/>
  <c r="B791" i="7"/>
  <c r="A49" i="9"/>
  <c r="A50" i="9"/>
  <c r="A51" i="9"/>
  <c r="A52" i="9"/>
  <c r="A53" i="9"/>
  <c r="A48" i="9"/>
  <c r="AD430" i="2"/>
  <c r="AD429" i="2" s="1"/>
  <c r="AD433" i="2"/>
  <c r="AD432" i="2" s="1"/>
  <c r="AD289" i="2"/>
  <c r="AD288" i="2" s="1"/>
  <c r="AD106" i="2"/>
  <c r="G748" i="7"/>
  <c r="G747" i="7" s="1"/>
  <c r="AD520" i="2"/>
  <c r="AD519" i="2" s="1"/>
  <c r="AD518" i="2" s="1"/>
  <c r="AD517" i="2" s="1"/>
  <c r="AD488" i="2"/>
  <c r="AD487" i="2" s="1"/>
  <c r="AD486" i="2" s="1"/>
  <c r="AD485" i="2" s="1"/>
  <c r="AD484" i="2" s="1"/>
  <c r="AD483" i="2" s="1"/>
  <c r="AD480" i="2"/>
  <c r="AD479" i="2" s="1"/>
  <c r="AD475" i="2" s="1"/>
  <c r="AD470" i="2"/>
  <c r="AD469" i="2" s="1"/>
  <c r="AD468" i="2" s="1"/>
  <c r="AD398" i="2"/>
  <c r="AD397" i="2" s="1"/>
  <c r="AD387" i="2"/>
  <c r="AD370" i="2"/>
  <c r="AD369" i="2" s="1"/>
  <c r="AD364" i="2"/>
  <c r="AD363" i="2" s="1"/>
  <c r="AD362" i="2" s="1"/>
  <c r="AD361" i="2" s="1"/>
  <c r="AD341" i="2"/>
  <c r="AD340" i="2" s="1"/>
  <c r="AD339" i="2" s="1"/>
  <c r="AD335" i="2"/>
  <c r="AD334" i="2" s="1"/>
  <c r="AD333" i="2" s="1"/>
  <c r="AD332" i="2" s="1"/>
  <c r="AD331" i="2" s="1"/>
  <c r="AD327" i="2"/>
  <c r="AD325" i="2"/>
  <c r="AD322" i="2"/>
  <c r="AD321" i="2" s="1"/>
  <c r="AD297" i="2"/>
  <c r="AD296" i="2" s="1"/>
  <c r="AD295" i="2" s="1"/>
  <c r="AD294" i="2" s="1"/>
  <c r="AD293" i="2" s="1"/>
  <c r="AD286" i="2"/>
  <c r="AD285" i="2" s="1"/>
  <c r="AD257" i="2"/>
  <c r="AD256" i="2" s="1"/>
  <c r="AD254" i="2"/>
  <c r="AD253" i="2" s="1"/>
  <c r="AD247" i="2"/>
  <c r="AD246" i="2" s="1"/>
  <c r="AD245" i="2" s="1"/>
  <c r="AD244" i="2" s="1"/>
  <c r="AD243" i="2" s="1"/>
  <c r="AD242" i="2" s="1"/>
  <c r="AD209" i="2"/>
  <c r="AD208" i="2" s="1"/>
  <c r="AD238" i="2"/>
  <c r="AD237" i="2" s="1"/>
  <c r="AD236" i="2" s="1"/>
  <c r="AD235" i="2" s="1"/>
  <c r="AD223" i="2"/>
  <c r="AD193" i="2"/>
  <c r="AD192" i="2" s="1"/>
  <c r="AD191" i="2" s="1"/>
  <c r="AD189" i="2"/>
  <c r="AD188" i="2" s="1"/>
  <c r="AD187" i="2" s="1"/>
  <c r="AD204" i="2"/>
  <c r="AD203" i="2" s="1"/>
  <c r="AD202" i="2" s="1"/>
  <c r="AD197" i="2" s="1"/>
  <c r="AD181" i="2"/>
  <c r="AD180" i="2" s="1"/>
  <c r="AD179" i="2" s="1"/>
  <c r="AD178" i="2" s="1"/>
  <c r="AD177" i="2" s="1"/>
  <c r="AD176" i="2" s="1"/>
  <c r="AD174" i="2"/>
  <c r="AD173" i="2" s="1"/>
  <c r="AD156" i="2"/>
  <c r="AD155" i="2" s="1"/>
  <c r="AD154" i="2" s="1"/>
  <c r="AD141" i="2"/>
  <c r="AD140" i="2" s="1"/>
  <c r="AD139" i="2" s="1"/>
  <c r="AD138" i="2" s="1"/>
  <c r="AD137" i="2" s="1"/>
  <c r="AD122" i="2"/>
  <c r="AD120" i="2"/>
  <c r="AD116" i="2"/>
  <c r="AD114" i="2"/>
  <c r="AD111" i="2"/>
  <c r="AD110" i="2"/>
  <c r="AD95" i="2"/>
  <c r="AD94" i="2" s="1"/>
  <c r="AD90" i="2" s="1"/>
  <c r="AD51" i="2"/>
  <c r="AD50" i="2" s="1"/>
  <c r="AD49" i="2" s="1"/>
  <c r="AD48" i="2" s="1"/>
  <c r="AD47" i="2" s="1"/>
  <c r="AD41" i="2"/>
  <c r="AD40" i="2" s="1"/>
  <c r="AD38" i="2"/>
  <c r="AD37" i="2" s="1"/>
  <c r="AD33" i="2"/>
  <c r="AD32" i="2" s="1"/>
  <c r="AD26" i="2"/>
  <c r="AD24" i="2"/>
  <c r="AD17" i="2"/>
  <c r="AD16" i="2" s="1"/>
  <c r="AD264" i="2"/>
  <c r="AD263" i="2" s="1"/>
  <c r="AD262" i="2" s="1"/>
  <c r="AD261" i="2" s="1"/>
  <c r="AD260" i="2" s="1"/>
  <c r="D185" i="7"/>
  <c r="D184" i="7" s="1"/>
  <c r="D182" i="7"/>
  <c r="D181" i="7" s="1"/>
  <c r="B426" i="9"/>
  <c r="B425" i="9" s="1"/>
  <c r="B423" i="9"/>
  <c r="B422" i="9" s="1"/>
  <c r="B392" i="9"/>
  <c r="B391" i="9" s="1"/>
  <c r="B389" i="9"/>
  <c r="B388" i="9" s="1"/>
  <c r="D109" i="7"/>
  <c r="D108" i="7" s="1"/>
  <c r="D106" i="7"/>
  <c r="D105" i="7" s="1"/>
  <c r="L747" i="7" l="1"/>
  <c r="M747" i="7" s="1"/>
  <c r="M748" i="7"/>
  <c r="L619" i="7"/>
  <c r="M619" i="7" s="1"/>
  <c r="M620" i="7"/>
  <c r="J19" i="7"/>
  <c r="L848" i="7"/>
  <c r="M848" i="7" s="1"/>
  <c r="M849" i="7"/>
  <c r="L616" i="7"/>
  <c r="M616" i="7" s="1"/>
  <c r="M617" i="7"/>
  <c r="F52" i="9"/>
  <c r="G52" i="9" s="1"/>
  <c r="G149" i="9"/>
  <c r="G148" i="9"/>
  <c r="F49" i="9"/>
  <c r="F48" i="9" s="1"/>
  <c r="G48" i="9" s="1"/>
  <c r="F792" i="7"/>
  <c r="F791" i="7" s="1"/>
  <c r="D50" i="9"/>
  <c r="D49" i="9" s="1"/>
  <c r="D48" i="9" s="1"/>
  <c r="F795" i="7"/>
  <c r="F794" i="7" s="1"/>
  <c r="D53" i="9"/>
  <c r="D52" i="9" s="1"/>
  <c r="D51" i="9" s="1"/>
  <c r="F379" i="9"/>
  <c r="F102" i="9"/>
  <c r="G103" i="9"/>
  <c r="F249" i="9"/>
  <c r="F51" i="9"/>
  <c r="G51" i="9" s="1"/>
  <c r="F423" i="9"/>
  <c r="G424" i="9"/>
  <c r="G150" i="9"/>
  <c r="G563" i="9"/>
  <c r="F674" i="9"/>
  <c r="G674" i="9" s="1"/>
  <c r="G675" i="9"/>
  <c r="J176" i="7"/>
  <c r="K176" i="7" s="1"/>
  <c r="K177" i="7"/>
  <c r="J354" i="7"/>
  <c r="K354" i="7" s="1"/>
  <c r="K355" i="7"/>
  <c r="J792" i="7"/>
  <c r="K793" i="7"/>
  <c r="J724" i="7"/>
  <c r="K724" i="7" s="1"/>
  <c r="K725" i="7"/>
  <c r="J419" i="7"/>
  <c r="K420" i="7"/>
  <c r="F445" i="9"/>
  <c r="K203" i="7"/>
  <c r="J100" i="7"/>
  <c r="K100" i="7" s="1"/>
  <c r="K101" i="7"/>
  <c r="J18" i="7"/>
  <c r="K19" i="7"/>
  <c r="J787" i="7"/>
  <c r="K787" i="7" s="1"/>
  <c r="K788" i="7"/>
  <c r="F277" i="9"/>
  <c r="K453" i="7"/>
  <c r="J128" i="7"/>
  <c r="K128" i="7" s="1"/>
  <c r="K129" i="7"/>
  <c r="J211" i="7"/>
  <c r="K211" i="7" s="1"/>
  <c r="K212" i="7"/>
  <c r="J181" i="7"/>
  <c r="K181" i="7" s="1"/>
  <c r="K182" i="7"/>
  <c r="F371" i="9"/>
  <c r="K167" i="7"/>
  <c r="J108" i="7"/>
  <c r="K108" i="7" s="1"/>
  <c r="K109" i="7"/>
  <c r="J61" i="7"/>
  <c r="K62" i="7"/>
  <c r="J366" i="7"/>
  <c r="K367" i="7"/>
  <c r="J795" i="7"/>
  <c r="K796" i="7"/>
  <c r="J777" i="7"/>
  <c r="K778" i="7"/>
  <c r="L856" i="7"/>
  <c r="M856" i="7" s="1"/>
  <c r="M857" i="7"/>
  <c r="J874" i="7"/>
  <c r="K875" i="7"/>
  <c r="F66" i="9"/>
  <c r="K672" i="7"/>
  <c r="J468" i="7"/>
  <c r="K468" i="7" s="1"/>
  <c r="K469" i="7"/>
  <c r="J538" i="7"/>
  <c r="K538" i="7" s="1"/>
  <c r="K539" i="7"/>
  <c r="F208" i="9"/>
  <c r="K867" i="7"/>
  <c r="L157" i="7"/>
  <c r="K224" i="7"/>
  <c r="F265" i="9"/>
  <c r="G265" i="9" s="1"/>
  <c r="K321" i="7"/>
  <c r="F300" i="9"/>
  <c r="K276" i="7"/>
  <c r="J348" i="7"/>
  <c r="K349" i="7"/>
  <c r="J460" i="7"/>
  <c r="F473" i="9"/>
  <c r="K461" i="7"/>
  <c r="J125" i="7"/>
  <c r="K125" i="7" s="1"/>
  <c r="K126" i="7"/>
  <c r="F407" i="9"/>
  <c r="K54" i="7"/>
  <c r="J271" i="7"/>
  <c r="K272" i="7"/>
  <c r="J357" i="7"/>
  <c r="K357" i="7" s="1"/>
  <c r="K358" i="7"/>
  <c r="J768" i="7"/>
  <c r="K769" i="7"/>
  <c r="J704" i="7"/>
  <c r="K705" i="7"/>
  <c r="J409" i="7"/>
  <c r="K410" i="7"/>
  <c r="F447" i="9"/>
  <c r="K205" i="7"/>
  <c r="J190" i="7"/>
  <c r="K191" i="7"/>
  <c r="J117" i="7"/>
  <c r="K117" i="7" s="1"/>
  <c r="K118" i="7"/>
  <c r="J30" i="7"/>
  <c r="K30" i="7" s="1"/>
  <c r="K31" i="7"/>
  <c r="J263" i="7"/>
  <c r="K264" i="7"/>
  <c r="J291" i="7"/>
  <c r="K291" i="7" s="1"/>
  <c r="K292" i="7"/>
  <c r="J338" i="7"/>
  <c r="K339" i="7"/>
  <c r="J760" i="7"/>
  <c r="K761" i="7"/>
  <c r="J881" i="7"/>
  <c r="F214" i="9"/>
  <c r="G214" i="9" s="1"/>
  <c r="K882" i="7"/>
  <c r="F261" i="9"/>
  <c r="K699" i="7"/>
  <c r="J450" i="7"/>
  <c r="K450" i="7" s="1"/>
  <c r="K451" i="7"/>
  <c r="J487" i="7"/>
  <c r="K487" i="7" s="1"/>
  <c r="K488" i="7"/>
  <c r="D305" i="9"/>
  <c r="D304" i="9" s="1"/>
  <c r="D303" i="9" s="1"/>
  <c r="D302" i="9" s="1"/>
  <c r="D301" i="9" s="1"/>
  <c r="D443" i="9"/>
  <c r="J23" i="7"/>
  <c r="K23" i="7" s="1"/>
  <c r="K24" i="7"/>
  <c r="J345" i="7"/>
  <c r="K345" i="7" s="1"/>
  <c r="K346" i="7"/>
  <c r="J209" i="7"/>
  <c r="K209" i="7" s="1"/>
  <c r="K210" i="7"/>
  <c r="F495" i="9"/>
  <c r="L257" i="7"/>
  <c r="AG325" i="2"/>
  <c r="AF324" i="2"/>
  <c r="AG110" i="2"/>
  <c r="AG174" i="2"/>
  <c r="AF173" i="2"/>
  <c r="AG173" i="2" s="1"/>
  <c r="AG120" i="2"/>
  <c r="AF119" i="2"/>
  <c r="AG119" i="2" s="1"/>
  <c r="AG127" i="2"/>
  <c r="AF126" i="2"/>
  <c r="AG126" i="2" s="1"/>
  <c r="AF16" i="2"/>
  <c r="AG17" i="2"/>
  <c r="AF469" i="2"/>
  <c r="AG470" i="2"/>
  <c r="AF188" i="2"/>
  <c r="AG189" i="2"/>
  <c r="AF256" i="2"/>
  <c r="AG256" i="2" s="1"/>
  <c r="AG257" i="2"/>
  <c r="AF334" i="2"/>
  <c r="AG335" i="2"/>
  <c r="AF479" i="2"/>
  <c r="AG479" i="2" s="1"/>
  <c r="AG480" i="2"/>
  <c r="AF50" i="2"/>
  <c r="AG51" i="2"/>
  <c r="AF192" i="2"/>
  <c r="AG193" i="2"/>
  <c r="AF263" i="2"/>
  <c r="AG264" i="2"/>
  <c r="AF321" i="2"/>
  <c r="AG321" i="2" s="1"/>
  <c r="AG322" i="2"/>
  <c r="AF340" i="2"/>
  <c r="AG340" i="2" s="1"/>
  <c r="AG341" i="2"/>
  <c r="AF429" i="2"/>
  <c r="AG429" i="2" s="1"/>
  <c r="AG430" i="2"/>
  <c r="AF487" i="2"/>
  <c r="AG488" i="2"/>
  <c r="AF356" i="2"/>
  <c r="AG357" i="2"/>
  <c r="AF408" i="2"/>
  <c r="AG408" i="2" s="1"/>
  <c r="AG409" i="2"/>
  <c r="J204" i="7"/>
  <c r="K204" i="7" s="1"/>
  <c r="AG122" i="2"/>
  <c r="AF37" i="2"/>
  <c r="AG37" i="2" s="1"/>
  <c r="AG38" i="2"/>
  <c r="AF203" i="2"/>
  <c r="AG204" i="2"/>
  <c r="AF253" i="2"/>
  <c r="AG253" i="2" s="1"/>
  <c r="AG254" i="2"/>
  <c r="AF288" i="2"/>
  <c r="AG288" i="2" s="1"/>
  <c r="AG289" i="2"/>
  <c r="AF369" i="2"/>
  <c r="AG369" i="2" s="1"/>
  <c r="AG370" i="2"/>
  <c r="AF40" i="2"/>
  <c r="AG40" i="2" s="1"/>
  <c r="AG41" i="2"/>
  <c r="AF155" i="2"/>
  <c r="AG156" i="2"/>
  <c r="AF237" i="2"/>
  <c r="AG238" i="2"/>
  <c r="AF296" i="2"/>
  <c r="AG297" i="2"/>
  <c r="AF397" i="2"/>
  <c r="AG398" i="2"/>
  <c r="AF270" i="2"/>
  <c r="AG271" i="2"/>
  <c r="AF306" i="2"/>
  <c r="AG307" i="2"/>
  <c r="AF32" i="2"/>
  <c r="AG32" i="2" s="1"/>
  <c r="AG33" i="2"/>
  <c r="AF94" i="2"/>
  <c r="AG95" i="2"/>
  <c r="AF180" i="2"/>
  <c r="AG181" i="2"/>
  <c r="AG223" i="2"/>
  <c r="AF246" i="2"/>
  <c r="AG247" i="2"/>
  <c r="AF285" i="2"/>
  <c r="AG285" i="2" s="1"/>
  <c r="AG286" i="2"/>
  <c r="AF363" i="2"/>
  <c r="AG364" i="2"/>
  <c r="AF432" i="2"/>
  <c r="AG432" i="2" s="1"/>
  <c r="AG433" i="2"/>
  <c r="AF519" i="2"/>
  <c r="AF515" i="2" s="1"/>
  <c r="AG520" i="2"/>
  <c r="AF278" i="2"/>
  <c r="AG279" i="2"/>
  <c r="AF274" i="2"/>
  <c r="AG275" i="2"/>
  <c r="AF405" i="2"/>
  <c r="AG405" i="2" s="1"/>
  <c r="AG406" i="2"/>
  <c r="AF140" i="2"/>
  <c r="J222" i="7" s="1"/>
  <c r="K222" i="7" s="1"/>
  <c r="AG141" i="2"/>
  <c r="AD384" i="2"/>
  <c r="AD383" i="2" s="1"/>
  <c r="G766" i="7"/>
  <c r="G765" i="7" s="1"/>
  <c r="G756" i="7" s="1"/>
  <c r="D15" i="9"/>
  <c r="D14" i="9" s="1"/>
  <c r="AD396" i="2"/>
  <c r="AD395" i="2" s="1"/>
  <c r="AD222" i="2"/>
  <c r="AD221" i="2" s="1"/>
  <c r="AD220" i="2" s="1"/>
  <c r="E297" i="9"/>
  <c r="D297" i="9"/>
  <c r="D292" i="9" s="1"/>
  <c r="AD119" i="2"/>
  <c r="F398" i="9"/>
  <c r="J906" i="7"/>
  <c r="K906" i="7" s="1"/>
  <c r="E398" i="9"/>
  <c r="E397" i="9" s="1"/>
  <c r="E396" i="9" s="1"/>
  <c r="E395" i="9" s="1"/>
  <c r="E394" i="9" s="1"/>
  <c r="AF477" i="2"/>
  <c r="D273" i="9"/>
  <c r="AD324" i="2"/>
  <c r="AD320" i="2" s="1"/>
  <c r="AD319" i="2" s="1"/>
  <c r="AD318" i="2" s="1"/>
  <c r="D241" i="9"/>
  <c r="D240" i="9" s="1"/>
  <c r="D239" i="9" s="1"/>
  <c r="D238" i="9" s="1"/>
  <c r="J327" i="7"/>
  <c r="E26" i="10"/>
  <c r="D450" i="9"/>
  <c r="AF75" i="2"/>
  <c r="AG75" i="2" s="1"/>
  <c r="D683" i="9"/>
  <c r="D682" i="9" s="1"/>
  <c r="D681" i="9" s="1"/>
  <c r="D677" i="9" s="1"/>
  <c r="G464" i="7"/>
  <c r="D625" i="9"/>
  <c r="D624" i="9" s="1"/>
  <c r="D623" i="9" s="1"/>
  <c r="D622" i="9" s="1"/>
  <c r="AD172" i="2"/>
  <c r="AD171" i="2" s="1"/>
  <c r="AD170" i="2" s="1"/>
  <c r="AD169" i="2" s="1"/>
  <c r="AD168" i="2" s="1"/>
  <c r="E261" i="9"/>
  <c r="E260" i="9" s="1"/>
  <c r="E259" i="9" s="1"/>
  <c r="E258" i="9" s="1"/>
  <c r="F698" i="7"/>
  <c r="F697" i="7" s="1"/>
  <c r="F696" i="7" s="1"/>
  <c r="F695" i="7" s="1"/>
  <c r="F694" i="7" s="1"/>
  <c r="D261" i="9"/>
  <c r="D260" i="9" s="1"/>
  <c r="D259" i="9" s="1"/>
  <c r="D258" i="9" s="1"/>
  <c r="AD113" i="2"/>
  <c r="AD186" i="2"/>
  <c r="AD185" i="2" s="1"/>
  <c r="AD184" i="2" s="1"/>
  <c r="D211" i="9"/>
  <c r="AD428" i="2"/>
  <c r="AD418" i="2" s="1"/>
  <c r="AD417" i="2" s="1"/>
  <c r="AD353" i="2"/>
  <c r="AD352" i="2" s="1"/>
  <c r="D159" i="9"/>
  <c r="D147" i="9"/>
  <c r="D146" i="9" s="1"/>
  <c r="D145" i="9" s="1"/>
  <c r="D140" i="9" s="1"/>
  <c r="F256" i="7"/>
  <c r="F255" i="7" s="1"/>
  <c r="D495" i="9"/>
  <c r="D494" i="9" s="1"/>
  <c r="D493" i="9" s="1"/>
  <c r="E49" i="10"/>
  <c r="F71" i="7"/>
  <c r="F70" i="7" s="1"/>
  <c r="F69" i="7" s="1"/>
  <c r="F68" i="7" s="1"/>
  <c r="F67" i="7" s="1"/>
  <c r="D468" i="9"/>
  <c r="D467" i="9" s="1"/>
  <c r="D466" i="9" s="1"/>
  <c r="AF208" i="2"/>
  <c r="J290" i="7"/>
  <c r="AD207" i="2"/>
  <c r="AD206" i="2" s="1"/>
  <c r="J320" i="7"/>
  <c r="D264" i="9"/>
  <c r="D263" i="9" s="1"/>
  <c r="F187" i="9"/>
  <c r="J742" i="7"/>
  <c r="K742" i="7" s="1"/>
  <c r="D406" i="9"/>
  <c r="D405" i="9" s="1"/>
  <c r="E369" i="9"/>
  <c r="E368" i="9" s="1"/>
  <c r="F369" i="9"/>
  <c r="J164" i="7"/>
  <c r="K164" i="7" s="1"/>
  <c r="D369" i="9"/>
  <c r="F164" i="7"/>
  <c r="G847" i="7"/>
  <c r="G846" i="7" s="1"/>
  <c r="L847" i="7"/>
  <c r="F122" i="9"/>
  <c r="D91" i="9"/>
  <c r="D90" i="9" s="1"/>
  <c r="L611" i="7"/>
  <c r="F91" i="9"/>
  <c r="J574" i="7"/>
  <c r="E91" i="9"/>
  <c r="E90" i="9" s="1"/>
  <c r="G575" i="7"/>
  <c r="G574" i="7" s="1"/>
  <c r="G573" i="7" s="1"/>
  <c r="G565" i="7" s="1"/>
  <c r="J698" i="7"/>
  <c r="J202" i="7"/>
  <c r="AF23" i="2"/>
  <c r="E193" i="9"/>
  <c r="E192" i="9" s="1"/>
  <c r="E191" i="9" s="1"/>
  <c r="L739" i="7"/>
  <c r="F531" i="7"/>
  <c r="F530" i="7" s="1"/>
  <c r="AD259" i="2"/>
  <c r="E525" i="9"/>
  <c r="E524" i="9" s="1"/>
  <c r="E523" i="9" s="1"/>
  <c r="E522" i="9" s="1"/>
  <c r="E521" i="9" s="1"/>
  <c r="E635" i="9"/>
  <c r="E634" i="9" s="1"/>
  <c r="E633" i="9" s="1"/>
  <c r="F625" i="9"/>
  <c r="F338" i="7"/>
  <c r="F337" i="7" s="1"/>
  <c r="F336" i="7" s="1"/>
  <c r="F335" i="7" s="1"/>
  <c r="F334" i="7" s="1"/>
  <c r="F333" i="7" s="1"/>
  <c r="E41" i="9"/>
  <c r="E40" i="9" s="1"/>
  <c r="F509" i="9"/>
  <c r="G739" i="7"/>
  <c r="G738" i="7" s="1"/>
  <c r="G732" i="7" s="1"/>
  <c r="E43" i="9"/>
  <c r="E42" i="9" s="1"/>
  <c r="E269" i="9"/>
  <c r="E268" i="9" s="1"/>
  <c r="E267" i="9" s="1"/>
  <c r="L615" i="7"/>
  <c r="AF101" i="2"/>
  <c r="AD493" i="2"/>
  <c r="AD492" i="2" s="1"/>
  <c r="AD491" i="2" s="1"/>
  <c r="AD490" i="2" s="1"/>
  <c r="AD482" i="2" s="1"/>
  <c r="D520" i="9"/>
  <c r="D519" i="9" s="1"/>
  <c r="D518" i="9" s="1"/>
  <c r="D511" i="9" s="1"/>
  <c r="D510" i="9" s="1"/>
  <c r="F874" i="7"/>
  <c r="F873" i="7" s="1"/>
  <c r="F872" i="7" s="1"/>
  <c r="F871" i="7" s="1"/>
  <c r="AD338" i="2"/>
  <c r="AD337" i="2" s="1"/>
  <c r="D143" i="9"/>
  <c r="F286" i="7"/>
  <c r="F358" i="7"/>
  <c r="F357" i="7" s="1"/>
  <c r="E412" i="9"/>
  <c r="E411" i="9" s="1"/>
  <c r="E410" i="9" s="1"/>
  <c r="F450" i="7"/>
  <c r="E385" i="9"/>
  <c r="E384" i="9" s="1"/>
  <c r="E383" i="9" s="1"/>
  <c r="F275" i="7"/>
  <c r="F274" i="7" s="1"/>
  <c r="F273" i="7" s="1"/>
  <c r="E29" i="9"/>
  <c r="E28" i="9" s="1"/>
  <c r="E27" i="9" s="1"/>
  <c r="AD368" i="2"/>
  <c r="AD367" i="2" s="1"/>
  <c r="F447" i="7"/>
  <c r="F446" i="7" s="1"/>
  <c r="F445" i="7" s="1"/>
  <c r="F263" i="7"/>
  <c r="F262" i="7" s="1"/>
  <c r="F261" i="7" s="1"/>
  <c r="F260" i="7" s="1"/>
  <c r="F259" i="7" s="1"/>
  <c r="F258" i="7" s="1"/>
  <c r="D20" i="10" s="1"/>
  <c r="AF385" i="2"/>
  <c r="AF384" i="2" s="1"/>
  <c r="F46" i="9"/>
  <c r="F182" i="7"/>
  <c r="F181" i="7" s="1"/>
  <c r="F419" i="7"/>
  <c r="F418" i="7" s="1"/>
  <c r="F417" i="7" s="1"/>
  <c r="E472" i="9"/>
  <c r="E471" i="9" s="1"/>
  <c r="E470" i="9" s="1"/>
  <c r="E220" i="9"/>
  <c r="E219" i="9" s="1"/>
  <c r="E218" i="9" s="1"/>
  <c r="F320" i="7"/>
  <c r="F319" i="7" s="1"/>
  <c r="F318" i="7" s="1"/>
  <c r="F317" i="7" s="1"/>
  <c r="F841" i="7"/>
  <c r="L840" i="7"/>
  <c r="J866" i="7"/>
  <c r="E447" i="9"/>
  <c r="E446" i="9" s="1"/>
  <c r="J614" i="7"/>
  <c r="F488" i="7"/>
  <c r="F487" i="7" s="1"/>
  <c r="F58" i="7"/>
  <c r="F57" i="7" s="1"/>
  <c r="J610" i="7"/>
  <c r="F574" i="7"/>
  <c r="F573" i="7" s="1"/>
  <c r="F204" i="7"/>
  <c r="F881" i="7"/>
  <c r="F880" i="7" s="1"/>
  <c r="F126" i="7"/>
  <c r="F125" i="7" s="1"/>
  <c r="AD101" i="2"/>
  <c r="AD100" i="2" s="1"/>
  <c r="AD99" i="2" s="1"/>
  <c r="F355" i="7"/>
  <c r="F354" i="7" s="1"/>
  <c r="F403" i="9"/>
  <c r="F271" i="7"/>
  <c r="F270" i="7" s="1"/>
  <c r="F269" i="7" s="1"/>
  <c r="G331" i="7"/>
  <c r="G330" i="7" s="1"/>
  <c r="F330" i="7"/>
  <c r="F211" i="7"/>
  <c r="J398" i="7"/>
  <c r="F269" i="9"/>
  <c r="F778" i="7"/>
  <c r="D35" i="9" s="1"/>
  <c r="D34" i="9" s="1"/>
  <c r="D33" i="9" s="1"/>
  <c r="AD415" i="2"/>
  <c r="AD414" i="2" s="1"/>
  <c r="D581" i="9"/>
  <c r="D580" i="9" s="1"/>
  <c r="D579" i="9" s="1"/>
  <c r="AF493" i="2"/>
  <c r="D76" i="9"/>
  <c r="D75" i="9" s="1"/>
  <c r="D74" i="9" s="1"/>
  <c r="D73" i="9" s="1"/>
  <c r="F568" i="7"/>
  <c r="F567" i="7" s="1"/>
  <c r="D481" i="9"/>
  <c r="D480" i="9" s="1"/>
  <c r="AD23" i="2"/>
  <c r="AD22" i="2" s="1"/>
  <c r="AD21" i="2" s="1"/>
  <c r="AD20" i="2" s="1"/>
  <c r="E454" i="9"/>
  <c r="E453" i="9" s="1"/>
  <c r="AF415" i="2"/>
  <c r="E152" i="9"/>
  <c r="E151" i="9" s="1"/>
  <c r="D185" i="9"/>
  <c r="D184" i="9" s="1"/>
  <c r="D183" i="9" s="1"/>
  <c r="D334" i="9"/>
  <c r="D333" i="9" s="1"/>
  <c r="F856" i="7"/>
  <c r="D403" i="9"/>
  <c r="D402" i="9" s="1"/>
  <c r="D401" i="9" s="1"/>
  <c r="F19" i="7"/>
  <c r="AD31" i="2"/>
  <c r="AD30" i="2" s="1"/>
  <c r="AD29" i="2" s="1"/>
  <c r="AD28" i="2" s="1"/>
  <c r="AD360" i="2"/>
  <c r="AF113" i="2"/>
  <c r="AG113" i="2" s="1"/>
  <c r="E520" i="9"/>
  <c r="E519" i="9" s="1"/>
  <c r="E518" i="9" s="1"/>
  <c r="F366" i="7"/>
  <c r="F365" i="7" s="1"/>
  <c r="F364" i="7" s="1"/>
  <c r="F363" i="7" s="1"/>
  <c r="AD89" i="2"/>
  <c r="E517" i="9"/>
  <c r="E516" i="9" s="1"/>
  <c r="E515" i="9" s="1"/>
  <c r="E459" i="9"/>
  <c r="E458" i="9" s="1"/>
  <c r="E457" i="9" s="1"/>
  <c r="E275" i="9"/>
  <c r="E274" i="9" s="1"/>
  <c r="F783" i="7"/>
  <c r="F643" i="9"/>
  <c r="F671" i="7"/>
  <c r="F670" i="7" s="1"/>
  <c r="F669" i="7" s="1"/>
  <c r="F668" i="7" s="1"/>
  <c r="AD516" i="2"/>
  <c r="F177" i="7"/>
  <c r="F176" i="7" s="1"/>
  <c r="F725" i="7"/>
  <c r="F724" i="7" s="1"/>
  <c r="F704" i="7"/>
  <c r="F703" i="7" s="1"/>
  <c r="F106" i="7"/>
  <c r="E18" i="9"/>
  <c r="E17" i="9" s="1"/>
  <c r="E16" i="9" s="1"/>
  <c r="F166" i="7"/>
  <c r="F651" i="9"/>
  <c r="E562" i="9"/>
  <c r="E561" i="9" s="1"/>
  <c r="E560" i="9" s="1"/>
  <c r="E559" i="9" s="1"/>
  <c r="F562" i="9"/>
  <c r="E445" i="9"/>
  <c r="E444" i="9" s="1"/>
  <c r="E443" i="9" s="1"/>
  <c r="F673" i="9"/>
  <c r="F517" i="9"/>
  <c r="F484" i="9"/>
  <c r="E403" i="9"/>
  <c r="E402" i="9" s="1"/>
  <c r="E401" i="9" s="1"/>
  <c r="E643" i="9"/>
  <c r="E642" i="9" s="1"/>
  <c r="E641" i="9" s="1"/>
  <c r="F430" i="9"/>
  <c r="F575" i="9"/>
  <c r="F459" i="9"/>
  <c r="F18" i="9"/>
  <c r="F452" i="9"/>
  <c r="F849" i="7"/>
  <c r="F848" i="7" s="1"/>
  <c r="F847" i="7" s="1"/>
  <c r="F35" i="9"/>
  <c r="J452" i="7"/>
  <c r="E540" i="9"/>
  <c r="E539" i="9" s="1"/>
  <c r="E538" i="9" s="1"/>
  <c r="E537" i="9" s="1"/>
  <c r="F391" i="7"/>
  <c r="F390" i="7" s="1"/>
  <c r="F389" i="7" s="1"/>
  <c r="E319" i="9"/>
  <c r="E318" i="9" s="1"/>
  <c r="F536" i="7"/>
  <c r="F535" i="7" s="1"/>
  <c r="F105" i="7"/>
  <c r="F390" i="9"/>
  <c r="F34" i="7"/>
  <c r="F33" i="7" s="1"/>
  <c r="F748" i="7"/>
  <c r="F747" i="7" s="1"/>
  <c r="F202" i="7"/>
  <c r="F728" i="7"/>
  <c r="F727" i="7" s="1"/>
  <c r="E371" i="9"/>
  <c r="E370" i="9" s="1"/>
  <c r="F499" i="9"/>
  <c r="F245" i="9"/>
  <c r="F525" i="9"/>
  <c r="F275" i="9"/>
  <c r="F305" i="9"/>
  <c r="F291" i="7"/>
  <c r="F209" i="7"/>
  <c r="F607" i="7"/>
  <c r="F606" i="7" s="1"/>
  <c r="F742" i="7"/>
  <c r="F539" i="7"/>
  <c r="F538" i="7" s="1"/>
  <c r="E415" i="9"/>
  <c r="E414" i="9" s="1"/>
  <c r="E413" i="9" s="1"/>
  <c r="F374" i="9"/>
  <c r="E452" i="9"/>
  <c r="E451" i="9" s="1"/>
  <c r="E35" i="9"/>
  <c r="E34" i="9" s="1"/>
  <c r="E33" i="9" s="1"/>
  <c r="J856" i="7"/>
  <c r="K856" i="7" s="1"/>
  <c r="J841" i="7"/>
  <c r="K841" i="7" s="1"/>
  <c r="G608" i="7"/>
  <c r="G607" i="7" s="1"/>
  <c r="G606" i="7" s="1"/>
  <c r="AD268" i="2"/>
  <c r="AD267" i="2" s="1"/>
  <c r="AD266" i="2" s="1"/>
  <c r="J105" i="7"/>
  <c r="K105" i="7" s="1"/>
  <c r="J106" i="7"/>
  <c r="K106" i="7" s="1"/>
  <c r="E367" i="9"/>
  <c r="E665" i="9"/>
  <c r="E664" i="9" s="1"/>
  <c r="E663" i="9" s="1"/>
  <c r="E625" i="9"/>
  <c r="E624" i="9" s="1"/>
  <c r="E623" i="9" s="1"/>
  <c r="E622" i="9" s="1"/>
  <c r="E393" i="9"/>
  <c r="E392" i="9" s="1"/>
  <c r="E391" i="9" s="1"/>
  <c r="J198" i="7"/>
  <c r="F441" i="9"/>
  <c r="E57" i="10"/>
  <c r="E56" i="10" s="1"/>
  <c r="E543" i="9"/>
  <c r="E542" i="9" s="1"/>
  <c r="E541" i="9" s="1"/>
  <c r="E272" i="9"/>
  <c r="E271" i="9" s="1"/>
  <c r="E270" i="9" s="1"/>
  <c r="E640" i="9"/>
  <c r="E639" i="9" s="1"/>
  <c r="E638" i="9" s="1"/>
  <c r="E187" i="9"/>
  <c r="E186" i="9" s="1"/>
  <c r="F26" i="7"/>
  <c r="F27" i="7"/>
  <c r="D46" i="9"/>
  <c r="D45" i="9" s="1"/>
  <c r="D44" i="9" s="1"/>
  <c r="F788" i="7"/>
  <c r="F787" i="7" s="1"/>
  <c r="G402" i="7"/>
  <c r="G401" i="7" s="1"/>
  <c r="G400" i="7" s="1"/>
  <c r="G396" i="7" s="1"/>
  <c r="G395" i="7" s="1"/>
  <c r="G394" i="7" s="1"/>
  <c r="G393" i="7" s="1"/>
  <c r="F401" i="7"/>
  <c r="F400" i="7" s="1"/>
  <c r="D269" i="9"/>
  <c r="D268" i="9" s="1"/>
  <c r="D267" i="9" s="1"/>
  <c r="F398" i="7"/>
  <c r="F397" i="7" s="1"/>
  <c r="D419" i="9"/>
  <c r="D418" i="9" s="1"/>
  <c r="D417" i="9" s="1"/>
  <c r="F101" i="7"/>
  <c r="F100" i="7" s="1"/>
  <c r="D393" i="9"/>
  <c r="D392" i="9" s="1"/>
  <c r="D391" i="9" s="1"/>
  <c r="D382" i="9" s="1"/>
  <c r="F185" i="7"/>
  <c r="F184" i="7" s="1"/>
  <c r="D380" i="9"/>
  <c r="D379" i="9" s="1"/>
  <c r="G173" i="7"/>
  <c r="G172" i="7" s="1"/>
  <c r="D499" i="9"/>
  <c r="D498" i="9" s="1"/>
  <c r="D497" i="9" s="1"/>
  <c r="D496" i="9" s="1"/>
  <c r="G224" i="7"/>
  <c r="G223" i="7" s="1"/>
  <c r="G222" i="7" s="1"/>
  <c r="G221" i="7" s="1"/>
  <c r="G220" i="7" s="1"/>
  <c r="G219" i="7" s="1"/>
  <c r="D472" i="9"/>
  <c r="D471" i="9" s="1"/>
  <c r="D470" i="9" s="1"/>
  <c r="F460" i="7"/>
  <c r="F459" i="7" s="1"/>
  <c r="F458" i="7" s="1"/>
  <c r="F457" i="7" s="1"/>
  <c r="F456" i="7" s="1"/>
  <c r="D86" i="9"/>
  <c r="D85" i="9" s="1"/>
  <c r="D84" i="9" s="1"/>
  <c r="F604" i="7"/>
  <c r="F603" i="7" s="1"/>
  <c r="E86" i="9"/>
  <c r="E85" i="9" s="1"/>
  <c r="E84" i="9" s="1"/>
  <c r="F603" i="9"/>
  <c r="J491" i="7"/>
  <c r="F600" i="9"/>
  <c r="J671" i="7"/>
  <c r="E76" i="9"/>
  <c r="E75" i="9" s="1"/>
  <c r="E74" i="9" s="1"/>
  <c r="J34" i="7"/>
  <c r="F658" i="9"/>
  <c r="J728" i="7"/>
  <c r="F168" i="9"/>
  <c r="J447" i="7"/>
  <c r="F272" i="9"/>
  <c r="J472" i="7"/>
  <c r="F578" i="9"/>
  <c r="E406" i="9"/>
  <c r="E405" i="9" s="1"/>
  <c r="J44" i="7"/>
  <c r="K44" i="7" s="1"/>
  <c r="E514" i="9"/>
  <c r="E513" i="9" s="1"/>
  <c r="E512" i="9" s="1"/>
  <c r="F61" i="7"/>
  <c r="F60" i="7" s="1"/>
  <c r="F172" i="7"/>
  <c r="F169" i="7" s="1"/>
  <c r="F168" i="7" s="1"/>
  <c r="F385" i="9"/>
  <c r="J275" i="7"/>
  <c r="D606" i="9"/>
  <c r="D605" i="9" s="1"/>
  <c r="D604" i="9" s="1"/>
  <c r="F494" i="7"/>
  <c r="F493" i="7" s="1"/>
  <c r="D112" i="9"/>
  <c r="D111" i="9" s="1"/>
  <c r="D110" i="9" s="1"/>
  <c r="F620" i="7"/>
  <c r="F619" i="7" s="1"/>
  <c r="F348" i="7"/>
  <c r="F347" i="7" s="1"/>
  <c r="E427" i="9"/>
  <c r="E426" i="9" s="1"/>
  <c r="E425" i="9" s="1"/>
  <c r="E390" i="9"/>
  <c r="E389" i="9" s="1"/>
  <c r="E388" i="9" s="1"/>
  <c r="J223" i="7"/>
  <c r="K223" i="7" s="1"/>
  <c r="F165" i="9"/>
  <c r="G857" i="7"/>
  <c r="G856" i="7" s="1"/>
  <c r="G853" i="7" s="1"/>
  <c r="F24" i="7"/>
  <c r="F23" i="7" s="1"/>
  <c r="F198" i="7"/>
  <c r="F197" i="7" s="1"/>
  <c r="E683" i="9"/>
  <c r="E682" i="9" s="1"/>
  <c r="E681" i="9" s="1"/>
  <c r="E677" i="9" s="1"/>
  <c r="E46" i="9"/>
  <c r="E45" i="9" s="1"/>
  <c r="E44" i="9" s="1"/>
  <c r="G842" i="7"/>
  <c r="F37" i="7"/>
  <c r="F36" i="7" s="1"/>
  <c r="J27" i="7"/>
  <c r="K27" i="7" s="1"/>
  <c r="F109" i="7"/>
  <c r="F108" i="7" s="1"/>
  <c r="E47" i="9"/>
  <c r="E143" i="9"/>
  <c r="D244" i="9"/>
  <c r="J391" i="7"/>
  <c r="F544" i="9"/>
  <c r="E304" i="9"/>
  <c r="E303" i="9" s="1"/>
  <c r="J536" i="7"/>
  <c r="F640" i="9"/>
  <c r="E200" i="9"/>
  <c r="E199" i="9" s="1"/>
  <c r="F109" i="9"/>
  <c r="J617" i="7"/>
  <c r="F86" i="9"/>
  <c r="J604" i="7"/>
  <c r="L841" i="7"/>
  <c r="M841" i="7" s="1"/>
  <c r="E606" i="9"/>
  <c r="E605" i="9" s="1"/>
  <c r="E604" i="9" s="1"/>
  <c r="F200" i="9"/>
  <c r="J46" i="7"/>
  <c r="K46" i="7" s="1"/>
  <c r="D319" i="9"/>
  <c r="D318" i="9" s="1"/>
  <c r="F305" i="7"/>
  <c r="D83" i="9"/>
  <c r="D82" i="9" s="1"/>
  <c r="D81" i="9" s="1"/>
  <c r="F601" i="7"/>
  <c r="F600" i="7" s="1"/>
  <c r="F452" i="7"/>
  <c r="F409" i="7"/>
  <c r="F408" i="7" s="1"/>
  <c r="F407" i="7" s="1"/>
  <c r="F406" i="7" s="1"/>
  <c r="F405" i="7" s="1"/>
  <c r="F31" i="7"/>
  <c r="F30" i="7" s="1"/>
  <c r="E495" i="9"/>
  <c r="E494" i="9" s="1"/>
  <c r="E493" i="9" s="1"/>
  <c r="E419" i="9"/>
  <c r="E418" i="9" s="1"/>
  <c r="E417" i="9" s="1"/>
  <c r="F691" i="7"/>
  <c r="F433" i="9"/>
  <c r="F334" i="9"/>
  <c r="J494" i="7"/>
  <c r="F606" i="9"/>
  <c r="G840" i="7"/>
  <c r="G839" i="7" s="1"/>
  <c r="J531" i="7"/>
  <c r="F635" i="9"/>
  <c r="F174" i="9"/>
  <c r="J832" i="7"/>
  <c r="J830" i="7"/>
  <c r="D26" i="9"/>
  <c r="D25" i="9" s="1"/>
  <c r="D24" i="9" s="1"/>
  <c r="F768" i="7"/>
  <c r="F767" i="7" s="1"/>
  <c r="D323" i="9"/>
  <c r="D540" i="9"/>
  <c r="D539" i="9" s="1"/>
  <c r="D538" i="9" s="1"/>
  <c r="D537" i="9" s="1"/>
  <c r="D632" i="9"/>
  <c r="D631" i="9" s="1"/>
  <c r="D630" i="9" s="1"/>
  <c r="D116" i="9"/>
  <c r="D115" i="9" s="1"/>
  <c r="D114" i="9" s="1"/>
  <c r="D113" i="9" s="1"/>
  <c r="F624" i="7"/>
  <c r="F623" i="7" s="1"/>
  <c r="F622" i="7" s="1"/>
  <c r="J53" i="7"/>
  <c r="J401" i="7"/>
  <c r="F282" i="9"/>
  <c r="J783" i="7"/>
  <c r="F41" i="9"/>
  <c r="E578" i="9"/>
  <c r="E577" i="9" s="1"/>
  <c r="E576" i="9" s="1"/>
  <c r="F116" i="9"/>
  <c r="J624" i="7"/>
  <c r="F162" i="7"/>
  <c r="F53" i="7"/>
  <c r="F52" i="7" s="1"/>
  <c r="F722" i="7"/>
  <c r="F721" i="7" s="1"/>
  <c r="F296" i="9"/>
  <c r="L575" i="7"/>
  <c r="D43" i="9"/>
  <c r="D42" i="9" s="1"/>
  <c r="D39" i="9" s="1"/>
  <c r="F785" i="7"/>
  <c r="D198" i="9"/>
  <c r="D197" i="9" s="1"/>
  <c r="G45" i="7"/>
  <c r="G44" i="7" s="1"/>
  <c r="E116" i="9"/>
  <c r="E115" i="9" s="1"/>
  <c r="E114" i="9" s="1"/>
  <c r="E113" i="9" s="1"/>
  <c r="F44" i="7"/>
  <c r="F43" i="7" s="1"/>
  <c r="F42" i="7" s="1"/>
  <c r="F41" i="7" s="1"/>
  <c r="F40" i="7" s="1"/>
  <c r="F190" i="7"/>
  <c r="F189" i="7" s="1"/>
  <c r="E658" i="9"/>
  <c r="E657" i="9" s="1"/>
  <c r="E656" i="9" s="1"/>
  <c r="E670" i="9"/>
  <c r="E669" i="9" s="1"/>
  <c r="E668" i="9" s="1"/>
  <c r="E277" i="9"/>
  <c r="E276" i="9" s="1"/>
  <c r="F427" i="9"/>
  <c r="F220" i="9"/>
  <c r="J166" i="7"/>
  <c r="K166" i="7" s="1"/>
  <c r="J387" i="7"/>
  <c r="F540" i="9"/>
  <c r="J682" i="7"/>
  <c r="J683" i="7"/>
  <c r="K683" i="7" s="1"/>
  <c r="E536" i="9"/>
  <c r="E535" i="9" s="1"/>
  <c r="E534" i="9" s="1"/>
  <c r="E533" i="9" s="1"/>
  <c r="F185" i="9"/>
  <c r="J740" i="7"/>
  <c r="K740" i="7" s="1"/>
  <c r="E174" i="9"/>
  <c r="E173" i="9" s="1"/>
  <c r="E172" i="9" s="1"/>
  <c r="E171" i="9" s="1"/>
  <c r="E170" i="9" s="1"/>
  <c r="G844" i="7"/>
  <c r="G843" i="7" s="1"/>
  <c r="F843" i="7"/>
  <c r="D109" i="9"/>
  <c r="F617" i="7"/>
  <c r="F616" i="7" s="1"/>
  <c r="J687" i="7"/>
  <c r="K687" i="7" s="1"/>
  <c r="F291" i="9"/>
  <c r="J286" i="7"/>
  <c r="K286" i="7" s="1"/>
  <c r="G257" i="7"/>
  <c r="G256" i="7" s="1"/>
  <c r="G255" i="7" s="1"/>
  <c r="G611" i="7"/>
  <c r="G610" i="7" s="1"/>
  <c r="G609" i="7" s="1"/>
  <c r="F610" i="7"/>
  <c r="F609" i="7" s="1"/>
  <c r="F112" i="9"/>
  <c r="J620" i="7"/>
  <c r="F89" i="9"/>
  <c r="J607" i="7"/>
  <c r="F155" i="7"/>
  <c r="F154" i="7" s="1"/>
  <c r="F150" i="7" s="1"/>
  <c r="E648" i="9"/>
  <c r="E647" i="9" s="1"/>
  <c r="E646" i="9" s="1"/>
  <c r="E380" i="9"/>
  <c r="E379" i="9" s="1"/>
  <c r="E296" i="9"/>
  <c r="E295" i="9" s="1"/>
  <c r="E294" i="9" s="1"/>
  <c r="E293" i="9" s="1"/>
  <c r="F682" i="7"/>
  <c r="F681" i="7" s="1"/>
  <c r="F839" i="7"/>
  <c r="E26" i="9"/>
  <c r="E25" i="9" s="1"/>
  <c r="E24" i="9" s="1"/>
  <c r="G678" i="7"/>
  <c r="G677" i="7" s="1"/>
  <c r="G676" i="7" s="1"/>
  <c r="J843" i="7"/>
  <c r="K843" i="7" s="1"/>
  <c r="L844" i="7"/>
  <c r="E250" i="9"/>
  <c r="E249" i="9" s="1"/>
  <c r="E248" i="9" s="1"/>
  <c r="E247" i="9" s="1"/>
  <c r="E246" i="9" s="1"/>
  <c r="D103" i="9"/>
  <c r="D102" i="9" s="1"/>
  <c r="D101" i="9" s="1"/>
  <c r="F614" i="7"/>
  <c r="F613" i="7" s="1"/>
  <c r="G615" i="7"/>
  <c r="G614" i="7" s="1"/>
  <c r="G613" i="7" s="1"/>
  <c r="G612" i="7" s="1"/>
  <c r="E83" i="9"/>
  <c r="E82" i="9" s="1"/>
  <c r="E81" i="9" s="1"/>
  <c r="E603" i="9"/>
  <c r="E602" i="9" s="1"/>
  <c r="E601" i="9" s="1"/>
  <c r="F118" i="7"/>
  <c r="F117" i="7" s="1"/>
  <c r="F571" i="7"/>
  <c r="F570" i="7" s="1"/>
  <c r="E506" i="9"/>
  <c r="E505" i="9" s="1"/>
  <c r="E504" i="9" s="1"/>
  <c r="E503" i="9" s="1"/>
  <c r="E502" i="9" s="1"/>
  <c r="E501" i="9" s="1"/>
  <c r="E430" i="9"/>
  <c r="E429" i="9" s="1"/>
  <c r="E428" i="9" s="1"/>
  <c r="E165" i="9"/>
  <c r="E164" i="9" s="1"/>
  <c r="E163" i="9" s="1"/>
  <c r="E484" i="9"/>
  <c r="E483" i="9" s="1"/>
  <c r="E482" i="9" s="1"/>
  <c r="F687" i="7"/>
  <c r="F419" i="9"/>
  <c r="F469" i="7"/>
  <c r="F468" i="7" s="1"/>
  <c r="F26" i="9"/>
  <c r="L608" i="7"/>
  <c r="F29" i="9"/>
  <c r="J771" i="7"/>
  <c r="F198" i="9"/>
  <c r="F197" i="9"/>
  <c r="E201" i="9"/>
  <c r="E189" i="9"/>
  <c r="E188" i="9" s="1"/>
  <c r="E89" i="9"/>
  <c r="E88" i="9" s="1"/>
  <c r="E87" i="9" s="1"/>
  <c r="E673" i="9"/>
  <c r="E672" i="9" s="1"/>
  <c r="E671" i="9" s="1"/>
  <c r="F143" i="9"/>
  <c r="F142" i="9"/>
  <c r="J162" i="7"/>
  <c r="K162" i="7" s="1"/>
  <c r="F366" i="9"/>
  <c r="J475" i="7"/>
  <c r="F581" i="9"/>
  <c r="J691" i="7"/>
  <c r="K691" i="7" s="1"/>
  <c r="F152" i="9"/>
  <c r="E655" i="9"/>
  <c r="E654" i="9" s="1"/>
  <c r="E653" i="9" s="1"/>
  <c r="E162" i="9"/>
  <c r="E161" i="9" s="1"/>
  <c r="E160" i="9" s="1"/>
  <c r="E374" i="9"/>
  <c r="E373" i="9" s="1"/>
  <c r="E372" i="9" s="1"/>
  <c r="F123" i="7"/>
  <c r="F122" i="7" s="1"/>
  <c r="D29" i="9"/>
  <c r="D28" i="9" s="1"/>
  <c r="D27" i="9" s="1"/>
  <c r="F771" i="7"/>
  <c r="F770" i="7" s="1"/>
  <c r="D208" i="9"/>
  <c r="D207" i="9" s="1"/>
  <c r="D206" i="9" s="1"/>
  <c r="D202" i="9" s="1"/>
  <c r="F866" i="7"/>
  <c r="F865" i="7" s="1"/>
  <c r="F861" i="7" s="1"/>
  <c r="J571" i="7"/>
  <c r="F79" i="9"/>
  <c r="E282" i="9"/>
  <c r="E281" i="9" s="1"/>
  <c r="E280" i="9" s="1"/>
  <c r="J677" i="7"/>
  <c r="L678" i="7"/>
  <c r="F43" i="9"/>
  <c r="F665" i="9"/>
  <c r="F514" i="9"/>
  <c r="J361" i="7"/>
  <c r="F520" i="9"/>
  <c r="J568" i="7"/>
  <c r="F76" i="9"/>
  <c r="J722" i="7"/>
  <c r="F162" i="9"/>
  <c r="E245" i="9"/>
  <c r="E241" i="9" s="1"/>
  <c r="D174" i="9"/>
  <c r="D173" i="9" s="1"/>
  <c r="D172" i="9" s="1"/>
  <c r="D171" i="9" s="1"/>
  <c r="D170" i="9" s="1"/>
  <c r="F830" i="7"/>
  <c r="D282" i="9"/>
  <c r="D281" i="9" s="1"/>
  <c r="D280" i="9" s="1"/>
  <c r="D536" i="9"/>
  <c r="D535" i="9" s="1"/>
  <c r="D534" i="9" s="1"/>
  <c r="D533" i="9" s="1"/>
  <c r="F383" i="7"/>
  <c r="F382" i="7" s="1"/>
  <c r="F381" i="7" s="1"/>
  <c r="D578" i="9"/>
  <c r="D577" i="9" s="1"/>
  <c r="D576" i="9" s="1"/>
  <c r="F472" i="7"/>
  <c r="F471" i="7" s="1"/>
  <c r="E147" i="9"/>
  <c r="E468" i="9"/>
  <c r="E467" i="9" s="1"/>
  <c r="E466" i="9" s="1"/>
  <c r="J71" i="7"/>
  <c r="E499" i="9"/>
  <c r="E498" i="9" s="1"/>
  <c r="E497" i="9" s="1"/>
  <c r="E496" i="9" s="1"/>
  <c r="E264" i="9"/>
  <c r="E263" i="9" s="1"/>
  <c r="E79" i="9"/>
  <c r="E78" i="9" s="1"/>
  <c r="E77" i="9" s="1"/>
  <c r="J172" i="7"/>
  <c r="K172" i="7" s="1"/>
  <c r="E599" i="9"/>
  <c r="E598" i="9" s="1"/>
  <c r="D200" i="9"/>
  <c r="D199" i="9" s="1"/>
  <c r="G47" i="7"/>
  <c r="G46" i="7" s="1"/>
  <c r="E197" i="9"/>
  <c r="E198" i="9"/>
  <c r="F83" i="9"/>
  <c r="J601" i="7"/>
  <c r="D503" i="9"/>
  <c r="D502" i="9" s="1"/>
  <c r="D501" i="9" s="1"/>
  <c r="D288" i="9"/>
  <c r="D283" i="9" s="1"/>
  <c r="E328" i="9"/>
  <c r="E329" i="9"/>
  <c r="AD515" i="2"/>
  <c r="AD514" i="2" s="1"/>
  <c r="AD467" i="2"/>
  <c r="AD466" i="2"/>
  <c r="AD465" i="2" s="1"/>
  <c r="AD252" i="2"/>
  <c r="AD251" i="2" s="1"/>
  <c r="AD250" i="2" s="1"/>
  <c r="AD249" i="2" s="1"/>
  <c r="AD241" i="2" s="1"/>
  <c r="AD284" i="2"/>
  <c r="AD283" i="2" s="1"/>
  <c r="AD282" i="2" s="1"/>
  <c r="AD281" i="2" s="1"/>
  <c r="AD474" i="2"/>
  <c r="AD473" i="2" s="1"/>
  <c r="AD472" i="2" s="1"/>
  <c r="J123" i="7"/>
  <c r="F670" i="9"/>
  <c r="F344" i="7"/>
  <c r="F760" i="7"/>
  <c r="F759" i="7" s="1"/>
  <c r="F648" i="9"/>
  <c r="J170" i="7"/>
  <c r="K170" i="7" s="1"/>
  <c r="F378" i="9"/>
  <c r="J155" i="7"/>
  <c r="F683" i="9"/>
  <c r="J58" i="7"/>
  <c r="F412" i="9"/>
  <c r="J305" i="7"/>
  <c r="K305" i="7" s="1"/>
  <c r="F319" i="9"/>
  <c r="J383" i="7"/>
  <c r="F536" i="9"/>
  <c r="F57" i="10"/>
  <c r="D378" i="9"/>
  <c r="G171" i="7"/>
  <c r="G170" i="7" s="1"/>
  <c r="E378" i="9"/>
  <c r="E441" i="9"/>
  <c r="E440" i="9" s="1"/>
  <c r="E439" i="9" s="1"/>
  <c r="F147" i="9"/>
  <c r="F655" i="9"/>
  <c r="F454" i="9"/>
  <c r="F661" i="9"/>
  <c r="J37" i="7"/>
  <c r="F393" i="9"/>
  <c r="J185" i="7"/>
  <c r="J256" i="7"/>
  <c r="E16" i="10"/>
  <c r="E185" i="9"/>
  <c r="E184" i="9" s="1"/>
  <c r="D563" i="9"/>
  <c r="D603" i="9"/>
  <c r="D602" i="9" s="1"/>
  <c r="D601" i="9" s="1"/>
  <c r="F491" i="7"/>
  <c r="F490" i="7" s="1"/>
  <c r="E168" i="9"/>
  <c r="E167" i="9" s="1"/>
  <c r="E166" i="9" s="1"/>
  <c r="E661" i="9"/>
  <c r="E660" i="9" s="1"/>
  <c r="E659" i="9" s="1"/>
  <c r="F415" i="9"/>
  <c r="AD15" i="2"/>
  <c r="AD14" i="2" s="1"/>
  <c r="AD13" i="2" s="1"/>
  <c r="AD12" i="2" s="1"/>
  <c r="F18" i="7"/>
  <c r="F17" i="7" s="1"/>
  <c r="F16" i="7" s="1"/>
  <c r="F15" i="7" s="1"/>
  <c r="F14" i="7" s="1"/>
  <c r="F790" i="7" l="1"/>
  <c r="L738" i="7"/>
  <c r="M739" i="7"/>
  <c r="L846" i="7"/>
  <c r="M846" i="7" s="1"/>
  <c r="M847" i="7"/>
  <c r="F56" i="10"/>
  <c r="G56" i="10" s="1"/>
  <c r="G57" i="10"/>
  <c r="D47" i="9"/>
  <c r="G49" i="9"/>
  <c r="F264" i="9"/>
  <c r="F263" i="9" s="1"/>
  <c r="G263" i="9" s="1"/>
  <c r="F213" i="9"/>
  <c r="F212" i="9" s="1"/>
  <c r="G147" i="9"/>
  <c r="F47" i="9"/>
  <c r="G47" i="9" s="1"/>
  <c r="G198" i="9"/>
  <c r="G245" i="9"/>
  <c r="F660" i="9"/>
  <c r="G661" i="9"/>
  <c r="F25" i="9"/>
  <c r="G26" i="9"/>
  <c r="F88" i="9"/>
  <c r="G89" i="9"/>
  <c r="F605" i="9"/>
  <c r="G606" i="9"/>
  <c r="F164" i="9"/>
  <c r="G165" i="9"/>
  <c r="F577" i="9"/>
  <c r="G578" i="9"/>
  <c r="F304" i="9"/>
  <c r="G305" i="9"/>
  <c r="F17" i="9"/>
  <c r="G18" i="9"/>
  <c r="F672" i="9"/>
  <c r="G673" i="9"/>
  <c r="F90" i="9"/>
  <c r="G90" i="9" s="1"/>
  <c r="G91" i="9"/>
  <c r="F446" i="9"/>
  <c r="G446" i="9" s="1"/>
  <c r="G447" i="9"/>
  <c r="F472" i="9"/>
  <c r="G473" i="9"/>
  <c r="G380" i="9"/>
  <c r="G378" i="9"/>
  <c r="F513" i="9"/>
  <c r="G514" i="9"/>
  <c r="F580" i="9"/>
  <c r="F141" i="9"/>
  <c r="G141" i="9" s="1"/>
  <c r="G142" i="9"/>
  <c r="F373" i="9"/>
  <c r="G374" i="9"/>
  <c r="F274" i="9"/>
  <c r="G275" i="9"/>
  <c r="F34" i="9"/>
  <c r="G35" i="9"/>
  <c r="F642" i="9"/>
  <c r="G643" i="9"/>
  <c r="F368" i="9"/>
  <c r="G368" i="9" s="1"/>
  <c r="G369" i="9"/>
  <c r="F186" i="9"/>
  <c r="G186" i="9" s="1"/>
  <c r="G187" i="9"/>
  <c r="F260" i="9"/>
  <c r="G261" i="9"/>
  <c r="F299" i="9"/>
  <c r="G300" i="9"/>
  <c r="F65" i="9"/>
  <c r="G66" i="9"/>
  <c r="F370" i="9"/>
  <c r="G370" i="9" s="1"/>
  <c r="G371" i="9"/>
  <c r="F276" i="9"/>
  <c r="G276" i="9" s="1"/>
  <c r="G277" i="9"/>
  <c r="F444" i="9"/>
  <c r="G444" i="9" s="1"/>
  <c r="G445" i="9"/>
  <c r="F422" i="9"/>
  <c r="G422" i="9" s="1"/>
  <c r="G423" i="9"/>
  <c r="F248" i="9"/>
  <c r="G249" i="9"/>
  <c r="G379" i="9"/>
  <c r="F414" i="9"/>
  <c r="G415" i="9"/>
  <c r="F392" i="9"/>
  <c r="G393" i="9"/>
  <c r="F654" i="9"/>
  <c r="G655" i="9"/>
  <c r="F669" i="9"/>
  <c r="G670" i="9"/>
  <c r="F664" i="9"/>
  <c r="G665" i="9"/>
  <c r="G143" i="9"/>
  <c r="F28" i="9"/>
  <c r="G29" i="9"/>
  <c r="F111" i="9"/>
  <c r="G112" i="9"/>
  <c r="F219" i="9"/>
  <c r="G220" i="9"/>
  <c r="F40" i="9"/>
  <c r="G40" i="9" s="1"/>
  <c r="G41" i="9"/>
  <c r="F333" i="9"/>
  <c r="G333" i="9" s="1"/>
  <c r="G334" i="9"/>
  <c r="F543" i="9"/>
  <c r="G544" i="9"/>
  <c r="F384" i="9"/>
  <c r="G385" i="9"/>
  <c r="F271" i="9"/>
  <c r="G272" i="9"/>
  <c r="F657" i="9"/>
  <c r="G658" i="9"/>
  <c r="F599" i="9"/>
  <c r="G600" i="9"/>
  <c r="F524" i="9"/>
  <c r="G525" i="9"/>
  <c r="F389" i="9"/>
  <c r="G390" i="9"/>
  <c r="F574" i="9"/>
  <c r="G575" i="9"/>
  <c r="F483" i="9"/>
  <c r="G484" i="9"/>
  <c r="F561" i="9"/>
  <c r="G562" i="9"/>
  <c r="F402" i="9"/>
  <c r="G403" i="9"/>
  <c r="F45" i="9"/>
  <c r="G46" i="9"/>
  <c r="F115" i="9"/>
  <c r="G116" i="9"/>
  <c r="F281" i="9"/>
  <c r="G282" i="9"/>
  <c r="F173" i="9"/>
  <c r="G174" i="9"/>
  <c r="F167" i="9"/>
  <c r="G168" i="9"/>
  <c r="F602" i="9"/>
  <c r="G603" i="9"/>
  <c r="E366" i="9"/>
  <c r="G366" i="9" s="1"/>
  <c r="G367" i="9"/>
  <c r="F498" i="9"/>
  <c r="G499" i="9"/>
  <c r="F650" i="9"/>
  <c r="G651" i="9"/>
  <c r="F268" i="9"/>
  <c r="G269" i="9"/>
  <c r="F508" i="9"/>
  <c r="G509" i="9"/>
  <c r="F406" i="9"/>
  <c r="G407" i="9"/>
  <c r="G250" i="9"/>
  <c r="F453" i="9"/>
  <c r="G453" i="9" s="1"/>
  <c r="G454" i="9"/>
  <c r="F535" i="9"/>
  <c r="G536" i="9"/>
  <c r="F411" i="9"/>
  <c r="G412" i="9"/>
  <c r="F82" i="9"/>
  <c r="G83" i="9"/>
  <c r="F75" i="9"/>
  <c r="G76" i="9"/>
  <c r="F634" i="9"/>
  <c r="G635" i="9"/>
  <c r="F458" i="9"/>
  <c r="G459" i="9"/>
  <c r="F318" i="9"/>
  <c r="G318" i="9" s="1"/>
  <c r="G319" i="9"/>
  <c r="F682" i="9"/>
  <c r="G683" i="9"/>
  <c r="F647" i="9"/>
  <c r="G648" i="9"/>
  <c r="F161" i="9"/>
  <c r="G162" i="9"/>
  <c r="F519" i="9"/>
  <c r="G520" i="9"/>
  <c r="F42" i="9"/>
  <c r="G42" i="9" s="1"/>
  <c r="G43" i="9"/>
  <c r="F78" i="9"/>
  <c r="G79" i="9"/>
  <c r="F151" i="9"/>
  <c r="G151" i="9" s="1"/>
  <c r="G152" i="9"/>
  <c r="G197" i="9"/>
  <c r="F418" i="9"/>
  <c r="G419" i="9"/>
  <c r="F290" i="9"/>
  <c r="G291" i="9"/>
  <c r="F184" i="9"/>
  <c r="G184" i="9" s="1"/>
  <c r="G185" i="9"/>
  <c r="F539" i="9"/>
  <c r="G540" i="9"/>
  <c r="F426" i="9"/>
  <c r="G427" i="9"/>
  <c r="F295" i="9"/>
  <c r="G296" i="9"/>
  <c r="F432" i="9"/>
  <c r="G433" i="9"/>
  <c r="F199" i="9"/>
  <c r="G199" i="9" s="1"/>
  <c r="G200" i="9"/>
  <c r="F85" i="9"/>
  <c r="G86" i="9"/>
  <c r="F639" i="9"/>
  <c r="G640" i="9"/>
  <c r="F440" i="9"/>
  <c r="G441" i="9"/>
  <c r="F451" i="9"/>
  <c r="G451" i="9" s="1"/>
  <c r="G452" i="9"/>
  <c r="F429" i="9"/>
  <c r="G430" i="9"/>
  <c r="F516" i="9"/>
  <c r="G517" i="9"/>
  <c r="F624" i="9"/>
  <c r="G625" i="9"/>
  <c r="G264" i="9"/>
  <c r="F397" i="9"/>
  <c r="G398" i="9"/>
  <c r="F494" i="9"/>
  <c r="G495" i="9"/>
  <c r="F207" i="9"/>
  <c r="G208" i="9"/>
  <c r="F101" i="9"/>
  <c r="G101" i="9" s="1"/>
  <c r="G102" i="9"/>
  <c r="J154" i="7"/>
  <c r="K155" i="7"/>
  <c r="J600" i="7"/>
  <c r="K600" i="7" s="1"/>
  <c r="K601" i="7"/>
  <c r="J623" i="7"/>
  <c r="K624" i="7"/>
  <c r="J782" i="7"/>
  <c r="K783" i="7"/>
  <c r="J52" i="7"/>
  <c r="K52" i="7" s="1"/>
  <c r="K53" i="7"/>
  <c r="J274" i="7"/>
  <c r="K275" i="7"/>
  <c r="J471" i="7"/>
  <c r="K471" i="7" s="1"/>
  <c r="K472" i="7"/>
  <c r="J670" i="7"/>
  <c r="K671" i="7"/>
  <c r="J397" i="7"/>
  <c r="K397" i="7" s="1"/>
  <c r="K398" i="7"/>
  <c r="L13" i="7"/>
  <c r="M13" i="7" s="1"/>
  <c r="M157" i="7"/>
  <c r="J60" i="7"/>
  <c r="K60" i="7" s="1"/>
  <c r="K61" i="7"/>
  <c r="J382" i="7"/>
  <c r="K383" i="7"/>
  <c r="D569" i="9"/>
  <c r="D568" i="9" s="1"/>
  <c r="J721" i="7"/>
  <c r="K721" i="7" s="1"/>
  <c r="K722" i="7"/>
  <c r="L677" i="7"/>
  <c r="M678" i="7"/>
  <c r="J570" i="7"/>
  <c r="K570" i="7" s="1"/>
  <c r="K571" i="7"/>
  <c r="J386" i="7"/>
  <c r="K387" i="7"/>
  <c r="J573" i="7"/>
  <c r="K573" i="7" s="1"/>
  <c r="K574" i="7"/>
  <c r="J189" i="7"/>
  <c r="K189" i="7" s="1"/>
  <c r="K190" i="7"/>
  <c r="J344" i="7"/>
  <c r="J122" i="7"/>
  <c r="K123" i="7"/>
  <c r="J567" i="7"/>
  <c r="K567" i="7" s="1"/>
  <c r="K568" i="7"/>
  <c r="J474" i="7"/>
  <c r="K474" i="7" s="1"/>
  <c r="K475" i="7"/>
  <c r="J681" i="7"/>
  <c r="K681" i="7" s="1"/>
  <c r="K682" i="7"/>
  <c r="L574" i="7"/>
  <c r="M575" i="7"/>
  <c r="J493" i="7"/>
  <c r="K493" i="7" s="1"/>
  <c r="K494" i="7"/>
  <c r="J616" i="7"/>
  <c r="K616" i="7" s="1"/>
  <c r="K617" i="7"/>
  <c r="J535" i="7"/>
  <c r="K535" i="7" s="1"/>
  <c r="K536" i="7"/>
  <c r="J197" i="7"/>
  <c r="K197" i="7" s="1"/>
  <c r="K198" i="7"/>
  <c r="J449" i="7"/>
  <c r="K449" i="7" s="1"/>
  <c r="K452" i="7"/>
  <c r="J613" i="7"/>
  <c r="K613" i="7" s="1"/>
  <c r="K614" i="7"/>
  <c r="L614" i="7"/>
  <c r="M615" i="7"/>
  <c r="J201" i="7"/>
  <c r="K201" i="7" s="1"/>
  <c r="K202" i="7"/>
  <c r="L610" i="7"/>
  <c r="M611" i="7"/>
  <c r="L853" i="7"/>
  <c r="J208" i="7"/>
  <c r="K208" i="7" s="1"/>
  <c r="J880" i="7"/>
  <c r="K881" i="7"/>
  <c r="J337" i="7"/>
  <c r="K338" i="7"/>
  <c r="J262" i="7"/>
  <c r="K263" i="7"/>
  <c r="J703" i="7"/>
  <c r="K704" i="7"/>
  <c r="J36" i="7"/>
  <c r="K36" i="7" s="1"/>
  <c r="K37" i="7"/>
  <c r="L607" i="7"/>
  <c r="M608" i="7"/>
  <c r="J606" i="7"/>
  <c r="K606" i="7" s="1"/>
  <c r="K607" i="7"/>
  <c r="J530" i="7"/>
  <c r="K530" i="7" s="1"/>
  <c r="K531" i="7"/>
  <c r="J727" i="7"/>
  <c r="K727" i="7" s="1"/>
  <c r="K728" i="7"/>
  <c r="J609" i="7"/>
  <c r="K609" i="7" s="1"/>
  <c r="K610" i="7"/>
  <c r="J289" i="7"/>
  <c r="K290" i="7"/>
  <c r="L256" i="7"/>
  <c r="M257" i="7"/>
  <c r="J459" i="7"/>
  <c r="K460" i="7"/>
  <c r="J794" i="7"/>
  <c r="K794" i="7" s="1"/>
  <c r="K795" i="7"/>
  <c r="J17" i="7"/>
  <c r="K18" i="7"/>
  <c r="J255" i="7"/>
  <c r="K255" i="7" s="1"/>
  <c r="K256" i="7"/>
  <c r="J70" i="7"/>
  <c r="K71" i="7"/>
  <c r="J360" i="7"/>
  <c r="K361" i="7"/>
  <c r="J603" i="7"/>
  <c r="K603" i="7" s="1"/>
  <c r="K604" i="7"/>
  <c r="J865" i="7"/>
  <c r="K866" i="7"/>
  <c r="J697" i="7"/>
  <c r="K698" i="7"/>
  <c r="J759" i="7"/>
  <c r="K760" i="7"/>
  <c r="J408" i="7"/>
  <c r="K409" i="7"/>
  <c r="J767" i="7"/>
  <c r="K767" i="7" s="1"/>
  <c r="K768" i="7"/>
  <c r="J270" i="7"/>
  <c r="K271" i="7"/>
  <c r="J184" i="7"/>
  <c r="K184" i="7" s="1"/>
  <c r="K185" i="7"/>
  <c r="F506" i="9"/>
  <c r="J57" i="7"/>
  <c r="K57" i="7" s="1"/>
  <c r="K58" i="7"/>
  <c r="J676" i="7"/>
  <c r="K677" i="7"/>
  <c r="J770" i="7"/>
  <c r="K771" i="7"/>
  <c r="L843" i="7"/>
  <c r="M843" i="7" s="1"/>
  <c r="M844" i="7"/>
  <c r="J619" i="7"/>
  <c r="K619" i="7" s="1"/>
  <c r="K620" i="7"/>
  <c r="J400" i="7"/>
  <c r="K400" i="7" s="1"/>
  <c r="K401" i="7"/>
  <c r="J390" i="7"/>
  <c r="K391" i="7"/>
  <c r="J446" i="7"/>
  <c r="K447" i="7"/>
  <c r="J33" i="7"/>
  <c r="K33" i="7" s="1"/>
  <c r="K34" i="7"/>
  <c r="J490" i="7"/>
  <c r="K490" i="7" s="1"/>
  <c r="K491" i="7"/>
  <c r="L839" i="7"/>
  <c r="M839" i="7" s="1"/>
  <c r="M840" i="7"/>
  <c r="J319" i="7"/>
  <c r="K320" i="7"/>
  <c r="J326" i="7"/>
  <c r="K327" i="7"/>
  <c r="J347" i="7"/>
  <c r="K347" i="7" s="1"/>
  <c r="K348" i="7"/>
  <c r="J873" i="7"/>
  <c r="K874" i="7"/>
  <c r="J776" i="7"/>
  <c r="K776" i="7" s="1"/>
  <c r="K777" i="7"/>
  <c r="J365" i="7"/>
  <c r="K366" i="7"/>
  <c r="J418" i="7"/>
  <c r="K419" i="7"/>
  <c r="J791" i="7"/>
  <c r="K792" i="7"/>
  <c r="E465" i="9"/>
  <c r="E450" i="9"/>
  <c r="E382" i="9"/>
  <c r="E381" i="9" s="1"/>
  <c r="K344" i="7"/>
  <c r="J828" i="7"/>
  <c r="K830" i="7"/>
  <c r="J831" i="7"/>
  <c r="K831" i="7" s="1"/>
  <c r="K832" i="7"/>
  <c r="E532" i="9"/>
  <c r="E526" i="9" s="1"/>
  <c r="D532" i="9"/>
  <c r="D210" i="9"/>
  <c r="D209" i="9" s="1"/>
  <c r="D158" i="9"/>
  <c r="D157" i="9" s="1"/>
  <c r="J739" i="7"/>
  <c r="K739" i="7" s="1"/>
  <c r="J304" i="7"/>
  <c r="J99" i="7"/>
  <c r="AF284" i="2"/>
  <c r="AG284" i="2" s="1"/>
  <c r="AF428" i="2"/>
  <c r="AG428" i="2" s="1"/>
  <c r="AD19" i="2"/>
  <c r="AF118" i="2"/>
  <c r="AF109" i="2" s="1"/>
  <c r="AF108" i="2" s="1"/>
  <c r="AF31" i="2"/>
  <c r="AF30" i="2" s="1"/>
  <c r="AF516" i="2"/>
  <c r="AG516" i="2" s="1"/>
  <c r="AF252" i="2"/>
  <c r="AF368" i="2"/>
  <c r="AF514" i="2"/>
  <c r="AG514" i="2" s="1"/>
  <c r="AG515" i="2"/>
  <c r="AF414" i="2"/>
  <c r="AG414" i="2" s="1"/>
  <c r="AG415" i="2"/>
  <c r="AF492" i="2"/>
  <c r="AG493" i="2"/>
  <c r="AF320" i="2"/>
  <c r="AG324" i="2"/>
  <c r="AF22" i="2"/>
  <c r="AG23" i="2"/>
  <c r="AF207" i="2"/>
  <c r="AG208" i="2"/>
  <c r="AF273" i="2"/>
  <c r="AG273" i="2" s="1"/>
  <c r="AG274" i="2"/>
  <c r="AF362" i="2"/>
  <c r="AG363" i="2"/>
  <c r="AF154" i="2"/>
  <c r="AG154" i="2" s="1"/>
  <c r="AG155" i="2"/>
  <c r="AF339" i="2"/>
  <c r="AF139" i="2"/>
  <c r="AG140" i="2"/>
  <c r="AF518" i="2"/>
  <c r="AG519" i="2"/>
  <c r="AF245" i="2"/>
  <c r="AG246" i="2"/>
  <c r="AF179" i="2"/>
  <c r="AG180" i="2"/>
  <c r="AF269" i="2"/>
  <c r="AG270" i="2"/>
  <c r="AF295" i="2"/>
  <c r="AG296" i="2"/>
  <c r="AF486" i="2"/>
  <c r="AG487" i="2"/>
  <c r="AF262" i="2"/>
  <c r="AG263" i="2"/>
  <c r="AF49" i="2"/>
  <c r="AG50" i="2"/>
  <c r="AF333" i="2"/>
  <c r="AG334" i="2"/>
  <c r="AF187" i="2"/>
  <c r="AG188" i="2"/>
  <c r="AG384" i="2"/>
  <c r="AG385" i="2"/>
  <c r="AF100" i="2"/>
  <c r="AG101" i="2"/>
  <c r="AF172" i="2"/>
  <c r="AF476" i="2"/>
  <c r="AG477" i="2"/>
  <c r="AF277" i="2"/>
  <c r="AG277" i="2" s="1"/>
  <c r="AG278" i="2"/>
  <c r="AF221" i="2"/>
  <c r="AG222" i="2"/>
  <c r="AF90" i="2"/>
  <c r="AG94" i="2"/>
  <c r="AG306" i="2"/>
  <c r="AF305" i="2"/>
  <c r="AG305" i="2" s="1"/>
  <c r="AF396" i="2"/>
  <c r="AF395" i="2" s="1"/>
  <c r="AG397" i="2"/>
  <c r="AF236" i="2"/>
  <c r="AG237" i="2"/>
  <c r="AF202" i="2"/>
  <c r="AF197" i="2" s="1"/>
  <c r="AG203" i="2"/>
  <c r="AF355" i="2"/>
  <c r="AF354" i="2" s="1"/>
  <c r="AG356" i="2"/>
  <c r="AF191" i="2"/>
  <c r="AG191" i="2" s="1"/>
  <c r="AG192" i="2"/>
  <c r="AF468" i="2"/>
  <c r="AG469" i="2"/>
  <c r="AF15" i="2"/>
  <c r="H17" i="7"/>
  <c r="H16" i="7" s="1"/>
  <c r="H15" i="7" s="1"/>
  <c r="H14" i="7" s="1"/>
  <c r="H13" i="7" s="1"/>
  <c r="AG16" i="2"/>
  <c r="G595" i="7"/>
  <c r="D182" i="9"/>
  <c r="D176" i="9" s="1"/>
  <c r="D175" i="9" s="1"/>
  <c r="AD377" i="2"/>
  <c r="AD376" i="2" s="1"/>
  <c r="G755" i="7"/>
  <c r="G754" i="7" s="1"/>
  <c r="E22" i="10"/>
  <c r="AD404" i="2"/>
  <c r="AD403" i="2" s="1"/>
  <c r="AD394" i="2" s="1"/>
  <c r="D23" i="9"/>
  <c r="D22" i="9" s="1"/>
  <c r="E23" i="9"/>
  <c r="E22" i="9" s="1"/>
  <c r="E15" i="9"/>
  <c r="E14" i="9" s="1"/>
  <c r="F758" i="7"/>
  <c r="F757" i="7" s="1"/>
  <c r="F304" i="7"/>
  <c r="F303" i="7" s="1"/>
  <c r="F302" i="7" s="1"/>
  <c r="D317" i="9"/>
  <c r="D316" i="9" s="1"/>
  <c r="D315" i="9" s="1"/>
  <c r="E317" i="9"/>
  <c r="E316" i="9" s="1"/>
  <c r="E315" i="9" s="1"/>
  <c r="E292" i="9"/>
  <c r="F412" i="7"/>
  <c r="F411" i="7" s="1"/>
  <c r="F404" i="7" s="1"/>
  <c r="F201" i="7"/>
  <c r="J902" i="7"/>
  <c r="K902" i="7" s="1"/>
  <c r="J905" i="7"/>
  <c r="J903" i="7"/>
  <c r="K903" i="7" s="1"/>
  <c r="F853" i="7"/>
  <c r="F852" i="7" s="1"/>
  <c r="J853" i="7"/>
  <c r="D330" i="9"/>
  <c r="D329" i="9" s="1"/>
  <c r="F208" i="7"/>
  <c r="F449" i="7"/>
  <c r="F444" i="7" s="1"/>
  <c r="F443" i="7" s="1"/>
  <c r="F870" i="7"/>
  <c r="F869" i="7" s="1"/>
  <c r="F482" i="7"/>
  <c r="E273" i="9"/>
  <c r="E266" i="9" s="1"/>
  <c r="G564" i="7"/>
  <c r="G563" i="7" s="1"/>
  <c r="G562" i="7" s="1"/>
  <c r="F244" i="9"/>
  <c r="F241" i="9"/>
  <c r="G327" i="7"/>
  <c r="G326" i="7" s="1"/>
  <c r="G325" i="7" s="1"/>
  <c r="G324" i="7" s="1"/>
  <c r="G323" i="7" s="1"/>
  <c r="G322" i="7" s="1"/>
  <c r="F327" i="7"/>
  <c r="F326" i="7" s="1"/>
  <c r="F325" i="7" s="1"/>
  <c r="F324" i="7" s="1"/>
  <c r="F323" i="7" s="1"/>
  <c r="D26" i="10" s="1"/>
  <c r="AD317" i="2"/>
  <c r="L754" i="7"/>
  <c r="M754" i="7" s="1"/>
  <c r="D587" i="9"/>
  <c r="D586" i="9" s="1"/>
  <c r="E44" i="10"/>
  <c r="D465" i="9"/>
  <c r="AD366" i="2"/>
  <c r="AD359" i="2" s="1"/>
  <c r="AD196" i="2"/>
  <c r="AD195" i="2" s="1"/>
  <c r="E492" i="9"/>
  <c r="E491" i="9" s="1"/>
  <c r="F254" i="7"/>
  <c r="F253" i="7" s="1"/>
  <c r="F252" i="7" s="1"/>
  <c r="F251" i="7" s="1"/>
  <c r="G254" i="7"/>
  <c r="G253" i="7" s="1"/>
  <c r="G252" i="7" s="1"/>
  <c r="G251" i="7" s="1"/>
  <c r="G250" i="7" s="1"/>
  <c r="D492" i="9"/>
  <c r="D491" i="9" s="1"/>
  <c r="D266" i="9"/>
  <c r="AD234" i="2"/>
  <c r="AD233" i="2" s="1"/>
  <c r="F268" i="7"/>
  <c r="F267" i="7" s="1"/>
  <c r="F266" i="7" s="1"/>
  <c r="D22" i="10" s="1"/>
  <c r="AD118" i="2"/>
  <c r="AD109" i="2" s="1"/>
  <c r="D442" i="9"/>
  <c r="F667" i="7"/>
  <c r="F121" i="9"/>
  <c r="F612" i="7"/>
  <c r="E159" i="9"/>
  <c r="E416" i="9"/>
  <c r="E262" i="9"/>
  <c r="D262" i="9"/>
  <c r="F290" i="7"/>
  <c r="F289" i="7" s="1"/>
  <c r="F288" i="7" s="1"/>
  <c r="D416" i="9"/>
  <c r="G731" i="7"/>
  <c r="G730" i="7" s="1"/>
  <c r="G711" i="7" s="1"/>
  <c r="D404" i="9"/>
  <c r="G675" i="7"/>
  <c r="G674" i="7" s="1"/>
  <c r="G673" i="7" s="1"/>
  <c r="G666" i="7" s="1"/>
  <c r="AD240" i="2"/>
  <c r="D368" i="9"/>
  <c r="D365" i="9" s="1"/>
  <c r="D364" i="9" s="1"/>
  <c r="E211" i="9"/>
  <c r="E122" i="9"/>
  <c r="E121" i="9" s="1"/>
  <c r="E119" i="9" s="1"/>
  <c r="E118" i="9" s="1"/>
  <c r="E117" i="9" s="1"/>
  <c r="E29" i="10"/>
  <c r="F380" i="7"/>
  <c r="F379" i="7" s="1"/>
  <c r="F378" i="7" s="1"/>
  <c r="D29" i="10" s="1"/>
  <c r="J285" i="7"/>
  <c r="F285" i="7"/>
  <c r="F284" i="7" s="1"/>
  <c r="F279" i="7" s="1"/>
  <c r="E302" i="9"/>
  <c r="E301" i="9" s="1"/>
  <c r="F529" i="7"/>
  <c r="F528" i="7" s="1"/>
  <c r="E632" i="9"/>
  <c r="E631" i="9" s="1"/>
  <c r="E630" i="9" s="1"/>
  <c r="D108" i="9"/>
  <c r="D107" i="9" s="1"/>
  <c r="D100" i="9" s="1"/>
  <c r="F108" i="9"/>
  <c r="G463" i="7"/>
  <c r="F149" i="7"/>
  <c r="F361" i="7"/>
  <c r="F360" i="7" s="1"/>
  <c r="F353" i="7" s="1"/>
  <c r="F352" i="7" s="1"/>
  <c r="E39" i="9"/>
  <c r="E38" i="9" s="1"/>
  <c r="E37" i="9" s="1"/>
  <c r="E36" i="9" s="1"/>
  <c r="F879" i="7"/>
  <c r="F878" i="7" s="1"/>
  <c r="E481" i="9"/>
  <c r="E480" i="9" s="1"/>
  <c r="E51" i="10"/>
  <c r="F740" i="7"/>
  <c r="F739" i="7" s="1"/>
  <c r="F738" i="7" s="1"/>
  <c r="F732" i="7" s="1"/>
  <c r="E581" i="9"/>
  <c r="E580" i="9" s="1"/>
  <c r="E579" i="9" s="1"/>
  <c r="F566" i="7"/>
  <c r="F565" i="7" s="1"/>
  <c r="F51" i="7"/>
  <c r="F50" i="7" s="1"/>
  <c r="F49" i="7" s="1"/>
  <c r="F48" i="7" s="1"/>
  <c r="F39" i="7" s="1"/>
  <c r="F777" i="7"/>
  <c r="F776" i="7" s="1"/>
  <c r="F599" i="7"/>
  <c r="F595" i="7" s="1"/>
  <c r="J680" i="7"/>
  <c r="K680" i="7" s="1"/>
  <c r="F702" i="7"/>
  <c r="E511" i="9"/>
  <c r="E510" i="9" s="1"/>
  <c r="E109" i="9"/>
  <c r="G109" i="9" s="1"/>
  <c r="E146" i="9"/>
  <c r="E145" i="9" s="1"/>
  <c r="E140" i="9" s="1"/>
  <c r="F189" i="9"/>
  <c r="G189" i="9" s="1"/>
  <c r="F782" i="7"/>
  <c r="F781" i="7" s="1"/>
  <c r="F780" i="7" s="1"/>
  <c r="F779" i="7" s="1"/>
  <c r="F193" i="9"/>
  <c r="J748" i="7"/>
  <c r="E327" i="9"/>
  <c r="E326" i="9" s="1"/>
  <c r="E325" i="9" s="1"/>
  <c r="E404" i="9"/>
  <c r="F175" i="7"/>
  <c r="F174" i="7" s="1"/>
  <c r="F475" i="7"/>
  <c r="F474" i="7" s="1"/>
  <c r="F464" i="7" s="1"/>
  <c r="F396" i="7"/>
  <c r="F395" i="7" s="1"/>
  <c r="F394" i="7" s="1"/>
  <c r="F393" i="7" s="1"/>
  <c r="E30" i="10"/>
  <c r="F860" i="7"/>
  <c r="F859" i="7" s="1"/>
  <c r="F858" i="7" s="1"/>
  <c r="D51" i="10" s="1"/>
  <c r="F680" i="7"/>
  <c r="F846" i="7"/>
  <c r="F343" i="7"/>
  <c r="F342" i="7" s="1"/>
  <c r="F341" i="7" s="1"/>
  <c r="F340" i="7" s="1"/>
  <c r="F332" i="7" s="1"/>
  <c r="E73" i="9"/>
  <c r="F686" i="7"/>
  <c r="F685" i="7" s="1"/>
  <c r="D562" i="9"/>
  <c r="D561" i="9" s="1"/>
  <c r="D560" i="9" s="1"/>
  <c r="D559" i="9" s="1"/>
  <c r="E183" i="9"/>
  <c r="E182" i="9" s="1"/>
  <c r="E176" i="9" s="1"/>
  <c r="F720" i="7"/>
  <c r="G43" i="7"/>
  <c r="G42" i="7" s="1"/>
  <c r="G41" i="7" s="1"/>
  <c r="J838" i="7"/>
  <c r="F161" i="7"/>
  <c r="F160" i="7" s="1"/>
  <c r="F99" i="7"/>
  <c r="F98" i="7" s="1"/>
  <c r="F116" i="7"/>
  <c r="E80" i="9"/>
  <c r="J29" i="7"/>
  <c r="G169" i="7"/>
  <c r="G168" i="7" s="1"/>
  <c r="G159" i="7" s="1"/>
  <c r="G158" i="7" s="1"/>
  <c r="G157" i="7" s="1"/>
  <c r="J686" i="7"/>
  <c r="J829" i="7"/>
  <c r="K829" i="7" s="1"/>
  <c r="D38" i="9"/>
  <c r="D37" i="9" s="1"/>
  <c r="D36" i="9" s="1"/>
  <c r="J43" i="7"/>
  <c r="G841" i="7"/>
  <c r="G838" i="7" s="1"/>
  <c r="G837" i="7" s="1"/>
  <c r="G836" i="7" s="1"/>
  <c r="G835" i="7" s="1"/>
  <c r="J161" i="7"/>
  <c r="E662" i="9"/>
  <c r="D381" i="9"/>
  <c r="G851" i="7"/>
  <c r="G845" i="7" s="1"/>
  <c r="G852" i="7"/>
  <c r="J169" i="7"/>
  <c r="D80" i="9"/>
  <c r="D69" i="9" s="1"/>
  <c r="F29" i="7"/>
  <c r="F22" i="7" s="1"/>
  <c r="F21" i="7" s="1"/>
  <c r="D196" i="9"/>
  <c r="D195" i="9" s="1"/>
  <c r="D194" i="9" s="1"/>
  <c r="E652" i="9"/>
  <c r="E645" i="9" s="1"/>
  <c r="E196" i="9"/>
  <c r="E195" i="9" s="1"/>
  <c r="E194" i="9" s="1"/>
  <c r="F838" i="7"/>
  <c r="F837" i="7" s="1"/>
  <c r="F836" i="7" s="1"/>
  <c r="F835" i="7" s="1"/>
  <c r="D500" i="9"/>
  <c r="D201" i="9"/>
  <c r="E240" i="9"/>
  <c r="E239" i="9" s="1"/>
  <c r="E238" i="9" s="1"/>
  <c r="E244" i="9"/>
  <c r="F828" i="7"/>
  <c r="F827" i="7" s="1"/>
  <c r="F829" i="7"/>
  <c r="E27" i="10"/>
  <c r="F376" i="9"/>
  <c r="F377" i="9"/>
  <c r="AD464" i="2"/>
  <c r="E376" i="9"/>
  <c r="E375" i="9" s="1"/>
  <c r="E377" i="9"/>
  <c r="D376" i="9"/>
  <c r="D375" i="9" s="1"/>
  <c r="D377" i="9"/>
  <c r="J849" i="7"/>
  <c r="F327" i="9"/>
  <c r="D11" i="10"/>
  <c r="L732" i="7" l="1"/>
  <c r="M738" i="7"/>
  <c r="F196" i="9"/>
  <c r="G196" i="9" s="1"/>
  <c r="J482" i="7"/>
  <c r="G213" i="9"/>
  <c r="G377" i="9"/>
  <c r="F39" i="9"/>
  <c r="G39" i="9" s="1"/>
  <c r="E365" i="9"/>
  <c r="E364" i="9" s="1"/>
  <c r="E363" i="9" s="1"/>
  <c r="J343" i="7"/>
  <c r="K343" i="7" s="1"/>
  <c r="F146" i="9"/>
  <c r="F145" i="9" s="1"/>
  <c r="J720" i="7"/>
  <c r="K720" i="7" s="1"/>
  <c r="J396" i="7"/>
  <c r="F493" i="9"/>
  <c r="G494" i="9"/>
  <c r="F74" i="9"/>
  <c r="G75" i="9"/>
  <c r="F668" i="9"/>
  <c r="G668" i="9" s="1"/>
  <c r="G669" i="9"/>
  <c r="F391" i="9"/>
  <c r="G391" i="9" s="1"/>
  <c r="G392" i="9"/>
  <c r="F262" i="9"/>
  <c r="G262" i="9" s="1"/>
  <c r="F119" i="9"/>
  <c r="G121" i="9"/>
  <c r="F505" i="9"/>
  <c r="G506" i="9"/>
  <c r="G122" i="9"/>
  <c r="F515" i="9"/>
  <c r="G516" i="9"/>
  <c r="F638" i="9"/>
  <c r="G638" i="9" s="1"/>
  <c r="G639" i="9"/>
  <c r="F294" i="9"/>
  <c r="G295" i="9"/>
  <c r="F538" i="9"/>
  <c r="G539" i="9"/>
  <c r="F289" i="9"/>
  <c r="G290" i="9"/>
  <c r="F77" i="9"/>
  <c r="G77" i="9" s="1"/>
  <c r="G78" i="9"/>
  <c r="F518" i="9"/>
  <c r="G518" i="9" s="1"/>
  <c r="G519" i="9"/>
  <c r="F646" i="9"/>
  <c r="G646" i="9" s="1"/>
  <c r="G647" i="9"/>
  <c r="F507" i="9"/>
  <c r="G507" i="9" s="1"/>
  <c r="G508" i="9"/>
  <c r="F649" i="9"/>
  <c r="G649" i="9" s="1"/>
  <c r="G650" i="9"/>
  <c r="F166" i="9"/>
  <c r="G166" i="9" s="1"/>
  <c r="G167" i="9"/>
  <c r="F280" i="9"/>
  <c r="G280" i="9" s="1"/>
  <c r="G281" i="9"/>
  <c r="F44" i="9"/>
  <c r="G44" i="9" s="1"/>
  <c r="G45" i="9"/>
  <c r="F560" i="9"/>
  <c r="G561" i="9"/>
  <c r="F573" i="9"/>
  <c r="G574" i="9"/>
  <c r="F523" i="9"/>
  <c r="G524" i="9"/>
  <c r="F656" i="9"/>
  <c r="G656" i="9" s="1"/>
  <c r="G657" i="9"/>
  <c r="F383" i="9"/>
  <c r="G384" i="9"/>
  <c r="F218" i="9"/>
  <c r="G218" i="9" s="1"/>
  <c r="G219" i="9"/>
  <c r="G212" i="9"/>
  <c r="F247" i="9"/>
  <c r="G248" i="9"/>
  <c r="F298" i="9"/>
  <c r="G299" i="9"/>
  <c r="F641" i="9"/>
  <c r="G641" i="9" s="1"/>
  <c r="G642" i="9"/>
  <c r="F273" i="9"/>
  <c r="G273" i="9" s="1"/>
  <c r="G274" i="9"/>
  <c r="F512" i="9"/>
  <c r="G512" i="9" s="1"/>
  <c r="G513" i="9"/>
  <c r="F471" i="9"/>
  <c r="G472" i="9"/>
  <c r="F16" i="9"/>
  <c r="G17" i="9"/>
  <c r="F576" i="9"/>
  <c r="G576" i="9" s="1"/>
  <c r="G577" i="9"/>
  <c r="F604" i="9"/>
  <c r="G604" i="9" s="1"/>
  <c r="G605" i="9"/>
  <c r="F24" i="9"/>
  <c r="G25" i="9"/>
  <c r="F326" i="9"/>
  <c r="G327" i="9"/>
  <c r="F375" i="9"/>
  <c r="G375" i="9" s="1"/>
  <c r="G376" i="9"/>
  <c r="F192" i="9"/>
  <c r="G193" i="9"/>
  <c r="F365" i="9"/>
  <c r="F443" i="9"/>
  <c r="G443" i="9" s="1"/>
  <c r="F206" i="9"/>
  <c r="G207" i="9"/>
  <c r="F396" i="9"/>
  <c r="G397" i="9"/>
  <c r="F633" i="9"/>
  <c r="G634" i="9"/>
  <c r="F81" i="9"/>
  <c r="G82" i="9"/>
  <c r="F534" i="9"/>
  <c r="G535" i="9"/>
  <c r="F663" i="9"/>
  <c r="G664" i="9"/>
  <c r="F653" i="9"/>
  <c r="G654" i="9"/>
  <c r="F413" i="9"/>
  <c r="G413" i="9" s="1"/>
  <c r="G414" i="9"/>
  <c r="G581" i="9"/>
  <c r="F38" i="9"/>
  <c r="F195" i="9"/>
  <c r="G244" i="9"/>
  <c r="F410" i="9"/>
  <c r="G410" i="9" s="1"/>
  <c r="G411" i="9"/>
  <c r="F107" i="9"/>
  <c r="F240" i="9"/>
  <c r="G241" i="9"/>
  <c r="F330" i="9"/>
  <c r="F317" i="9"/>
  <c r="F450" i="9"/>
  <c r="F623" i="9"/>
  <c r="G624" i="9"/>
  <c r="F428" i="9"/>
  <c r="G428" i="9" s="1"/>
  <c r="G429" i="9"/>
  <c r="F439" i="9"/>
  <c r="G439" i="9" s="1"/>
  <c r="G440" i="9"/>
  <c r="F84" i="9"/>
  <c r="G84" i="9" s="1"/>
  <c r="G85" i="9"/>
  <c r="F431" i="9"/>
  <c r="G431" i="9" s="1"/>
  <c r="G432" i="9"/>
  <c r="F425" i="9"/>
  <c r="G425" i="9" s="1"/>
  <c r="G426" i="9"/>
  <c r="F417" i="9"/>
  <c r="G418" i="9"/>
  <c r="F160" i="9"/>
  <c r="G161" i="9"/>
  <c r="F681" i="9"/>
  <c r="G682" i="9"/>
  <c r="F457" i="9"/>
  <c r="G457" i="9" s="1"/>
  <c r="G458" i="9"/>
  <c r="F405" i="9"/>
  <c r="G406" i="9"/>
  <c r="F267" i="9"/>
  <c r="G268" i="9"/>
  <c r="F497" i="9"/>
  <c r="G498" i="9"/>
  <c r="F601" i="9"/>
  <c r="G601" i="9" s="1"/>
  <c r="G602" i="9"/>
  <c r="F172" i="9"/>
  <c r="G173" i="9"/>
  <c r="F114" i="9"/>
  <c r="G115" i="9"/>
  <c r="F401" i="9"/>
  <c r="G401" i="9" s="1"/>
  <c r="G402" i="9"/>
  <c r="F482" i="9"/>
  <c r="G483" i="9"/>
  <c r="F388" i="9"/>
  <c r="G388" i="9" s="1"/>
  <c r="G389" i="9"/>
  <c r="F598" i="9"/>
  <c r="G598" i="9" s="1"/>
  <c r="G599" i="9"/>
  <c r="F270" i="9"/>
  <c r="G270" i="9" s="1"/>
  <c r="G271" i="9"/>
  <c r="F542" i="9"/>
  <c r="G543" i="9"/>
  <c r="F110" i="9"/>
  <c r="G110" i="9" s="1"/>
  <c r="G111" i="9"/>
  <c r="F27" i="9"/>
  <c r="G27" i="9" s="1"/>
  <c r="G28" i="9"/>
  <c r="F64" i="9"/>
  <c r="G65" i="9"/>
  <c r="F259" i="9"/>
  <c r="G260" i="9"/>
  <c r="F33" i="9"/>
  <c r="G33" i="9" s="1"/>
  <c r="G34" i="9"/>
  <c r="F372" i="9"/>
  <c r="G372" i="9" s="1"/>
  <c r="G373" i="9"/>
  <c r="F579" i="9"/>
  <c r="G579" i="9" s="1"/>
  <c r="G580" i="9"/>
  <c r="F671" i="9"/>
  <c r="G671" i="9" s="1"/>
  <c r="G672" i="9"/>
  <c r="F303" i="9"/>
  <c r="G304" i="9"/>
  <c r="F163" i="9"/>
  <c r="G163" i="9" s="1"/>
  <c r="G164" i="9"/>
  <c r="F87" i="9"/>
  <c r="G87" i="9" s="1"/>
  <c r="G88" i="9"/>
  <c r="F659" i="9"/>
  <c r="G659" i="9" s="1"/>
  <c r="G660" i="9"/>
  <c r="J464" i="7"/>
  <c r="K464" i="7" s="1"/>
  <c r="J22" i="7"/>
  <c r="K29" i="7"/>
  <c r="J747" i="7"/>
  <c r="K747" i="7" s="1"/>
  <c r="K748" i="7"/>
  <c r="J851" i="7"/>
  <c r="K851" i="7" s="1"/>
  <c r="K853" i="7"/>
  <c r="J904" i="7"/>
  <c r="K904" i="7" s="1"/>
  <c r="K905" i="7"/>
  <c r="J861" i="7"/>
  <c r="K865" i="7"/>
  <c r="L255" i="7"/>
  <c r="M256" i="7"/>
  <c r="K703" i="7"/>
  <c r="J702" i="7"/>
  <c r="J336" i="7"/>
  <c r="K337" i="7"/>
  <c r="L851" i="7"/>
  <c r="M853" i="7"/>
  <c r="J116" i="7"/>
  <c r="K122" i="7"/>
  <c r="J381" i="7"/>
  <c r="K382" i="7"/>
  <c r="J669" i="7"/>
  <c r="K670" i="7"/>
  <c r="J273" i="7"/>
  <c r="K273" i="7" s="1"/>
  <c r="K274" i="7"/>
  <c r="J168" i="7"/>
  <c r="K168" i="7" s="1"/>
  <c r="K169" i="7"/>
  <c r="J160" i="7"/>
  <c r="K160" i="7" s="1"/>
  <c r="K161" i="7"/>
  <c r="J395" i="7"/>
  <c r="K396" i="7"/>
  <c r="J254" i="7"/>
  <c r="J364" i="7"/>
  <c r="K365" i="7"/>
  <c r="J325" i="7"/>
  <c r="K326" i="7"/>
  <c r="J389" i="7"/>
  <c r="K389" i="7" s="1"/>
  <c r="K390" i="7"/>
  <c r="J51" i="7"/>
  <c r="J42" i="7"/>
  <c r="K43" i="7"/>
  <c r="L838" i="7"/>
  <c r="J303" i="7"/>
  <c r="K304" i="7"/>
  <c r="J417" i="7"/>
  <c r="K418" i="7"/>
  <c r="J318" i="7"/>
  <c r="K319" i="7"/>
  <c r="J445" i="7"/>
  <c r="K446" i="7"/>
  <c r="J675" i="7"/>
  <c r="K676" i="7"/>
  <c r="J385" i="7"/>
  <c r="K385" i="7" s="1"/>
  <c r="K386" i="7"/>
  <c r="L676" i="7"/>
  <c r="M677" i="7"/>
  <c r="J284" i="7"/>
  <c r="K285" i="7"/>
  <c r="J463" i="7"/>
  <c r="K463" i="7" s="1"/>
  <c r="J758" i="7"/>
  <c r="K759" i="7"/>
  <c r="J353" i="7"/>
  <c r="K360" i="7"/>
  <c r="L606" i="7"/>
  <c r="M607" i="7"/>
  <c r="L573" i="7"/>
  <c r="M574" i="7"/>
  <c r="J781" i="7"/>
  <c r="K782" i="7"/>
  <c r="J529" i="7"/>
  <c r="J837" i="7"/>
  <c r="K838" i="7"/>
  <c r="J175" i="7"/>
  <c r="J200" i="7"/>
  <c r="K200" i="7" s="1"/>
  <c r="K791" i="7"/>
  <c r="J790" i="7"/>
  <c r="K790" i="7" s="1"/>
  <c r="J872" i="7"/>
  <c r="K873" i="7"/>
  <c r="J766" i="7"/>
  <c r="K770" i="7"/>
  <c r="J848" i="7"/>
  <c r="K848" i="7" s="1"/>
  <c r="K849" i="7"/>
  <c r="J566" i="7"/>
  <c r="J685" i="7"/>
  <c r="K685" i="7" s="1"/>
  <c r="K686" i="7"/>
  <c r="J599" i="7"/>
  <c r="J612" i="7"/>
  <c r="K612" i="7" s="1"/>
  <c r="J481" i="7"/>
  <c r="K481" i="7" s="1"/>
  <c r="K482" i="7"/>
  <c r="L852" i="7"/>
  <c r="M852" i="7" s="1"/>
  <c r="J98" i="7"/>
  <c r="K99" i="7"/>
  <c r="J269" i="7"/>
  <c r="K270" i="7"/>
  <c r="J407" i="7"/>
  <c r="K408" i="7"/>
  <c r="J696" i="7"/>
  <c r="K697" i="7"/>
  <c r="J69" i="7"/>
  <c r="K70" i="7"/>
  <c r="J16" i="7"/>
  <c r="K17" i="7"/>
  <c r="J458" i="7"/>
  <c r="K459" i="7"/>
  <c r="J288" i="7"/>
  <c r="K288" i="7" s="1"/>
  <c r="K289" i="7"/>
  <c r="J261" i="7"/>
  <c r="K262" i="7"/>
  <c r="K880" i="7"/>
  <c r="J879" i="7"/>
  <c r="L609" i="7"/>
  <c r="M609" i="7" s="1"/>
  <c r="M610" i="7"/>
  <c r="L613" i="7"/>
  <c r="M614" i="7"/>
  <c r="J622" i="7"/>
  <c r="K622" i="7" s="1"/>
  <c r="K623" i="7"/>
  <c r="J150" i="7"/>
  <c r="K154" i="7"/>
  <c r="E69" i="9"/>
  <c r="E464" i="9"/>
  <c r="E569" i="9"/>
  <c r="E568" i="9" s="1"/>
  <c r="J21" i="7"/>
  <c r="K21" i="7" s="1"/>
  <c r="K22" i="7"/>
  <c r="AG252" i="2"/>
  <c r="AF251" i="2"/>
  <c r="AG251" i="2" s="1"/>
  <c r="J342" i="7"/>
  <c r="J827" i="7"/>
  <c r="K828" i="7"/>
  <c r="D253" i="9"/>
  <c r="D252" i="9" s="1"/>
  <c r="E253" i="9"/>
  <c r="E252" i="9" s="1"/>
  <c r="D169" i="9"/>
  <c r="E210" i="9"/>
  <c r="E209" i="9" s="1"/>
  <c r="D68" i="9"/>
  <c r="D67" i="9" s="1"/>
  <c r="E158" i="9"/>
  <c r="E157" i="9" s="1"/>
  <c r="D13" i="9"/>
  <c r="E13" i="9"/>
  <c r="G594" i="7"/>
  <c r="G593" i="7" s="1"/>
  <c r="G592" i="7" s="1"/>
  <c r="J719" i="7"/>
  <c r="F594" i="7"/>
  <c r="F593" i="7" s="1"/>
  <c r="F592" i="7" s="1"/>
  <c r="F719" i="7"/>
  <c r="F718" i="7" s="1"/>
  <c r="F712" i="7" s="1"/>
  <c r="G40" i="7"/>
  <c r="G39" i="7" s="1"/>
  <c r="G13" i="7" s="1"/>
  <c r="AD393" i="2"/>
  <c r="AD392" i="2" s="1"/>
  <c r="AG368" i="2"/>
  <c r="AF367" i="2"/>
  <c r="AG367" i="2" s="1"/>
  <c r="AF418" i="2"/>
  <c r="AG418" i="2" s="1"/>
  <c r="AF283" i="2"/>
  <c r="AF282" i="2" s="1"/>
  <c r="AG31" i="2"/>
  <c r="AG236" i="2"/>
  <c r="AF235" i="2"/>
  <c r="AF383" i="2"/>
  <c r="AF377" i="2" s="1"/>
  <c r="AF404" i="2"/>
  <c r="AF403" i="2" s="1"/>
  <c r="AG403" i="2" s="1"/>
  <c r="AF332" i="2"/>
  <c r="AG333" i="2"/>
  <c r="AF261" i="2"/>
  <c r="AG262" i="2"/>
  <c r="AF294" i="2"/>
  <c r="AG295" i="2"/>
  <c r="AF178" i="2"/>
  <c r="AG179" i="2"/>
  <c r="AF517" i="2"/>
  <c r="AG517" i="2" s="1"/>
  <c r="AG518" i="2"/>
  <c r="AG468" i="2"/>
  <c r="AF466" i="2"/>
  <c r="AF467" i="2"/>
  <c r="AG467" i="2" s="1"/>
  <c r="AG355" i="2"/>
  <c r="AG221" i="2"/>
  <c r="AF220" i="2"/>
  <c r="AG220" i="2" s="1"/>
  <c r="AF475" i="2"/>
  <c r="AG476" i="2"/>
  <c r="AF99" i="2"/>
  <c r="AG99" i="2" s="1"/>
  <c r="AG100" i="2"/>
  <c r="AF361" i="2"/>
  <c r="AG362" i="2"/>
  <c r="AF206" i="2"/>
  <c r="AG206" i="2" s="1"/>
  <c r="AG207" i="2"/>
  <c r="AF319" i="2"/>
  <c r="AG320" i="2"/>
  <c r="AG187" i="2"/>
  <c r="AF186" i="2"/>
  <c r="AF48" i="2"/>
  <c r="AG49" i="2"/>
  <c r="AF485" i="2"/>
  <c r="AG486" i="2"/>
  <c r="AG269" i="2"/>
  <c r="AF268" i="2"/>
  <c r="AF244" i="2"/>
  <c r="AG245" i="2"/>
  <c r="AG139" i="2"/>
  <c r="J221" i="7"/>
  <c r="AF138" i="2"/>
  <c r="AF29" i="2"/>
  <c r="AG30" i="2"/>
  <c r="E11" i="10"/>
  <c r="AG118" i="2"/>
  <c r="AF14" i="2"/>
  <c r="AG15" i="2"/>
  <c r="AG202" i="2"/>
  <c r="AG197" i="2" s="1"/>
  <c r="AG395" i="2"/>
  <c r="AG396" i="2"/>
  <c r="AG90" i="2"/>
  <c r="AF89" i="2"/>
  <c r="AG89" i="2" s="1"/>
  <c r="AF171" i="2"/>
  <c r="AG172" i="2"/>
  <c r="AF338" i="2"/>
  <c r="AG339" i="2"/>
  <c r="AF21" i="2"/>
  <c r="AF20" i="2" s="1"/>
  <c r="AG22" i="2"/>
  <c r="AF491" i="2"/>
  <c r="AG492" i="2"/>
  <c r="E47" i="10"/>
  <c r="E46" i="10" s="1"/>
  <c r="F188" i="9"/>
  <c r="AD375" i="2"/>
  <c r="AD374" i="2"/>
  <c r="AD351" i="2" s="1"/>
  <c r="F766" i="7"/>
  <c r="F765" i="7" s="1"/>
  <c r="F756" i="7" s="1"/>
  <c r="D464" i="9"/>
  <c r="D53" i="10"/>
  <c r="E53" i="10"/>
  <c r="E13" i="10"/>
  <c r="J901" i="7"/>
  <c r="K901" i="7" s="1"/>
  <c r="J900" i="7"/>
  <c r="K900" i="7" s="1"/>
  <c r="F97" i="7"/>
  <c r="F96" i="7" s="1"/>
  <c r="E14" i="10"/>
  <c r="J852" i="7"/>
  <c r="K852" i="7" s="1"/>
  <c r="F329" i="9"/>
  <c r="G329" i="9" s="1"/>
  <c r="D328" i="9"/>
  <c r="D322" i="9" s="1"/>
  <c r="F851" i="7"/>
  <c r="F845" i="7" s="1"/>
  <c r="F834" i="7" s="1"/>
  <c r="F826" i="7" s="1"/>
  <c r="D400" i="9"/>
  <c r="D399" i="9" s="1"/>
  <c r="F877" i="7"/>
  <c r="F876" i="7" s="1"/>
  <c r="F868" i="7" s="1"/>
  <c r="AD108" i="2"/>
  <c r="AD98" i="2" s="1"/>
  <c r="AD97" i="2" s="1"/>
  <c r="AD11" i="2" s="1"/>
  <c r="F564" i="7"/>
  <c r="F563" i="7" s="1"/>
  <c r="F278" i="7"/>
  <c r="F277" i="7" s="1"/>
  <c r="D16" i="10"/>
  <c r="D12" i="10"/>
  <c r="E12" i="10"/>
  <c r="D567" i="9"/>
  <c r="F701" i="7"/>
  <c r="F700" i="7" s="1"/>
  <c r="F693" i="7" s="1"/>
  <c r="D44" i="10" s="1"/>
  <c r="F316" i="7"/>
  <c r="F315" i="7" s="1"/>
  <c r="D24" i="10" s="1"/>
  <c r="E19" i="10"/>
  <c r="E18" i="10" s="1"/>
  <c r="D19" i="10"/>
  <c r="D18" i="10" s="1"/>
  <c r="F250" i="7"/>
  <c r="G834" i="7"/>
  <c r="G826" i="7" s="1"/>
  <c r="G462" i="7"/>
  <c r="G442" i="7" s="1"/>
  <c r="G403" i="7" s="1"/>
  <c r="E442" i="9"/>
  <c r="F200" i="7"/>
  <c r="F188" i="7" s="1"/>
  <c r="F187" i="7" s="1"/>
  <c r="F679" i="7"/>
  <c r="F673" i="7" s="1"/>
  <c r="F666" i="7" s="1"/>
  <c r="J679" i="7"/>
  <c r="D49" i="10"/>
  <c r="AF300" i="2"/>
  <c r="AF299" i="2" s="1"/>
  <c r="AD300" i="2"/>
  <c r="AD299" i="2" s="1"/>
  <c r="E175" i="9"/>
  <c r="E169" i="9" s="1"/>
  <c r="F731" i="7"/>
  <c r="F730" i="7" s="1"/>
  <c r="F527" i="7"/>
  <c r="D27" i="10"/>
  <c r="E324" i="9"/>
  <c r="E323" i="9" s="1"/>
  <c r="E322" i="9" s="1"/>
  <c r="D526" i="9"/>
  <c r="D30" i="10"/>
  <c r="AD183" i="2"/>
  <c r="F481" i="7"/>
  <c r="E108" i="9"/>
  <c r="E107" i="9" s="1"/>
  <c r="E100" i="9" s="1"/>
  <c r="E500" i="9"/>
  <c r="F351" i="7"/>
  <c r="F463" i="7"/>
  <c r="D57" i="10"/>
  <c r="D56" i="10" s="1"/>
  <c r="F159" i="7"/>
  <c r="D363" i="9"/>
  <c r="F115" i="7"/>
  <c r="M732" i="7" l="1"/>
  <c r="L731" i="7"/>
  <c r="G146" i="9"/>
  <c r="J188" i="7"/>
  <c r="J847" i="7"/>
  <c r="F211" i="9"/>
  <c r="F210" i="9" s="1"/>
  <c r="F63" i="9"/>
  <c r="G64" i="9"/>
  <c r="F496" i="9"/>
  <c r="G496" i="9" s="1"/>
  <c r="G497" i="9"/>
  <c r="F677" i="9"/>
  <c r="G677" i="9" s="1"/>
  <c r="G681" i="9"/>
  <c r="F622" i="9"/>
  <c r="G622" i="9" s="1"/>
  <c r="G623" i="9"/>
  <c r="F194" i="9"/>
  <c r="G194" i="9" s="1"/>
  <c r="G195" i="9"/>
  <c r="F118" i="9"/>
  <c r="G119" i="9"/>
  <c r="F239" i="9"/>
  <c r="G240" i="9"/>
  <c r="G663" i="9"/>
  <c r="F662" i="9"/>
  <c r="G662" i="9" s="1"/>
  <c r="F364" i="9"/>
  <c r="G365" i="9"/>
  <c r="G24" i="9"/>
  <c r="F23" i="9"/>
  <c r="F470" i="9"/>
  <c r="G470" i="9" s="1"/>
  <c r="G471" i="9"/>
  <c r="F258" i="9"/>
  <c r="G259" i="9"/>
  <c r="F541" i="9"/>
  <c r="G541" i="9" s="1"/>
  <c r="G542" i="9"/>
  <c r="G482" i="9"/>
  <c r="F481" i="9"/>
  <c r="F480" i="9" s="1"/>
  <c r="F113" i="9"/>
  <c r="G113" i="9" s="1"/>
  <c r="G114" i="9"/>
  <c r="G267" i="9"/>
  <c r="F266" i="9"/>
  <c r="G266" i="9" s="1"/>
  <c r="G160" i="9"/>
  <c r="F159" i="9"/>
  <c r="F316" i="9"/>
  <c r="G317" i="9"/>
  <c r="G108" i="9"/>
  <c r="F37" i="9"/>
  <c r="G38" i="9"/>
  <c r="F504" i="9"/>
  <c r="G505" i="9"/>
  <c r="G303" i="9"/>
  <c r="F302" i="9"/>
  <c r="F171" i="9"/>
  <c r="G172" i="9"/>
  <c r="G405" i="9"/>
  <c r="F404" i="9"/>
  <c r="G404" i="9" s="1"/>
  <c r="G417" i="9"/>
  <c r="F416" i="9"/>
  <c r="G416" i="9" s="1"/>
  <c r="F183" i="9"/>
  <c r="G188" i="9"/>
  <c r="F442" i="9"/>
  <c r="G442" i="9" s="1"/>
  <c r="G450" i="9"/>
  <c r="G81" i="9"/>
  <c r="F80" i="9"/>
  <c r="G80" i="9" s="1"/>
  <c r="F395" i="9"/>
  <c r="G396" i="9"/>
  <c r="F297" i="9"/>
  <c r="G297" i="9" s="1"/>
  <c r="G298" i="9"/>
  <c r="G383" i="9"/>
  <c r="F382" i="9"/>
  <c r="F522" i="9"/>
  <c r="G523" i="9"/>
  <c r="F559" i="9"/>
  <c r="G559" i="9" s="1"/>
  <c r="G560" i="9"/>
  <c r="F537" i="9"/>
  <c r="G537" i="9" s="1"/>
  <c r="G538" i="9"/>
  <c r="G74" i="9"/>
  <c r="F73" i="9"/>
  <c r="F328" i="9"/>
  <c r="G328" i="9" s="1"/>
  <c r="G330" i="9"/>
  <c r="F100" i="9"/>
  <c r="G100" i="9" s="1"/>
  <c r="G107" i="9"/>
  <c r="G653" i="9"/>
  <c r="F652" i="9"/>
  <c r="F533" i="9"/>
  <c r="G534" i="9"/>
  <c r="G633" i="9"/>
  <c r="F632" i="9"/>
  <c r="F202" i="9"/>
  <c r="G206" i="9"/>
  <c r="F191" i="9"/>
  <c r="G191" i="9" s="1"/>
  <c r="G192" i="9"/>
  <c r="F325" i="9"/>
  <c r="G326" i="9"/>
  <c r="G16" i="9"/>
  <c r="F15" i="9"/>
  <c r="F246" i="9"/>
  <c r="G246" i="9" s="1"/>
  <c r="G247" i="9"/>
  <c r="G573" i="9"/>
  <c r="F569" i="9"/>
  <c r="F288" i="9"/>
  <c r="G289" i="9"/>
  <c r="F293" i="9"/>
  <c r="G294" i="9"/>
  <c r="G515" i="9"/>
  <c r="F511" i="9"/>
  <c r="F140" i="9"/>
  <c r="G140" i="9" s="1"/>
  <c r="G145" i="9"/>
  <c r="F492" i="9"/>
  <c r="G493" i="9"/>
  <c r="J846" i="7"/>
  <c r="K847" i="7"/>
  <c r="K150" i="7"/>
  <c r="J149" i="7"/>
  <c r="J695" i="7"/>
  <c r="K696" i="7"/>
  <c r="J871" i="7"/>
  <c r="K872" i="7"/>
  <c r="L837" i="7"/>
  <c r="M838" i="7"/>
  <c r="J668" i="7"/>
  <c r="K669" i="7"/>
  <c r="J335" i="7"/>
  <c r="K336" i="7"/>
  <c r="K679" i="7"/>
  <c r="J757" i="7"/>
  <c r="K758" i="7"/>
  <c r="K417" i="7"/>
  <c r="J412" i="7"/>
  <c r="J363" i="7"/>
  <c r="K363" i="7" s="1"/>
  <c r="K364" i="7"/>
  <c r="J701" i="7"/>
  <c r="K702" i="7"/>
  <c r="J718" i="7"/>
  <c r="K719" i="7"/>
  <c r="J878" i="7"/>
  <c r="K879" i="7"/>
  <c r="J595" i="7"/>
  <c r="K599" i="7"/>
  <c r="J528" i="7"/>
  <c r="K529" i="7"/>
  <c r="L565" i="7"/>
  <c r="M573" i="7"/>
  <c r="J352" i="7"/>
  <c r="K353" i="7"/>
  <c r="M676" i="7"/>
  <c r="L675" i="7"/>
  <c r="J674" i="7"/>
  <c r="K674" i="7" s="1"/>
  <c r="K675" i="7"/>
  <c r="J317" i="7"/>
  <c r="K318" i="7"/>
  <c r="J302" i="7"/>
  <c r="K302" i="7" s="1"/>
  <c r="K303" i="7"/>
  <c r="J50" i="7"/>
  <c r="K51" i="7"/>
  <c r="J324" i="7"/>
  <c r="K325" i="7"/>
  <c r="L612" i="7"/>
  <c r="M612" i="7" s="1"/>
  <c r="M613" i="7"/>
  <c r="J15" i="7"/>
  <c r="K16" i="7"/>
  <c r="K269" i="7"/>
  <c r="J268" i="7"/>
  <c r="J174" i="7"/>
  <c r="K175" i="7"/>
  <c r="J394" i="7"/>
  <c r="K395" i="7"/>
  <c r="K116" i="7"/>
  <c r="J115" i="7"/>
  <c r="K115" i="7" s="1"/>
  <c r="L254" i="7"/>
  <c r="M255" i="7"/>
  <c r="K781" i="7"/>
  <c r="J780" i="7"/>
  <c r="M606" i="7"/>
  <c r="L595" i="7"/>
  <c r="J279" i="7"/>
  <c r="K284" i="7"/>
  <c r="K445" i="7"/>
  <c r="J444" i="7"/>
  <c r="J738" i="7"/>
  <c r="J220" i="7"/>
  <c r="K221" i="7"/>
  <c r="J260" i="7"/>
  <c r="K261" i="7"/>
  <c r="J457" i="7"/>
  <c r="K458" i="7"/>
  <c r="K69" i="7"/>
  <c r="J68" i="7"/>
  <c r="F469" i="9"/>
  <c r="J406" i="7"/>
  <c r="K407" i="7"/>
  <c r="J97" i="7"/>
  <c r="K98" i="7"/>
  <c r="J565" i="7"/>
  <c r="K566" i="7"/>
  <c r="K766" i="7"/>
  <c r="J765" i="7"/>
  <c r="K765" i="7" s="1"/>
  <c r="J836" i="7"/>
  <c r="K837" i="7"/>
  <c r="J41" i="7"/>
  <c r="K42" i="7"/>
  <c r="J253" i="7"/>
  <c r="K254" i="7"/>
  <c r="K381" i="7"/>
  <c r="J380" i="7"/>
  <c r="M851" i="7"/>
  <c r="L845" i="7"/>
  <c r="M845" i="7" s="1"/>
  <c r="K861" i="7"/>
  <c r="J860" i="7"/>
  <c r="AF250" i="2"/>
  <c r="J341" i="7"/>
  <c r="K342" i="7"/>
  <c r="J187" i="7"/>
  <c r="K187" i="7" s="1"/>
  <c r="K188" i="7"/>
  <c r="K827" i="7"/>
  <c r="F49" i="10"/>
  <c r="G49" i="10" s="1"/>
  <c r="E68" i="9"/>
  <c r="E67" i="9" s="1"/>
  <c r="F755" i="7"/>
  <c r="F754" i="7" s="1"/>
  <c r="F711" i="7"/>
  <c r="D45" i="10" s="1"/>
  <c r="F95" i="7"/>
  <c r="D14" i="10" s="1"/>
  <c r="AF366" i="2"/>
  <c r="AG366" i="2" s="1"/>
  <c r="AG283" i="2"/>
  <c r="AF417" i="2"/>
  <c r="AF394" i="2" s="1"/>
  <c r="AG394" i="2" s="1"/>
  <c r="AG383" i="2"/>
  <c r="AG404" i="2"/>
  <c r="AF490" i="2"/>
  <c r="AG491" i="2"/>
  <c r="AF337" i="2"/>
  <c r="AG337" i="2" s="1"/>
  <c r="AG338" i="2"/>
  <c r="AF196" i="2"/>
  <c r="AF195" i="2" s="1"/>
  <c r="AG109" i="2"/>
  <c r="AF137" i="2"/>
  <c r="AG137" i="2" s="1"/>
  <c r="AG138" i="2"/>
  <c r="AF243" i="2"/>
  <c r="AG244" i="2"/>
  <c r="AF484" i="2"/>
  <c r="AG485" i="2"/>
  <c r="AF281" i="2"/>
  <c r="AG281" i="2" s="1"/>
  <c r="AG282" i="2"/>
  <c r="AF474" i="2"/>
  <c r="AG475" i="2"/>
  <c r="AF267" i="2"/>
  <c r="AG268" i="2"/>
  <c r="AF249" i="2"/>
  <c r="AG250" i="2"/>
  <c r="AF177" i="2"/>
  <c r="AG178" i="2"/>
  <c r="AF260" i="2"/>
  <c r="AG261" i="2"/>
  <c r="AG235" i="2"/>
  <c r="AF234" i="2"/>
  <c r="AG299" i="2"/>
  <c r="AG300" i="2"/>
  <c r="AG21" i="2"/>
  <c r="AF170" i="2"/>
  <c r="AG171" i="2"/>
  <c r="AF13" i="2"/>
  <c r="AG14" i="2"/>
  <c r="AF47" i="2"/>
  <c r="AG47" i="2" s="1"/>
  <c r="AG48" i="2"/>
  <c r="AF318" i="2"/>
  <c r="AG318" i="2" s="1"/>
  <c r="AG319" i="2"/>
  <c r="AG361" i="2"/>
  <c r="AF360" i="2"/>
  <c r="AF465" i="2"/>
  <c r="AG466" i="2"/>
  <c r="AG417" i="2"/>
  <c r="AF28" i="2"/>
  <c r="AG28" i="2" s="1"/>
  <c r="AG29" i="2"/>
  <c r="AF185" i="2"/>
  <c r="AG186" i="2"/>
  <c r="AF353" i="2"/>
  <c r="AG354" i="2"/>
  <c r="AF293" i="2"/>
  <c r="AG293" i="2" s="1"/>
  <c r="AG294" i="2"/>
  <c r="AF331" i="2"/>
  <c r="AG332" i="2"/>
  <c r="AF376" i="2"/>
  <c r="AG377" i="2"/>
  <c r="G561" i="7"/>
  <c r="G908" i="7" s="1"/>
  <c r="E400" i="9"/>
  <c r="E399" i="9" s="1"/>
  <c r="E362" i="9" s="1"/>
  <c r="D23" i="10"/>
  <c r="D21" i="10" s="1"/>
  <c r="E23" i="10"/>
  <c r="D32" i="10"/>
  <c r="F158" i="7"/>
  <c r="F157" i="7" s="1"/>
  <c r="F519" i="7"/>
  <c r="F504" i="7" s="1"/>
  <c r="D362" i="9"/>
  <c r="D644" i="9" s="1"/>
  <c r="E43" i="10"/>
  <c r="J429" i="7"/>
  <c r="K429" i="7" s="1"/>
  <c r="AD292" i="2"/>
  <c r="AD291" i="2" s="1"/>
  <c r="F429" i="7"/>
  <c r="D50" i="10"/>
  <c r="D48" i="10" s="1"/>
  <c r="F12" i="10"/>
  <c r="G12" i="10" s="1"/>
  <c r="E41" i="10"/>
  <c r="E35" i="10"/>
  <c r="D13" i="10"/>
  <c r="E54" i="10"/>
  <c r="E52" i="10" s="1"/>
  <c r="F350" i="7"/>
  <c r="D28" i="10" s="1"/>
  <c r="D25" i="10" s="1"/>
  <c r="D43" i="10"/>
  <c r="F462" i="7"/>
  <c r="L730" i="7" l="1"/>
  <c r="M731" i="7"/>
  <c r="G211" i="9"/>
  <c r="F400" i="9"/>
  <c r="F399" i="9" s="1"/>
  <c r="G399" i="9" s="1"/>
  <c r="F510" i="9"/>
  <c r="G510" i="9" s="1"/>
  <c r="G511" i="9"/>
  <c r="F69" i="9"/>
  <c r="G73" i="9"/>
  <c r="F381" i="9"/>
  <c r="G381" i="9" s="1"/>
  <c r="G382" i="9"/>
  <c r="F36" i="9"/>
  <c r="G36" i="9" s="1"/>
  <c r="G37" i="9"/>
  <c r="F394" i="9"/>
  <c r="G394" i="9" s="1"/>
  <c r="G395" i="9"/>
  <c r="G210" i="9"/>
  <c r="F209" i="9"/>
  <c r="G209" i="9" s="1"/>
  <c r="F117" i="9"/>
  <c r="G117" i="9" s="1"/>
  <c r="G118" i="9"/>
  <c r="G569" i="9"/>
  <c r="F568" i="9"/>
  <c r="G568" i="9" s="1"/>
  <c r="F14" i="9"/>
  <c r="G15" i="9"/>
  <c r="F631" i="9"/>
  <c r="G632" i="9"/>
  <c r="G652" i="9"/>
  <c r="F645" i="9"/>
  <c r="G645" i="9" s="1"/>
  <c r="F170" i="9"/>
  <c r="G170" i="9" s="1"/>
  <c r="G171" i="9"/>
  <c r="F503" i="9"/>
  <c r="G504" i="9"/>
  <c r="G480" i="9"/>
  <c r="G481" i="9"/>
  <c r="F468" i="9"/>
  <c r="G469" i="9"/>
  <c r="G400" i="9"/>
  <c r="G159" i="9"/>
  <c r="F158" i="9"/>
  <c r="F22" i="9"/>
  <c r="G22" i="9" s="1"/>
  <c r="G23" i="9"/>
  <c r="G492" i="9"/>
  <c r="F491" i="9"/>
  <c r="G491" i="9" s="1"/>
  <c r="F283" i="9"/>
  <c r="G283" i="9" s="1"/>
  <c r="G288" i="9"/>
  <c r="G325" i="9"/>
  <c r="F324" i="9"/>
  <c r="G202" i="9"/>
  <c r="F201" i="9"/>
  <c r="G201" i="9" s="1"/>
  <c r="G533" i="9"/>
  <c r="F532" i="9"/>
  <c r="G293" i="9"/>
  <c r="F292" i="9"/>
  <c r="G292" i="9" s="1"/>
  <c r="F521" i="9"/>
  <c r="G522" i="9"/>
  <c r="F182" i="9"/>
  <c r="G183" i="9"/>
  <c r="F301" i="9"/>
  <c r="G301" i="9" s="1"/>
  <c r="G302" i="9"/>
  <c r="F315" i="9"/>
  <c r="G315" i="9" s="1"/>
  <c r="G316" i="9"/>
  <c r="G258" i="9"/>
  <c r="F253" i="9"/>
  <c r="G364" i="9"/>
  <c r="F238" i="9"/>
  <c r="G238" i="9" s="1"/>
  <c r="G239" i="9"/>
  <c r="F62" i="9"/>
  <c r="G62" i="9" s="1"/>
  <c r="G63" i="9"/>
  <c r="J259" i="7"/>
  <c r="K260" i="7"/>
  <c r="J443" i="7"/>
  <c r="K443" i="7" s="1"/>
  <c r="K444" i="7"/>
  <c r="K174" i="7"/>
  <c r="J159" i="7"/>
  <c r="J14" i="7"/>
  <c r="K15" i="7"/>
  <c r="J323" i="7"/>
  <c r="K324" i="7"/>
  <c r="K528" i="7"/>
  <c r="J527" i="7"/>
  <c r="J877" i="7"/>
  <c r="K878" i="7"/>
  <c r="J673" i="7"/>
  <c r="K668" i="7"/>
  <c r="J667" i="7"/>
  <c r="K667" i="7" s="1"/>
  <c r="J252" i="7"/>
  <c r="K253" i="7"/>
  <c r="J564" i="7"/>
  <c r="K565" i="7"/>
  <c r="J40" i="7"/>
  <c r="K40" i="7" s="1"/>
  <c r="K41" i="7"/>
  <c r="J96" i="7"/>
  <c r="K97" i="7"/>
  <c r="J67" i="7"/>
  <c r="K67" i="7" s="1"/>
  <c r="K68" i="7"/>
  <c r="J732" i="7"/>
  <c r="K738" i="7"/>
  <c r="K279" i="7"/>
  <c r="J278" i="7"/>
  <c r="J411" i="7"/>
  <c r="K412" i="7"/>
  <c r="F16" i="10"/>
  <c r="G16" i="10" s="1"/>
  <c r="K149" i="7"/>
  <c r="M595" i="7"/>
  <c r="L594" i="7"/>
  <c r="M594" i="7" s="1"/>
  <c r="K352" i="7"/>
  <c r="J351" i="7"/>
  <c r="K351" i="7" s="1"/>
  <c r="K701" i="7"/>
  <c r="J700" i="7"/>
  <c r="K700" i="7" s="1"/>
  <c r="K871" i="7"/>
  <c r="J870" i="7"/>
  <c r="J835" i="7"/>
  <c r="K835" i="7" s="1"/>
  <c r="K836" i="7"/>
  <c r="J405" i="7"/>
  <c r="K405" i="7" s="1"/>
  <c r="K406" i="7"/>
  <c r="J267" i="7"/>
  <c r="K268" i="7"/>
  <c r="L674" i="7"/>
  <c r="M675" i="7"/>
  <c r="J859" i="7"/>
  <c r="K860" i="7"/>
  <c r="J379" i="7"/>
  <c r="K380" i="7"/>
  <c r="J456" i="7"/>
  <c r="K456" i="7" s="1"/>
  <c r="K457" i="7"/>
  <c r="J219" i="7"/>
  <c r="K219" i="7" s="1"/>
  <c r="K220" i="7"/>
  <c r="J779" i="7"/>
  <c r="K779" i="7" s="1"/>
  <c r="K780" i="7"/>
  <c r="L253" i="7"/>
  <c r="M254" i="7"/>
  <c r="J393" i="7"/>
  <c r="K394" i="7"/>
  <c r="K50" i="7"/>
  <c r="J49" i="7"/>
  <c r="K317" i="7"/>
  <c r="J316" i="7"/>
  <c r="M565" i="7"/>
  <c r="L564" i="7"/>
  <c r="J594" i="7"/>
  <c r="K595" i="7"/>
  <c r="J712" i="7"/>
  <c r="K712" i="7" s="1"/>
  <c r="K718" i="7"/>
  <c r="K757" i="7"/>
  <c r="J334" i="7"/>
  <c r="K335" i="7"/>
  <c r="L836" i="7"/>
  <c r="M837" i="7"/>
  <c r="K695" i="7"/>
  <c r="J694" i="7"/>
  <c r="J845" i="7"/>
  <c r="K846" i="7"/>
  <c r="J340" i="7"/>
  <c r="K341" i="7"/>
  <c r="AF359" i="2"/>
  <c r="AG360" i="2"/>
  <c r="AF19" i="2"/>
  <c r="AG19" i="2" s="1"/>
  <c r="AF292" i="2"/>
  <c r="AG292" i="2" s="1"/>
  <c r="AF374" i="2"/>
  <c r="AG374" i="2" s="1"/>
  <c r="AG376" i="2"/>
  <c r="AF375" i="2"/>
  <c r="AG375" i="2" s="1"/>
  <c r="AF184" i="2"/>
  <c r="AG185" i="2"/>
  <c r="AF169" i="2"/>
  <c r="AG170" i="2"/>
  <c r="AG260" i="2"/>
  <c r="AF259" i="2"/>
  <c r="AG259" i="2" s="1"/>
  <c r="AG249" i="2"/>
  <c r="AF473" i="2"/>
  <c r="AG474" i="2"/>
  <c r="AG359" i="2"/>
  <c r="AF242" i="2"/>
  <c r="AG242" i="2" s="1"/>
  <c r="AG243" i="2"/>
  <c r="AF98" i="2"/>
  <c r="AG108" i="2"/>
  <c r="AF233" i="2"/>
  <c r="AG233" i="2" s="1"/>
  <c r="AG234" i="2"/>
  <c r="AG195" i="2"/>
  <c r="AG196" i="2"/>
  <c r="AG858" i="2"/>
  <c r="AF393" i="2"/>
  <c r="AG331" i="2"/>
  <c r="AF317" i="2"/>
  <c r="AG317" i="2" s="1"/>
  <c r="AF352" i="2"/>
  <c r="AG353" i="2"/>
  <c r="AG465" i="2"/>
  <c r="AF12" i="2"/>
  <c r="AG13" i="2"/>
  <c r="AG20" i="2"/>
  <c r="AF176" i="2"/>
  <c r="AG176" i="2" s="1"/>
  <c r="AG177" i="2"/>
  <c r="AF266" i="2"/>
  <c r="AG266" i="2" s="1"/>
  <c r="AG267" i="2"/>
  <c r="AF483" i="2"/>
  <c r="AG483" i="2" s="1"/>
  <c r="AG484" i="2"/>
  <c r="AG490" i="2"/>
  <c r="F13" i="7"/>
  <c r="E42" i="10"/>
  <c r="F442" i="7"/>
  <c r="D34" i="10" s="1"/>
  <c r="D35" i="10"/>
  <c r="F265" i="7"/>
  <c r="AD10" i="2"/>
  <c r="AD1043" i="2" s="1"/>
  <c r="AF857" i="2"/>
  <c r="J373" i="7"/>
  <c r="K373" i="7" s="1"/>
  <c r="E50" i="10"/>
  <c r="E48" i="10" s="1"/>
  <c r="E24" i="10"/>
  <c r="E21" i="10" s="1"/>
  <c r="D47" i="10"/>
  <c r="D46" i="10" s="1"/>
  <c r="F428" i="7"/>
  <c r="F424" i="7" s="1"/>
  <c r="J428" i="7"/>
  <c r="D709" i="9"/>
  <c r="E45" i="10"/>
  <c r="D54" i="10"/>
  <c r="D52" i="10" s="1"/>
  <c r="F322" i="7"/>
  <c r="D42" i="10"/>
  <c r="L711" i="7" l="1"/>
  <c r="M711" i="7" s="1"/>
  <c r="M730" i="7"/>
  <c r="F363" i="9"/>
  <c r="G363" i="9" s="1"/>
  <c r="F362" i="9"/>
  <c r="G362" i="9" s="1"/>
  <c r="F252" i="9"/>
  <c r="G252" i="9" s="1"/>
  <c r="G253" i="9"/>
  <c r="G532" i="9"/>
  <c r="F526" i="9"/>
  <c r="G526" i="9" s="1"/>
  <c r="F323" i="9"/>
  <c r="G324" i="9"/>
  <c r="F157" i="9"/>
  <c r="G157" i="9" s="1"/>
  <c r="G158" i="9"/>
  <c r="F176" i="9"/>
  <c r="G182" i="9"/>
  <c r="F630" i="9"/>
  <c r="G630" i="9" s="1"/>
  <c r="G631" i="9"/>
  <c r="G69" i="9"/>
  <c r="F68" i="9"/>
  <c r="G521" i="9"/>
  <c r="F467" i="9"/>
  <c r="G468" i="9"/>
  <c r="F502" i="9"/>
  <c r="G503" i="9"/>
  <c r="G14" i="9"/>
  <c r="F13" i="9"/>
  <c r="G13" i="9" s="1"/>
  <c r="J756" i="7"/>
  <c r="K756" i="7" s="1"/>
  <c r="L252" i="7"/>
  <c r="M253" i="7"/>
  <c r="J378" i="7"/>
  <c r="K379" i="7"/>
  <c r="L673" i="7"/>
  <c r="M674" i="7"/>
  <c r="J755" i="7"/>
  <c r="K159" i="7"/>
  <c r="J158" i="7"/>
  <c r="K694" i="7"/>
  <c r="J693" i="7"/>
  <c r="L563" i="7"/>
  <c r="M564" i="7"/>
  <c r="K49" i="7"/>
  <c r="J48" i="7"/>
  <c r="J869" i="7"/>
  <c r="K870" i="7"/>
  <c r="L593" i="7"/>
  <c r="J404" i="7"/>
  <c r="K404" i="7" s="1"/>
  <c r="K411" i="7"/>
  <c r="K732" i="7"/>
  <c r="J731" i="7"/>
  <c r="K96" i="7"/>
  <c r="J95" i="7"/>
  <c r="K564" i="7"/>
  <c r="J563" i="7"/>
  <c r="J519" i="7"/>
  <c r="K527" i="7"/>
  <c r="J333" i="7"/>
  <c r="K333" i="7" s="1"/>
  <c r="K334" i="7"/>
  <c r="J277" i="7"/>
  <c r="K278" i="7"/>
  <c r="J666" i="7"/>
  <c r="K673" i="7"/>
  <c r="K14" i="7"/>
  <c r="F11" i="10"/>
  <c r="G11" i="10" s="1"/>
  <c r="J315" i="7"/>
  <c r="K316" i="7"/>
  <c r="J251" i="7"/>
  <c r="K252" i="7"/>
  <c r="J424" i="7"/>
  <c r="K424" i="7" s="1"/>
  <c r="K428" i="7"/>
  <c r="J834" i="7"/>
  <c r="K845" i="7"/>
  <c r="L835" i="7"/>
  <c r="M836" i="7"/>
  <c r="J593" i="7"/>
  <c r="K594" i="7"/>
  <c r="K393" i="7"/>
  <c r="F30" i="10"/>
  <c r="G30" i="10" s="1"/>
  <c r="J858" i="7"/>
  <c r="K859" i="7"/>
  <c r="J266" i="7"/>
  <c r="K267" i="7"/>
  <c r="J876" i="7"/>
  <c r="K877" i="7"/>
  <c r="F26" i="10"/>
  <c r="G26" i="10" s="1"/>
  <c r="K323" i="7"/>
  <c r="J258" i="7"/>
  <c r="K259" i="7"/>
  <c r="J332" i="7"/>
  <c r="K340" i="7"/>
  <c r="AG12" i="2"/>
  <c r="AF241" i="2"/>
  <c r="AG241" i="2" s="1"/>
  <c r="AF482" i="2"/>
  <c r="AG482" i="2" s="1"/>
  <c r="AF392" i="2"/>
  <c r="AG392" i="2" s="1"/>
  <c r="AG393" i="2"/>
  <c r="AG98" i="2"/>
  <c r="AF97" i="2"/>
  <c r="AF11" i="2" s="1"/>
  <c r="AG352" i="2"/>
  <c r="AF351" i="2"/>
  <c r="AG351" i="2" s="1"/>
  <c r="H372" i="7"/>
  <c r="E617" i="9"/>
  <c r="E616" i="9" s="1"/>
  <c r="E615" i="9" s="1"/>
  <c r="E587" i="9" s="1"/>
  <c r="AF472" i="2"/>
  <c r="AG473" i="2"/>
  <c r="AG184" i="2"/>
  <c r="AF183" i="2"/>
  <c r="AG183" i="2" s="1"/>
  <c r="AF168" i="2"/>
  <c r="AG168" i="2" s="1"/>
  <c r="AG169" i="2"/>
  <c r="AF291" i="2"/>
  <c r="AG291" i="2" s="1"/>
  <c r="AF856" i="2"/>
  <c r="AG857" i="2"/>
  <c r="E40" i="10"/>
  <c r="E17" i="10"/>
  <c r="E10" i="10" s="1"/>
  <c r="D17" i="10"/>
  <c r="D10" i="10" s="1"/>
  <c r="F617" i="9"/>
  <c r="G617" i="9" s="1"/>
  <c r="J372" i="7"/>
  <c r="E32" i="10"/>
  <c r="F32" i="10" l="1"/>
  <c r="G32" i="10" s="1"/>
  <c r="G68" i="9"/>
  <c r="F67" i="9"/>
  <c r="G67" i="9" s="1"/>
  <c r="F466" i="9"/>
  <c r="G467" i="9"/>
  <c r="G176" i="9"/>
  <c r="F175" i="9"/>
  <c r="F322" i="9"/>
  <c r="G322" i="9" s="1"/>
  <c r="G323" i="9"/>
  <c r="F501" i="9"/>
  <c r="G502" i="9"/>
  <c r="J730" i="7"/>
  <c r="K731" i="7"/>
  <c r="F22" i="10"/>
  <c r="G22" i="10" s="1"/>
  <c r="K266" i="7"/>
  <c r="J265" i="7"/>
  <c r="K265" i="7" s="1"/>
  <c r="M835" i="7"/>
  <c r="L834" i="7"/>
  <c r="F24" i="10"/>
  <c r="G24" i="10" s="1"/>
  <c r="K315" i="7"/>
  <c r="K666" i="7"/>
  <c r="F43" i="10"/>
  <c r="G43" i="10" s="1"/>
  <c r="F20" i="10"/>
  <c r="G20" i="10" s="1"/>
  <c r="K258" i="7"/>
  <c r="K876" i="7"/>
  <c r="F54" i="10"/>
  <c r="G54" i="10" s="1"/>
  <c r="K858" i="7"/>
  <c r="F51" i="10"/>
  <c r="G51" i="10" s="1"/>
  <c r="K593" i="7"/>
  <c r="J592" i="7"/>
  <c r="J826" i="7"/>
  <c r="K826" i="7" s="1"/>
  <c r="K834" i="7"/>
  <c r="F50" i="10"/>
  <c r="G50" i="10" s="1"/>
  <c r="J250" i="7"/>
  <c r="K250" i="7" s="1"/>
  <c r="K251" i="7"/>
  <c r="F19" i="10"/>
  <c r="G19" i="10" s="1"/>
  <c r="K277" i="7"/>
  <c r="F23" i="10"/>
  <c r="G23" i="10" s="1"/>
  <c r="J504" i="7"/>
  <c r="K519" i="7"/>
  <c r="J39" i="7"/>
  <c r="K48" i="7"/>
  <c r="F44" i="10"/>
  <c r="G44" i="10" s="1"/>
  <c r="K693" i="7"/>
  <c r="K755" i="7"/>
  <c r="J754" i="7"/>
  <c r="K754" i="7" s="1"/>
  <c r="F47" i="10"/>
  <c r="J562" i="7"/>
  <c r="K563" i="7"/>
  <c r="L592" i="7"/>
  <c r="M592" i="7" s="1"/>
  <c r="M593" i="7"/>
  <c r="F29" i="10"/>
  <c r="G29" i="10" s="1"/>
  <c r="K378" i="7"/>
  <c r="J370" i="7"/>
  <c r="K372" i="7"/>
  <c r="J157" i="7"/>
  <c r="K158" i="7"/>
  <c r="F14" i="10"/>
  <c r="G14" i="10" s="1"/>
  <c r="K95" i="7"/>
  <c r="J868" i="7"/>
  <c r="K868" i="7" s="1"/>
  <c r="K869" i="7"/>
  <c r="F53" i="10"/>
  <c r="G53" i="10" s="1"/>
  <c r="L562" i="7"/>
  <c r="M563" i="7"/>
  <c r="L666" i="7"/>
  <c r="M666" i="7" s="1"/>
  <c r="M673" i="7"/>
  <c r="L251" i="7"/>
  <c r="M252" i="7"/>
  <c r="K332" i="7"/>
  <c r="F27" i="10"/>
  <c r="G27" i="10" s="1"/>
  <c r="AF240" i="2"/>
  <c r="AG240" i="2" s="1"/>
  <c r="AG97" i="2"/>
  <c r="H371" i="7"/>
  <c r="H370" i="7"/>
  <c r="H369" i="7" s="1"/>
  <c r="H368" i="7" s="1"/>
  <c r="H350" i="7" s="1"/>
  <c r="AG472" i="2"/>
  <c r="AF464" i="2"/>
  <c r="AG464" i="2" s="1"/>
  <c r="AF855" i="2"/>
  <c r="AG856" i="2"/>
  <c r="F423" i="7"/>
  <c r="F422" i="7" s="1"/>
  <c r="F421" i="7" s="1"/>
  <c r="J423" i="7"/>
  <c r="E33" i="10"/>
  <c r="J371" i="7"/>
  <c r="K371" i="7" s="1"/>
  <c r="E586" i="9"/>
  <c r="E567" i="9" s="1"/>
  <c r="E644" i="9" s="1"/>
  <c r="F616" i="9"/>
  <c r="F46" i="10" l="1"/>
  <c r="G46" i="10" s="1"/>
  <c r="G47" i="10"/>
  <c r="F48" i="10"/>
  <c r="G48" i="10" s="1"/>
  <c r="F615" i="9"/>
  <c r="G616" i="9"/>
  <c r="F465" i="9"/>
  <c r="G466" i="9"/>
  <c r="F169" i="9"/>
  <c r="G169" i="9" s="1"/>
  <c r="G175" i="9"/>
  <c r="G501" i="9"/>
  <c r="F500" i="9"/>
  <c r="G500" i="9" s="1"/>
  <c r="F21" i="10"/>
  <c r="G21" i="10" s="1"/>
  <c r="F18" i="10"/>
  <c r="G18" i="10" s="1"/>
  <c r="K370" i="7"/>
  <c r="F52" i="10"/>
  <c r="G52" i="10" s="1"/>
  <c r="L826" i="7"/>
  <c r="M826" i="7" s="1"/>
  <c r="M834" i="7"/>
  <c r="J369" i="7"/>
  <c r="L250" i="7"/>
  <c r="M250" i="7" s="1"/>
  <c r="M251" i="7"/>
  <c r="M562" i="7"/>
  <c r="L561" i="7"/>
  <c r="M561" i="7" s="1"/>
  <c r="K504" i="7"/>
  <c r="F35" i="10"/>
  <c r="G35" i="10" s="1"/>
  <c r="F42" i="10"/>
  <c r="G42" i="10" s="1"/>
  <c r="K592" i="7"/>
  <c r="F13" i="10"/>
  <c r="G13" i="10" s="1"/>
  <c r="K39" i="7"/>
  <c r="J13" i="7"/>
  <c r="K13" i="7" s="1"/>
  <c r="J422" i="7"/>
  <c r="K422" i="7" s="1"/>
  <c r="K423" i="7"/>
  <c r="K157" i="7"/>
  <c r="F17" i="10"/>
  <c r="G17" i="10" s="1"/>
  <c r="K562" i="7"/>
  <c r="F41" i="10"/>
  <c r="G41" i="10" s="1"/>
  <c r="J711" i="7"/>
  <c r="J561" i="7" s="1"/>
  <c r="K561" i="7" s="1"/>
  <c r="K730" i="7"/>
  <c r="H322" i="7"/>
  <c r="H908" i="7" s="1"/>
  <c r="E28" i="10"/>
  <c r="E25" i="10" s="1"/>
  <c r="AG11" i="2"/>
  <c r="AF10" i="2"/>
  <c r="AG10" i="2" s="1"/>
  <c r="AG855" i="2"/>
  <c r="AF854" i="2"/>
  <c r="F403" i="7"/>
  <c r="D33" i="10"/>
  <c r="D31" i="10" s="1"/>
  <c r="E709" i="9"/>
  <c r="AF902" i="2"/>
  <c r="J462" i="7"/>
  <c r="E34" i="10"/>
  <c r="E31" i="10" s="1"/>
  <c r="F587" i="9" l="1"/>
  <c r="G615" i="9"/>
  <c r="F464" i="9"/>
  <c r="G464" i="9" s="1"/>
  <c r="G465" i="9"/>
  <c r="J421" i="7"/>
  <c r="F33" i="10" s="1"/>
  <c r="G33" i="10" s="1"/>
  <c r="J442" i="7"/>
  <c r="K442" i="7" s="1"/>
  <c r="K462" i="7"/>
  <c r="K711" i="7"/>
  <c r="F45" i="10"/>
  <c r="F10" i="10"/>
  <c r="G10" i="10" s="1"/>
  <c r="J368" i="7"/>
  <c r="K369" i="7"/>
  <c r="E58" i="10"/>
  <c r="AF883" i="2"/>
  <c r="AF882" i="2" s="1"/>
  <c r="AG902" i="2"/>
  <c r="AF853" i="2"/>
  <c r="AG854" i="2"/>
  <c r="F40" i="10" l="1"/>
  <c r="G40" i="10" s="1"/>
  <c r="G45" i="10"/>
  <c r="G587" i="9"/>
  <c r="F586" i="9"/>
  <c r="K421" i="7"/>
  <c r="J403" i="7"/>
  <c r="F34" i="10"/>
  <c r="J350" i="7"/>
  <c r="K368" i="7"/>
  <c r="AG883" i="2"/>
  <c r="AF840" i="2"/>
  <c r="AG853" i="2"/>
  <c r="L908" i="7"/>
  <c r="M908" i="7" s="1"/>
  <c r="F582" i="7"/>
  <c r="F581" i="7" s="1"/>
  <c r="F580" i="7" s="1"/>
  <c r="F562" i="7" s="1"/>
  <c r="F31" i="10" l="1"/>
  <c r="G31" i="10" s="1"/>
  <c r="G34" i="10"/>
  <c r="F567" i="9"/>
  <c r="G586" i="9"/>
  <c r="K350" i="7"/>
  <c r="F28" i="10"/>
  <c r="J322" i="7"/>
  <c r="K322" i="7" s="1"/>
  <c r="K403" i="7"/>
  <c r="AF863" i="2"/>
  <c r="AG863" i="2" s="1"/>
  <c r="AG882" i="2"/>
  <c r="AF830" i="2"/>
  <c r="AG840" i="2"/>
  <c r="D41" i="10"/>
  <c r="D40" i="10" s="1"/>
  <c r="D58" i="10" s="1"/>
  <c r="F561" i="7"/>
  <c r="F908" i="7" s="1"/>
  <c r="F25" i="10" l="1"/>
  <c r="G28" i="10"/>
  <c r="F644" i="9"/>
  <c r="G567" i="9"/>
  <c r="J908" i="7"/>
  <c r="K908" i="7" s="1"/>
  <c r="AF823" i="2"/>
  <c r="AG830" i="2"/>
  <c r="F58" i="10" l="1"/>
  <c r="G58" i="10" s="1"/>
  <c r="G25" i="10"/>
  <c r="F709" i="9"/>
  <c r="G709" i="9" s="1"/>
  <c r="G644" i="9"/>
  <c r="AG823" i="2"/>
  <c r="AF1043" i="2"/>
  <c r="AG1043" i="2" s="1"/>
</calcChain>
</file>

<file path=xl/sharedStrings.xml><?xml version="1.0" encoding="utf-8"?>
<sst xmlns="http://schemas.openxmlformats.org/spreadsheetml/2006/main" count="9729" uniqueCount="817">
  <si>
    <t>Рз</t>
  </si>
  <si>
    <t>ЦСР</t>
  </si>
  <si>
    <t>Резервные фонды</t>
  </si>
  <si>
    <t>Жилищно-коммунальное хозяйство</t>
  </si>
  <si>
    <t>Образование</t>
  </si>
  <si>
    <t>05</t>
  </si>
  <si>
    <t>002</t>
  </si>
  <si>
    <t>03</t>
  </si>
  <si>
    <t>07</t>
  </si>
  <si>
    <t xml:space="preserve">Бюджетные инвестиции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</si>
  <si>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</si>
  <si>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</si>
  <si>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 и  вневойсковая  подготовка</t>
  </si>
  <si>
    <t>Физическая  культура  и  спорт</t>
  </si>
  <si>
    <t>Физическая культура</t>
  </si>
  <si>
    <t>Другие общегосударственные вопросы</t>
  </si>
  <si>
    <t>Сельское хозяйство и рыболовство</t>
  </si>
  <si>
    <t>08</t>
  </si>
  <si>
    <t>Код главного распоря-
дителя</t>
  </si>
  <si>
    <t>Благоустройство</t>
  </si>
  <si>
    <t>Дошкольное образование</t>
  </si>
  <si>
    <t>ПР</t>
  </si>
  <si>
    <t>Культура,  кинематография</t>
  </si>
  <si>
    <t>09</t>
  </si>
  <si>
    <t>Капитальные вложения в объекты  государственной (муниципальной) собственности</t>
  </si>
  <si>
    <t>Социальные выплаты гражданам, кроме публичных  нормативных  социальных  выплат</t>
  </si>
  <si>
    <t>Другие вопросы в области охраны окружающей среды</t>
  </si>
  <si>
    <t>Общегосударственные вопросы</t>
  </si>
  <si>
    <t>003</t>
  </si>
  <si>
    <t>Другие вопросы в области жилищно-коммунального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</si>
  <si>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</si>
  <si>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</si>
  <si>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</si>
  <si>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Охрана семьи и детства</t>
  </si>
  <si>
    <t>Связь и информатика</t>
  </si>
  <si>
    <t xml:space="preserve">Другие  вопросы  в  области  социальной  политики  </t>
  </si>
  <si>
    <t>Общее образование</t>
  </si>
  <si>
    <t>Массовый  спорт</t>
  </si>
  <si>
    <t>10</t>
  </si>
  <si>
    <t>200</t>
  </si>
  <si>
    <t xml:space="preserve"> Другие вопросы в области образования</t>
  </si>
  <si>
    <t>Охрана окружающей среды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</si>
  <si>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</si>
  <si>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</si>
  <si>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</si>
  <si>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Обеспечение проведения выборов и референдумов</t>
  </si>
  <si>
    <t>14</t>
  </si>
  <si>
    <t>Национальная экономика</t>
  </si>
  <si>
    <t>Национальная безопасность и правоохранительная деятельность</t>
  </si>
  <si>
    <t>Мобилизационная  подготовка  экономики</t>
  </si>
  <si>
    <t>Обеспечивающая подпрограмма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</si>
  <si>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</si>
  <si>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</si>
  <si>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</si>
  <si>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</si>
  <si>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</si>
  <si>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</si>
  <si>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</si>
  <si>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</si>
  <si>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ВСЕГО</t>
  </si>
  <si>
    <t>Уплата налогов, сборов и иных платежей</t>
  </si>
  <si>
    <t>005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</si>
  <si>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</si>
  <si>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</si>
  <si>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ВР</t>
  </si>
  <si>
    <t>001</t>
  </si>
  <si>
    <t xml:space="preserve">Культура </t>
  </si>
  <si>
    <t>240</t>
  </si>
  <si>
    <t>904</t>
  </si>
  <si>
    <t>Обслуживание государственного (муниципального) долга</t>
  </si>
  <si>
    <t>Расходы на выплаты персоналу казенных учреждений</t>
  </si>
  <si>
    <t xml:space="preserve"> Жилищное хозяйство</t>
  </si>
  <si>
    <t>Обеспечение  деятельности  финансовых, налоговых  и  таможенных  органов  и  органов  финансового  (финансово-бюджетного)  надзора</t>
  </si>
  <si>
    <t>Транспорт</t>
  </si>
  <si>
    <t>Наименования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</si>
  <si>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</si>
  <si>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Резервные фонды</t>
  </si>
  <si>
    <t xml:space="preserve">  Мобилизационная  и  вневойсковая  подготовка</t>
  </si>
  <si>
    <t xml:space="preserve">  Мобилизационная  подготовка  экономики</t>
  </si>
  <si>
    <t xml:space="preserve">  Другие  вопросы  в  области  национальной  безопасности  и  правоохранительной  деятельности</t>
  </si>
  <si>
    <t xml:space="preserve">  Транспорт</t>
  </si>
  <si>
    <t xml:space="preserve">  Дорожное  хозяйство  (дорожные  фонды)  </t>
  </si>
  <si>
    <t xml:space="preserve">  Другие вопросы в области национальной экономики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</si>
  <si>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</si>
  <si>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</si>
  <si>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</si>
  <si>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Дошкольное образование</t>
  </si>
  <si>
    <t xml:space="preserve">  Общее образование</t>
  </si>
  <si>
    <t xml:space="preserve">  Другие вопросы в области образования</t>
  </si>
  <si>
    <t xml:space="preserve">  Культура </t>
  </si>
  <si>
    <t xml:space="preserve">  Пенсионное обеспечение</t>
  </si>
  <si>
    <t xml:space="preserve">  Охрана семьи и детства</t>
  </si>
  <si>
    <t xml:space="preserve">  Другие  вопросы  в  области  социальной  политики  </t>
  </si>
  <si>
    <t xml:space="preserve">  Физическая культура</t>
  </si>
  <si>
    <t xml:space="preserve">  Массовый  спорт</t>
  </si>
  <si>
    <t>Сбор, удаление отходов и очистка сточных вод</t>
  </si>
  <si>
    <t xml:space="preserve">Дорожное  хозяйство  (дорожные  фонды)  </t>
  </si>
  <si>
    <t>Социальная политика</t>
  </si>
  <si>
    <t>06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</si>
  <si>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</si>
  <si>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</si>
  <si>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 xml:space="preserve">  Связь и информатика</t>
  </si>
  <si>
    <t>95 0 00 00000</t>
  </si>
  <si>
    <t>03 0 00 00000</t>
  </si>
  <si>
    <t>03 2 00 00000</t>
  </si>
  <si>
    <t>08 0 00 00000</t>
  </si>
  <si>
    <t>08 3 00 00000</t>
  </si>
  <si>
    <t>08 4 00 00000</t>
  </si>
  <si>
    <t>08 6 00 00000</t>
  </si>
  <si>
    <t>08 1 00 00000</t>
  </si>
  <si>
    <t>08 2 00 00000</t>
  </si>
  <si>
    <t>08 5 00 00000</t>
  </si>
  <si>
    <t>04 0 00 00000</t>
  </si>
  <si>
    <t>04 2 00 00000</t>
  </si>
  <si>
    <t>10 0 00 00000</t>
  </si>
  <si>
    <t>12 0 00 00000</t>
  </si>
  <si>
    <t>12 1 00 00000</t>
  </si>
  <si>
    <t>02 0 00 00000</t>
  </si>
  <si>
    <t>05 0 00 00000</t>
  </si>
  <si>
    <t>09 0 00 00000</t>
  </si>
  <si>
    <t>03 1 00 00000</t>
  </si>
  <si>
    <t>04 1 00 00000</t>
  </si>
  <si>
    <t>05 1 00 00000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</si>
  <si>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</si>
  <si>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</si>
  <si>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компенсации  родительской платы за присмотр  и  уход  за  детьми,  осваивающими  образовательные  программы  дошкольного  образования  в  организациях  Московской  области,  осуществляющих  образовательную  деятельность</t>
  </si>
  <si>
    <t>08 3 01 00000</t>
  </si>
  <si>
    <t>08 4 01 00000</t>
  </si>
  <si>
    <t>03 1 02 00000</t>
  </si>
  <si>
    <t>100</t>
  </si>
  <si>
    <t>110</t>
  </si>
  <si>
    <t>05 1 01 00000</t>
  </si>
  <si>
    <t>Субсидии  автономным  учреждениям</t>
  </si>
  <si>
    <t>Публичные нормативные социальные выплаты гражданам</t>
  </si>
  <si>
    <t>13 0 00 00000</t>
  </si>
  <si>
    <t>Исполнение судебных актов</t>
  </si>
  <si>
    <t xml:space="preserve">  Молодежная политика </t>
  </si>
  <si>
    <t>Дополнительное образование детей</t>
  </si>
  <si>
    <t xml:space="preserve">Молодежная политика </t>
  </si>
  <si>
    <t>Резервные  средства</t>
  </si>
  <si>
    <t>99 0 00 00000</t>
  </si>
  <si>
    <t>06 0 00 00000</t>
  </si>
  <si>
    <t>Администрация  городского округа  Лыткарино</t>
  </si>
  <si>
    <t>02 3 00 00000</t>
  </si>
  <si>
    <t>02 3 01 00000</t>
  </si>
  <si>
    <t>Осуществление государственных полномочий Московской области в области земельных отношений</t>
  </si>
  <si>
    <t>09 2 01 00000</t>
  </si>
  <si>
    <t>09 2 00 00000</t>
  </si>
  <si>
    <t>09 3 01 60820</t>
  </si>
  <si>
    <t>09 3 01 00000</t>
  </si>
  <si>
    <t>09 3 00 00000</t>
  </si>
  <si>
    <t xml:space="preserve">  Дополнительное образование детей</t>
  </si>
  <si>
    <t xml:space="preserve">  Сельское хозяйство и рыболовство</t>
  </si>
  <si>
    <t>(тыс.руб.)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</si>
  <si>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</si>
  <si>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 вопросы  в  области  национальной  безопасности  и  правоохранительной  деятельности</t>
  </si>
  <si>
    <t xml:space="preserve">  Другие общегосударственные вопросы</t>
  </si>
  <si>
    <t>Капитальные вложения в объекты государственной(муниципальной) собственности</t>
  </si>
  <si>
    <t>400</t>
  </si>
  <si>
    <t>410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</si>
  <si>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</si>
  <si>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 xml:space="preserve">Муниципальная программа «Спорт»                    </t>
  </si>
  <si>
    <t>Подпрограмма «Развитие физической культуры и спорта»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</si>
  <si>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</si>
  <si>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</si>
  <si>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</si>
  <si>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Организация проведения официальных физкультурно-оздоровительных и спортивных мероприятий</t>
  </si>
  <si>
    <t>05 1 01 00570</t>
  </si>
  <si>
    <t xml:space="preserve">Муниципальная программа «Безопасность и обеспечение безопасности жизнедеятельности населения»                    </t>
  </si>
  <si>
    <t>Подпрограмма «Профилактика преступлений и иных правонарушений»</t>
  </si>
  <si>
    <t>08 1 03 00000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</si>
  <si>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</si>
  <si>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</si>
  <si>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</si>
  <si>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</si>
  <si>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</si>
  <si>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</si>
  <si>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</si>
  <si>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Обеспечение первичных мер пожарной безопасности в границах городского округа</t>
  </si>
  <si>
    <t>08 4 01 00360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</si>
  <si>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</si>
  <si>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</si>
  <si>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Содержание и развитие муниципальных экстренных оперативных служб </t>
  </si>
  <si>
    <t>08 6 01 01020</t>
  </si>
  <si>
    <t>Реализация мероприятий по обеспечению жильем молодых семей</t>
  </si>
  <si>
    <t>09 2 01 L4970</t>
  </si>
  <si>
    <t>Подпрограмма «Обеспечение жильем молодых семей»</t>
  </si>
  <si>
    <t xml:space="preserve">Муниципальная программа «Жилище»                    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</si>
  <si>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</si>
  <si>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</si>
  <si>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</si>
  <si>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</si>
  <si>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</si>
  <si>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 xml:space="preserve">Муниципальная программа «Управление имуществом и муниципальными финансами»   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</si>
  <si>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</si>
  <si>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</si>
  <si>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12 1 03 60830</t>
  </si>
  <si>
    <t xml:space="preserve">Обслуживание муниципального долга </t>
  </si>
  <si>
    <t xml:space="preserve">Обеспечивающая подпрограмма   </t>
  </si>
  <si>
    <t>12 5 00 00000</t>
  </si>
  <si>
    <t xml:space="preserve">Основное мероприятие «Создание условий для реализации полномочий органов местного самоуправления» 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</si>
  <si>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</si>
  <si>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</si>
  <si>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</si>
  <si>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</si>
  <si>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</si>
  <si>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</si>
  <si>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</si>
  <si>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</si>
  <si>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</si>
  <si>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</si>
  <si>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</si>
  <si>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</si>
  <si>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</si>
  <si>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Обеспечение деятельности органов местного самоуправления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</si>
  <si>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</si>
  <si>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 на  содержание  лиц,  замещающих должности, не являющиеся должностями муниципальной  службы)</t>
  </si>
  <si>
    <t>Обеспечение деятельности органов местного самоуправления (расходы  на  содержание  лиц,  замещающих должности  муниципальной  службы)</t>
  </si>
  <si>
    <t>Обеспечение деятельности финансового органа</t>
  </si>
  <si>
    <t>12 5 01 00160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</si>
  <si>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</si>
  <si>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</si>
  <si>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12 5 01 00162</t>
  </si>
  <si>
    <t>12 5 01 00163</t>
  </si>
  <si>
    <t>Обеспечение деятельности финансового органа (расходы  на  содержание  лиц,  замещающих должности  муниципальной  службы)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</si>
  <si>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</si>
  <si>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</si>
  <si>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</si>
  <si>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</si>
  <si>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</si>
  <si>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 xml:space="preserve">Организация и осуществление мероприятий по мобилизационной подготовке </t>
  </si>
  <si>
    <t>12 5 01 00720</t>
  </si>
  <si>
    <t>Взносы в общественные организации</t>
  </si>
  <si>
    <t>12 5 01 00870</t>
  </si>
  <si>
    <t xml:space="preserve">Непрограммные расходы                    </t>
  </si>
  <si>
    <t xml:space="preserve">Оплата исполнительных листов, судебных издержек </t>
  </si>
  <si>
    <t>99 0 00 00080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</si>
  <si>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</si>
  <si>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</si>
  <si>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</si>
  <si>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</si>
  <si>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</si>
  <si>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«Ремонт, капитальный ремонт сети автомобильных дорог, мостов и путепроводов местного значения»</t>
  </si>
  <si>
    <t>Подпрограмма «Дороги Подмосковья»</t>
  </si>
  <si>
    <t>14 2 00 00000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</si>
  <si>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</si>
  <si>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</si>
  <si>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</si>
  <si>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</si>
  <si>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</si>
  <si>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</si>
  <si>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 xml:space="preserve">Муниципальная программа «Развитие сельского хозяйства»                    </t>
  </si>
  <si>
    <t>06 4 00 00000</t>
  </si>
  <si>
    <t>06 4 01 00000</t>
  </si>
  <si>
    <t>06 4 01 60870</t>
  </si>
  <si>
    <t xml:space="preserve">Муниципальная программа «Формирование современной комфортной городской среды»   </t>
  </si>
  <si>
    <t>17 0 00 00000</t>
  </si>
  <si>
    <t>17 2 00 00000</t>
  </si>
  <si>
    <t>17 2 01 00000</t>
  </si>
  <si>
    <t>17 2 01 00620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</si>
  <si>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</si>
  <si>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</si>
  <si>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Содержание мест захоронения</t>
  </si>
  <si>
    <t>Муниципальная программа «Архитектура и градостроительство»</t>
  </si>
  <si>
    <t>16 0 00 00000</t>
  </si>
  <si>
    <t>16 2 00 00000</t>
  </si>
  <si>
    <t>Расходы на обеспечение деятельности (оказание услуг) муниципальных учреждений - музеи, галереи</t>
  </si>
  <si>
    <t>02 2 01 06130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</si>
  <si>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</si>
  <si>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</si>
  <si>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</si>
  <si>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</si>
  <si>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</si>
  <si>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</si>
  <si>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Мероприятия в сфере культуры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</si>
  <si>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</si>
  <si>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</si>
  <si>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>Расходы на обеспечение деятельности (оказание услуг) муниципальных архивов</t>
  </si>
  <si>
    <t xml:space="preserve">Муниципальная программа «Образование»                   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</si>
  <si>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</si>
  <si>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</si>
  <si>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</si>
  <si>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 xml:space="preserve">Подпрограмма «Общее образование»                    </t>
  </si>
  <si>
    <t>Основное мероприятие «Финансовое обеспечение деятельности образовательных организаций»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</si>
  <si>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</si>
  <si>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</si>
  <si>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</si>
  <si>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«Создание условий для реализации полномочий органов местного самоуправления»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</si>
  <si>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</si>
  <si>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 xml:space="preserve">Обеспечение деятельности контрольно-счетной палаты </t>
  </si>
  <si>
    <t>95 0 00 00150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</si>
  <si>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</si>
  <si>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</si>
  <si>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</si>
  <si>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</si>
  <si>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</si>
  <si>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95 0 00 00153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</si>
  <si>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</si>
  <si>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Председатель представительного органа местного самоуправления</t>
  </si>
  <si>
    <t>Расходы на содержание представительного органа муниципального образования</t>
  </si>
  <si>
    <t>95 0 00 00030</t>
  </si>
  <si>
    <t>95 0 00 00010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</si>
  <si>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</si>
  <si>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</si>
  <si>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</si>
  <si>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95 0 00 00032</t>
  </si>
  <si>
    <t>95 0 00 00033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</si>
  <si>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</si>
  <si>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</si>
  <si>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 xml:space="preserve">Муниципальная программа «Социальная защита населения»                    </t>
  </si>
  <si>
    <t>Подпрограмма «Социальная поддержка граждан»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</si>
  <si>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</si>
  <si>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Предоставление доплаты за выслугу лет к трудовой пенсии муниципальным служащим за счет средств местного бюджета</t>
  </si>
  <si>
    <t>Подпрограмма «Развитие системы отдыха и оздоровления детей»</t>
  </si>
  <si>
    <t>Мероприятия по организации отдыха детей в каникулярное время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</si>
  <si>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</si>
  <si>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</si>
  <si>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</si>
  <si>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</si>
  <si>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</si>
  <si>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13 1 01 00820</t>
  </si>
  <si>
    <t>Основное мероприятие «Организация создания и эксплуатации сети объектов наружной рекламы»</t>
  </si>
  <si>
    <t>13 1 07 00000</t>
  </si>
  <si>
    <t>13 1 07 00660</t>
  </si>
  <si>
    <t>Подпрограмма «Молодежь Подмосковья»</t>
  </si>
  <si>
    <t>13 4 00 00000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</si>
  <si>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</si>
  <si>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</si>
  <si>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</si>
  <si>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</si>
  <si>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</si>
  <si>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02 2 00 00000</t>
  </si>
  <si>
    <t>Основное мероприятие «Обеспечение выполнения функций муниципальных музеев»</t>
  </si>
  <si>
    <t>02 2 01 00000</t>
  </si>
  <si>
    <t>12 5 01 06094</t>
  </si>
  <si>
    <t>Мероприятия по организации отдыха детей в каникулярное время (организация  отдыха  детей  и  подростков  в  санаторно-курортных  учреждениях  и  загородных  оздоровительных  лагерях)</t>
  </si>
  <si>
    <t xml:space="preserve">Мероприятия по организации отдыха детей в каникулярное время(организация  отдыха  детей  и  подростков  в   лагерях  с  дневным  пребыванием) </t>
  </si>
  <si>
    <t>Расходы на обеспечение деятельности (оказание услуг) муниципальных учреждений в сфере дорожного хозяйства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</si>
  <si>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</si>
  <si>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 </t>
  </si>
  <si>
    <t>17 3 00 00000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</si>
  <si>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области»</t>
  </si>
  <si>
    <t>Софинансирование работ по капитальному ремонту и ремонту автомобильных дорог общего пользования местного значения</t>
  </si>
  <si>
    <t>Основное мероприятие «Приведение в надлежащее состояние подъездов в многоквартирных домах»</t>
  </si>
  <si>
    <t>17 3 01 00000</t>
  </si>
  <si>
    <t>Коммунальное  хозяйство</t>
  </si>
  <si>
    <t xml:space="preserve">  Коммунальное  хозяйство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</si>
  <si>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</si>
  <si>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</si>
  <si>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"Создание условий для реализации полномочий органов местного самоуправления"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</si>
  <si>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</si>
  <si>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Депутат представительного органа местного самоуправления на постоянной основе</t>
  </si>
  <si>
    <t xml:space="preserve">Обеспечение деятельности органов местного самоуправления 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</si>
  <si>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 )</t>
  </si>
  <si>
    <t xml:space="preserve">Непрограммные расходы </t>
  </si>
  <si>
    <t>Расходы на обеспечение деятельности (оказание услуг) муниципальных учреждений - общеобразовательные организации(выполнение муниципального задания)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</si>
  <si>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</si>
  <si>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08 1 07 00480</t>
  </si>
  <si>
    <t>08 1 07 00000</t>
  </si>
  <si>
    <t>08 1  07 00590</t>
  </si>
  <si>
    <t>08 1 07 06250</t>
  </si>
  <si>
    <t>14 1 02 00000</t>
  </si>
  <si>
    <t xml:space="preserve"> 14 1 02 00280</t>
  </si>
  <si>
    <t xml:space="preserve"> 14 1 02 00281</t>
  </si>
  <si>
    <t xml:space="preserve"> 14 1 02 00282</t>
  </si>
  <si>
    <t>14 5 00 00000</t>
  </si>
  <si>
    <t>14 5 01 00000</t>
  </si>
  <si>
    <t>14 5 01 06230</t>
  </si>
  <si>
    <t>Проведение капитального ремонта многоквартирных домов</t>
  </si>
  <si>
    <t xml:space="preserve">Подпрограмма «Развитие и поддержка социально ориентированных некоммерческих организаций" </t>
  </si>
  <si>
    <t>Мероприятия по обеспечению безопасности дорожного движения</t>
  </si>
  <si>
    <t>Основное мероприятие «Обеспечение комфортной среды проживания на территории муниципального образования»</t>
  </si>
  <si>
    <r>
      <t>Подпрограмма «Развитие и поддержка социально ориентированных некоммерческих организаций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</t>
    </r>
  </si>
  <si>
    <t>800</t>
  </si>
  <si>
    <t>810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</si>
  <si>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</si>
  <si>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Итого по муниципальным программам: 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</si>
  <si>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</si>
  <si>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08 6 01 00000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</si>
  <si>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</si>
  <si>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Основное мероприятие "Обеспечение функций культурно-досуговых учреждений"</t>
  </si>
  <si>
    <t>Расходы на обеспечение деятельности(оказание услуг) муниципальных учреждений-культурно-досуговые учреждения</t>
  </si>
  <si>
    <t>Обслуживание муниципального  долга</t>
  </si>
  <si>
    <t>Дорожная деятельность в отношении автомобильных дорог местного значения в границах городского округа</t>
  </si>
  <si>
    <t>08 1 07 00590</t>
  </si>
  <si>
    <t>Подпрограмма «Обеспечение пожарной безопасности на территории муниципального образования Московской области»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</si>
  <si>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</si>
  <si>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08 1 07 62820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</si>
  <si>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</si>
  <si>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</si>
  <si>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</t>
  </si>
  <si>
    <t>Подпрограмма "Обеспечивающая подпрограмма"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</si>
  <si>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</si>
  <si>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</si>
  <si>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</si>
  <si>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Гражданская 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</si>
  <si>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</si>
  <si>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</si>
  <si>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Гражданская  оборона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</si>
  <si>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МБУ"ЛАТП- автотранспортное обслуживание")</t>
  </si>
  <si>
    <t>Подпрограмма «Комфортная городская среда»</t>
  </si>
  <si>
    <t>17 1 00 00000</t>
  </si>
  <si>
    <t>Федеральный проект «Формирование комфортной городской среды»</t>
  </si>
  <si>
    <t>17 1 F2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</si>
  <si>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</si>
  <si>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</si>
  <si>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</si>
  <si>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</si>
  <si>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</si>
  <si>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</si>
  <si>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</si>
  <si>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</si>
  <si>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</si>
  <si>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</si>
  <si>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</si>
  <si>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</si>
  <si>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</si>
  <si>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«Реализация политики пространственного развития городского округа»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</si>
  <si>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</si>
  <si>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</si>
  <si>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</si>
  <si>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12 1 02 00180</t>
  </si>
  <si>
    <t>600</t>
  </si>
  <si>
    <t>610</t>
  </si>
  <si>
    <t>10 3 00 00000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</si>
  <si>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</si>
  <si>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</si>
  <si>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</si>
  <si>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</si>
  <si>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</si>
  <si>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</si>
  <si>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Ремонт дворовых территорий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</si>
  <si>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</si>
  <si>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Муниципальная программа "Экология и окружающая среда"</t>
  </si>
  <si>
    <t>07 0 00 00000</t>
  </si>
  <si>
    <t>Реализация отдельных мероприятий муниципальных программ</t>
  </si>
  <si>
    <t>Благоустройство лесопарковых зон</t>
  </si>
  <si>
    <t>17 1 01 S3730</t>
  </si>
  <si>
    <t>17 1 01 S2630</t>
  </si>
  <si>
    <t>17 1 01 S1580</t>
  </si>
  <si>
    <t>Основное мероприятие «Модернизация школьных систем образования в рамках государственной программы Российской Федерации «Развитие образования»</t>
  </si>
  <si>
    <t>02 3 01 L5198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</si>
  <si>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</si>
  <si>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</si>
  <si>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04 5 00 00000</t>
  </si>
  <si>
    <t>17 2 01 01480</t>
  </si>
  <si>
    <t>Обеспечение деятельности контрольно-счетной палаты (расходы  на  содержание  лиц, замещающих муниципальные должности )</t>
  </si>
  <si>
    <t>95 0 00 00154</t>
  </si>
  <si>
    <t>12 3 00 00000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</si>
  <si>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</si>
  <si>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12 3 01 00000</t>
  </si>
  <si>
    <t>Субсидии некоммерческим организациям (за исключением государственных (муниципальных) учреждений,государственных корпораций (компаний), публично-правовых компаний)</t>
  </si>
  <si>
    <t>Совет  депутатов  городского округа  Лыткарино</t>
  </si>
  <si>
    <t>Финансовое  управление  города  Лыткарино</t>
  </si>
  <si>
    <t>Обеспечение  деятельности  финансовых,налоговых  и  таможенных  органов  и  органов  финансового  (финансово-бюджетного)  надзора</t>
  </si>
  <si>
    <t>Комитет  по  управлению  имуществом  города  Лыткарино</t>
  </si>
  <si>
    <t>Управление  образования города  Лыткарино</t>
  </si>
  <si>
    <t>901</t>
  </si>
  <si>
    <t>Управление  жилищно-коммунального  хозяйства    и  развития  городской  инфраструктуры  города  Лыткарино</t>
  </si>
  <si>
    <t>902</t>
  </si>
  <si>
    <t xml:space="preserve"> Капитальные вложения в объекты государственной(муниципальной) собственности</t>
  </si>
  <si>
    <t>Контрольно-счетная палата городского округа  Лыткарино  Московской  области</t>
  </si>
  <si>
    <t>Обеспечение деятельности контрольно-счетной палаты (расходы  на  содержание  лиц,  замещающих муниципальные должности)</t>
  </si>
  <si>
    <t>17 2 01 06242</t>
  </si>
  <si>
    <t>Иные выплаты населению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</si>
  <si>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</si>
  <si>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"Обеспечение функций муниципальных организаций дополнительного образования сферы культуры"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</si>
  <si>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</si>
  <si>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</si>
  <si>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Основное мероприятие "Организация транспортного обслуживания населения"</t>
  </si>
  <si>
    <t>Иные расходы</t>
  </si>
  <si>
    <t>99 0 00 04000</t>
  </si>
  <si>
    <t>850</t>
  </si>
  <si>
    <t>17 2 F2 S2740</t>
  </si>
  <si>
    <t>17 2 F2 00000</t>
  </si>
  <si>
    <t>Создание и ремонт пешеходных коммуникаций</t>
  </si>
  <si>
    <t>17 2 01 S1870</t>
  </si>
  <si>
    <t>Иные расходы 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</si>
  <si>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99 0 00 04008</t>
  </si>
  <si>
    <t>Иные расходы (возврат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</si>
  <si>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99 0 00 04004</t>
  </si>
  <si>
    <t>Иные расходы (обеспечение участия городского округа Лыткарино в государственных программах Московской области)</t>
  </si>
  <si>
    <t>99 0 00 04006</t>
  </si>
  <si>
    <t>10 8 00 00000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</si>
  <si>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</si>
  <si>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10 8 01 00000</t>
  </si>
  <si>
    <t>Устройство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</si>
  <si>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</si>
  <si>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Взносы на капитальный ремонт общего имущества многоквартирных домов</t>
  </si>
  <si>
    <t>Организация наружного освещения</t>
  </si>
  <si>
    <t>Ведомственная  структура расходов  бюджета  городского округа  Лыткарино   
 на  2023 год и плановый период 2024 и 2025 годов</t>
  </si>
  <si>
    <t>Обслуживание  государственного (муниципального)  долга</t>
  </si>
  <si>
    <t>Обслуживание государственного (муниципального) внутреннего долга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</si>
  <si>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</si>
  <si>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</si>
  <si>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16 2 04 00000</t>
  </si>
  <si>
    <t>16 2 04 60700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</si>
  <si>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</si>
  <si>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Ямочный ремонт асфальтового покрытия дворовых территорий</t>
  </si>
  <si>
    <t>17 2 01 S2890</t>
  </si>
  <si>
    <t>10 3 01 00000</t>
  </si>
  <si>
    <t>Основное мероприятие «Строительство, реконструкция, капитальный ремонт объектов теплоснабжения на территории муниципальных образований Московской области»</t>
  </si>
  <si>
    <t>13 6 00 00000</t>
  </si>
  <si>
    <t>13 6 03 00000</t>
  </si>
  <si>
    <t>Подпрограмма "Общее образование"</t>
  </si>
  <si>
    <t>03 1 01 00000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</si>
  <si>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</si>
  <si>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</si>
  <si>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03 1 01 06040</t>
  </si>
  <si>
    <t>03 1 01 06041</t>
  </si>
  <si>
    <t>13 6 03 51180</t>
  </si>
  <si>
    <t>13 6 04 00000</t>
  </si>
  <si>
    <t>13 6 04 51200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</si>
  <si>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</si>
  <si>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</si>
  <si>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«Осуществление первичного воинского учета»</t>
  </si>
  <si>
    <t>Подпрограмма «Дополнительное образование, воспитание и психолого-социальное сопровождение детей</t>
  </si>
  <si>
    <t>Федеральный проект «Патриотическое воспитание граждан Российской Федерации»</t>
  </si>
  <si>
    <t xml:space="preserve"> 03 2 EВ 00000</t>
  </si>
  <si>
    <t>03 2 EВ 57860</t>
  </si>
  <si>
    <t>12 1 04 00000</t>
  </si>
  <si>
    <t>12 1 04 00130</t>
  </si>
  <si>
    <t>12 1 04 00131</t>
  </si>
  <si>
    <t>12 1 04 00132</t>
  </si>
  <si>
    <t>12 1 04 00133</t>
  </si>
  <si>
    <t>04 1 15 00840</t>
  </si>
  <si>
    <t>04 1 15 00000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</si>
  <si>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</si>
  <si>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03 1 01 06042</t>
  </si>
  <si>
    <t>03 1 01 62140</t>
  </si>
  <si>
    <t>03 1 01 06050</t>
  </si>
  <si>
    <t>03 1 01 06051</t>
  </si>
  <si>
    <t>03 1 01 06052</t>
  </si>
  <si>
    <t>03 1 01 53031</t>
  </si>
  <si>
    <t>03 1 01 62010</t>
  </si>
  <si>
    <t>03 1 02 62230</t>
  </si>
  <si>
    <t>03 1 02 L3040</t>
  </si>
  <si>
    <t>03 1 02 S2870</t>
  </si>
  <si>
    <t>03 1 04 00000</t>
  </si>
  <si>
    <t>03 1 04 06050</t>
  </si>
  <si>
    <t>03 1 08 00000</t>
  </si>
  <si>
    <t>03 1 08 S3800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</si>
  <si>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</si>
  <si>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деятельности организаций дополнительного образования"</t>
  </si>
  <si>
    <t>03 2 02 00000</t>
  </si>
  <si>
    <t>03 2 02 06060</t>
  </si>
  <si>
    <t>03 2 02 06061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</si>
  <si>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</si>
  <si>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03 2 04 00000</t>
  </si>
  <si>
    <t>03 2 04 00940</t>
  </si>
  <si>
    <t>03 4 00 00000</t>
  </si>
  <si>
    <t>03 4 01 00000</t>
  </si>
  <si>
    <t>03 4 01 00130</t>
  </si>
  <si>
    <t>03 4 01 00131</t>
  </si>
  <si>
    <t>03 4 01 00132</t>
  </si>
  <si>
    <t>03 4 01 00133</t>
  </si>
  <si>
    <t>Укрепление материально-технической базы общеобразовательных организаций, команды которых заняли 1-5 места на соревнованиях «Веселые старты»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</si>
  <si>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</si>
  <si>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</si>
  <si>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</si>
  <si>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 1 08 L7501</t>
  </si>
  <si>
    <t>03 1 08 L7502</t>
  </si>
  <si>
    <t>Подпрограмма «Развитие музейного дела»</t>
  </si>
  <si>
    <t>Подпрограмма «Развитие библиотечного дела»</t>
  </si>
  <si>
    <t>Подпрограмма «Развитие профессионального искусства, гастрольно-концертной и культурно-досуговой деятельности, кинематографии»</t>
  </si>
  <si>
    <t>02 4 04 00000</t>
  </si>
  <si>
    <t>02 4 04 06110</t>
  </si>
  <si>
    <t>02 4 04 06111</t>
  </si>
  <si>
    <t>02 4 04 06112</t>
  </si>
  <si>
    <t>Подпрограмма "Развитие образования в сфере культуры"</t>
  </si>
  <si>
    <t>Подпрограмма «Развитие библиотечного дела"</t>
  </si>
  <si>
    <t>Подпрограмма «Развитие музейного дела"</t>
  </si>
  <si>
    <t xml:space="preserve">Подпрограмма "Развитие образования в сфере культуры" 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</si>
  <si>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</si>
  <si>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14 2 04 00000</t>
  </si>
  <si>
    <t>14 2 04 00200</t>
  </si>
  <si>
    <t>14 2 04 00210</t>
  </si>
  <si>
    <t>14 2 04 S0240</t>
  </si>
  <si>
    <t>04 2 03 00000</t>
  </si>
  <si>
    <t>Основное мероприятие "Мероприятия по организации отдыха детей в каникулярное время"</t>
  </si>
  <si>
    <t>04 2 03 S2190</t>
  </si>
  <si>
    <t>04 2 03 S2191</t>
  </si>
  <si>
    <t>04 2 03 S2192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</si>
  <si>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</si>
  <si>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(мероприятия в сфере образования)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</si>
  <si>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</si>
  <si>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</si>
  <si>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</si>
  <si>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</si>
  <si>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</si>
  <si>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Основное мероприятие «Финансовое обеспечение деятельности организаций дополнительного образования"</t>
  </si>
  <si>
    <t>Основное мероприятие «Вовлечение молодежи в общественную жизнь»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</si>
  <si>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</si>
  <si>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Основное мероприятие «Мероприятия по организации отдыха детей в каникулярное время»</t>
  </si>
  <si>
    <t>Подпрограмма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</si>
  <si>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 xml:space="preserve">Подпрограмма «Общее образование»                   </t>
  </si>
  <si>
    <t xml:space="preserve">Мероприятия по организации отдыха детей в каникулярное время (организация  отдыха  детей  и  подростков  в   лагерях  с  дневным  пребыванием) </t>
  </si>
  <si>
    <t>04 5 03 00000</t>
  </si>
  <si>
    <t>Основное мероприятие «Иные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области»</t>
  </si>
  <si>
    <t>04 5 03 60680</t>
  </si>
  <si>
    <t>04 6 00 00000</t>
  </si>
  <si>
    <t>04 6 01 00000</t>
  </si>
  <si>
    <t>Основное мероприятие «Развитие негосударственного сектора социального обслуживания»</t>
  </si>
  <si>
    <t>Организация и проведение официальных физкультурно-оздоровительных и спортивных мероприятий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</si>
  <si>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</si>
  <si>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</si>
  <si>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экстремизма»</t>
  </si>
  <si>
    <t>Основное мероприятие "Развитие похоронного дела"</t>
  </si>
  <si>
    <t>Подпрограмма "Объекты теплоснабжения, инженерные коммуникации"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</si>
  <si>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</si>
  <si>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</si>
  <si>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Подпрограмма «Эффективное управление имущественным комплексом»</t>
  </si>
  <si>
    <t>Подпрограмма «Управление муниципальным долгом»</t>
  </si>
  <si>
    <t>Основное мероприятие «Реализация мероприятий в рамках управления муниципальным долгом»</t>
  </si>
  <si>
    <t>12 3 01 00800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</si>
  <si>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</si>
  <si>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12 5 03 00000</t>
  </si>
  <si>
    <t>12 5 03 00830</t>
  </si>
  <si>
    <t>Подпрограмма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</si>
  <si>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15 3 00 00000</t>
  </si>
  <si>
    <t>15 3 01 00000</t>
  </si>
  <si>
    <t>15 3 01 06190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</si>
  <si>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</si>
  <si>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 xml:space="preserve">Обустройство и установка детских игровых площадок на территории муниципальных образований 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</si>
  <si>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</si>
  <si>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</si>
  <si>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</si>
  <si>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</si>
  <si>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17 2 03 00000</t>
  </si>
  <si>
    <t>17 2 01 62670</t>
  </si>
  <si>
    <t>17 2 02 00000</t>
  </si>
  <si>
    <t>17 2 02 01260</t>
  </si>
  <si>
    <t>17 3 01 00130</t>
  </si>
  <si>
    <t>17 3 01 00131</t>
  </si>
  <si>
    <t>17 3 01 00132</t>
  </si>
  <si>
    <t>17 3 01 00133</t>
  </si>
  <si>
    <t>Обеспечение деятельности контрольно-счетной палаты (расходы  на  содержание  лиц,  замещающих должности, не являющиеся должностями муниципальной  службы)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</si>
  <si>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</si>
  <si>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Строительство и реконструкция объектов теплоснабжения</t>
  </si>
  <si>
    <t>10 3 01 S4730</t>
  </si>
  <si>
    <t>10 8 01 61430</t>
  </si>
  <si>
    <t>10 8 02 00000</t>
  </si>
  <si>
    <t>10 8 02 61930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</si>
  <si>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</si>
  <si>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12 5 01 01680</t>
  </si>
  <si>
    <t>Обеспечение деятельности муниципальных казенных учреждений в сфере закупок товаров, работ, услуг</t>
  </si>
  <si>
    <t>02 4 04 00500</t>
  </si>
  <si>
    <t>02 4 04 00501</t>
  </si>
  <si>
    <t>02 4 04 00502</t>
  </si>
  <si>
    <t>Обустройство и установка детских игровых площадок на территории муниципальных образований</t>
  </si>
  <si>
    <t>08 2 02 00340</t>
  </si>
  <si>
    <t>Основное мероприятие "Создание резервов материальных ресурсов для ликвидации чрезвычайных ситуаций"</t>
  </si>
  <si>
    <t>08 3 03 00000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</si>
  <si>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</si>
  <si>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Организация и осуществление мероприятий по территориальной обороне и гражданской обороне</t>
  </si>
  <si>
    <t>08 3 03 00670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</si>
  <si>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</si>
  <si>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</si>
  <si>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</si>
  <si>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08 5 01 00000</t>
  </si>
  <si>
    <t>08 5 01 00730</t>
  </si>
  <si>
    <t xml:space="preserve">Муниципальная программа «Культура и туризм»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</si>
  <si>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</si>
  <si>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</si>
  <si>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04 6 01 00880</t>
  </si>
  <si>
    <t>17 2 01 01330</t>
  </si>
  <si>
    <t>Комплексное благоустройство дворовых территорий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</si>
  <si>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</si>
  <si>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</si>
  <si>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13 4 02 00000</t>
  </si>
  <si>
    <t>13 4 02 01510</t>
  </si>
  <si>
    <t>Содержание территорий в нормативном состоянии</t>
  </si>
  <si>
    <t>10 3 01 S4731</t>
  </si>
  <si>
    <t>Строительство и реконструкция объектов теплоснабжения (Реконструкция котельной № 1 г.Лыткарино (в т.ч. ПИР)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</si>
  <si>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</si>
  <si>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</si>
  <si>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</si>
  <si>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среды"</t>
  </si>
  <si>
    <t>07 1 01 00000</t>
  </si>
  <si>
    <t>07 1 01 00370</t>
  </si>
  <si>
    <t>Организация мероприятий по охране окружающей среды в границах городского округа</t>
  </si>
  <si>
    <t>Подпрограмма "Обеспечение мероприятий гражданской обороны на территории муниципального образования Московской области"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</si>
  <si>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</si>
  <si>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области»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</si>
  <si>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(происшествияй) на территории муниципального образования  Московской области»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</si>
  <si>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</si>
  <si>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 xml:space="preserve">Муниципальная программа «Развитие инженерной инфраструктуры и энергоэффективности»   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</si>
  <si>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</si>
  <si>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</si>
  <si>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</si>
  <si>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</si>
  <si>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</si>
  <si>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</si>
  <si>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</si>
  <si>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</si>
  <si>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 xml:space="preserve">  Сбор, удаление отходов и очистка сточных вод</t>
  </si>
  <si>
    <t xml:space="preserve">  Другие вопросы в области охраны окружающей среды</t>
  </si>
  <si>
    <t>Основное мероприятие "Организация создания и эксплуатации сети объектов наружной рекламы"</t>
  </si>
  <si>
    <t>Содержание территорий в нормативном состоянии (Управление ЖКХ и РГИ г.Лыткарино)</t>
  </si>
  <si>
    <t>17 2 01 00623</t>
  </si>
  <si>
    <t>17 2 01 00621</t>
  </si>
  <si>
    <t>Содержание территорий в нормативном состоянии  (МБУ "Лыткаринский историко-краеведческий музей")</t>
  </si>
  <si>
    <t>Содержание территорий в нормативном состоянии  (МБУ "ДК "Мир")</t>
  </si>
  <si>
    <t>17 2 01 00622</t>
  </si>
  <si>
    <t xml:space="preserve">  Обеспечение проведения выборов и референдумов</t>
  </si>
  <si>
    <t>Основное мероприятие "Развитие и эксплуатация Системы-112 на территории Московской области"</t>
  </si>
  <si>
    <t>08 2 01 00000</t>
  </si>
  <si>
    <t>Содержание и развитие Системы-112, ЕДДС</t>
  </si>
  <si>
    <t>08 2 01 01850</t>
  </si>
  <si>
    <t>Проведение работ по капитальному ремонту зданий региональных (муниципальных) общеобразовательных организаций</t>
  </si>
  <si>
    <t>03 1 08 S3770</t>
  </si>
  <si>
    <t>Оснащение отремонтированных зданий общеобразовательных организаций средствами обучения и воспитания</t>
  </si>
  <si>
    <t>03 1 08 S3780</t>
  </si>
  <si>
    <t>99 0 00 04001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</si>
  <si>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</si>
  <si>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</si>
  <si>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</si>
  <si>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03 1 02 62970</t>
  </si>
  <si>
    <t>Приложение 3</t>
  </si>
  <si>
    <t>Оказание  поддержки социально ориентированным некоммерческим организациям</t>
  </si>
  <si>
    <t>04 6 01 00760</t>
  </si>
  <si>
    <t>05 1 02 00000</t>
  </si>
  <si>
    <t>05 1 02 S2150</t>
  </si>
  <si>
    <t>Основное мероприятие "Создание условий для занятий физической культурой и спортом"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</si>
  <si>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</si>
  <si>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"Развитие архивного дела"</t>
  </si>
  <si>
    <t>15 4 00 00000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</si>
  <si>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</si>
  <si>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15 4 02 00000</t>
  </si>
  <si>
    <t>15 4 02 60690</t>
  </si>
  <si>
    <t>Реализация мероприятий по обеспечению общественного порядка и общественной безопасности</t>
  </si>
  <si>
    <t>08 1 03 00980</t>
  </si>
  <si>
    <t>15 4 01 00000</t>
  </si>
  <si>
    <t>15 4 01 06160</t>
  </si>
  <si>
    <t>Основное мероприятие "Хранение, комплектование, учет и использование архивных
 документов в муниципальных архивах"</t>
  </si>
  <si>
    <t>Иные расходы (взыскания на средства бюджета)</t>
  </si>
  <si>
    <t>99 0 00 04002</t>
  </si>
  <si>
    <t>Спорт высших достижений</t>
  </si>
  <si>
    <t>Подпрограмма "Подготовка спортивного резерва"</t>
  </si>
  <si>
    <t>05 2 00 00000</t>
  </si>
  <si>
    <t>05 2 01 00000</t>
  </si>
  <si>
    <t>Основное мероприятие "Подготовка спортивных сборных команд"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</si>
  <si>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</si>
  <si>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</si>
  <si>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Устройство спортивных и детских площадок на территории муниципальных общеобразовательных организаций</t>
  </si>
  <si>
    <t>03 1 08 S2370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</si>
  <si>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</si>
  <si>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17 1 01 01340</t>
  </si>
  <si>
    <t>Ремонт подъездов в многоквартирных домах за счет средств местного бюджета</t>
  </si>
  <si>
    <t>17 2 03 70950</t>
  </si>
  <si>
    <t>Проведение капитального ремонта, технического переоснащения и благоустройства территорий учреждений образования</t>
  </si>
  <si>
    <t>03 1 01 00390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</si>
  <si>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</si>
  <si>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</si>
  <si>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02 4 05 00000</t>
  </si>
  <si>
    <t>02 4 05 01310</t>
  </si>
  <si>
    <t>Капитальный ремонт объектов теплоснабжения за счет средств местного бюджета</t>
  </si>
  <si>
    <t>10 3 01 71990</t>
  </si>
  <si>
    <t>Основное мероприятие "Обеспечение функций муниципальных учреждений культуры Московской области"</t>
  </si>
  <si>
    <t>02 4 07 00000</t>
  </si>
  <si>
    <t>02 4 07 60370</t>
  </si>
  <si>
    <t>05 2 04 00000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</si>
  <si>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</si>
  <si>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Сохранение достигнутого уровня заработной платы отдельных категорий работников в сферах здравоохранения, культуры</t>
  </si>
  <si>
    <t>05 2 04 60370</t>
  </si>
  <si>
    <t>Подпрограмма "Эффективное местное самоуправление"</t>
  </si>
  <si>
    <t>13 3 00 00000</t>
  </si>
  <si>
    <t>Основное мероприятие "Практики инициативного бюджетирования"</t>
  </si>
  <si>
    <t>13 3 02 00000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</si>
  <si>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</si>
  <si>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 3 02 S3050</t>
  </si>
  <si>
    <t>Реализация на территориях муниципальных образований проектов граждан, сформированных в рамках практик инициативного бюджетирования (установка ограждения по периметру МОУ Гимназия № 4 дошкольное отделение по адресу: Московская область, г.Лыткарино, ул.Парковая, дом 24)</t>
  </si>
  <si>
    <t>13 3 02 S3051</t>
  </si>
  <si>
    <t>Федеральный проект "Патриотическое воспитание граждан Российской Федерации"</t>
  </si>
  <si>
    <t>03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</si>
  <si>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</si>
  <si>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EВ 51791</t>
  </si>
  <si>
    <t>Иные расходы (возврат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</si>
  <si>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99 0 00 04003</t>
  </si>
  <si>
    <t>02 2 01 60370</t>
  </si>
  <si>
    <t>02 3 01 60370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</si>
  <si>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</si>
  <si>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08 1 01 00000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</si>
  <si>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</si>
  <si>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08 1 01 00320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</si>
  <si>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</si>
  <si>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04 2 03 00410</t>
  </si>
  <si>
    <t>99 0 00 04005</t>
  </si>
  <si>
    <t>Иные расходы (предоставление субсидии МП «Водоканал» на возмещение части затрат на приобретение энергоресурсов в связи с оказанием услуг по водоотведению в городском округе Лыткарино в 2020-2022 годах)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</si>
  <si>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</si>
  <si>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05 2 04 60360</t>
  </si>
  <si>
    <t xml:space="preserve">Резервный фонд администрации </t>
  </si>
  <si>
    <t>99 0 00 00060</t>
  </si>
  <si>
    <t>Утвержденный план</t>
  </si>
  <si>
    <t>Исполнение</t>
  </si>
  <si>
    <t>% испол-нения</t>
  </si>
  <si>
    <t>В т.ч. Субвенции, субсидии, иные межбюджет-ные трансферты</t>
  </si>
  <si>
    <t>к отчету об исполнении бюджета
 городского округа Лыткарино за 2023 год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</si>
  <si>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</si>
  <si>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99 0 00 55491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</si>
  <si>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</si>
  <si>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15 1 01 00000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</si>
  <si>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</si>
  <si>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01 S0650</t>
  </si>
  <si>
    <t>Иные расходы (Премия Губернатора Московской области "Прорыв года")</t>
  </si>
  <si>
    <t>Уточненный
 план</t>
  </si>
  <si>
    <t>Утвержден-ный план</t>
  </si>
  <si>
    <t>Уточненный план</t>
  </si>
  <si>
    <t>99 0 00 04007</t>
  </si>
  <si>
    <t>Приложение 6</t>
  </si>
  <si>
    <t>к отчету об исполнении бюджета 
городского округа Лыткарино за 2023 год</t>
  </si>
  <si>
    <t>к отчету об исполнении бюджета</t>
  </si>
  <si>
    <t xml:space="preserve"> городского округа Лыткарино за 2023 год</t>
  </si>
  <si>
    <t>Распределение бюджетных ассигнований по разделам, подразделам, целевым статьям (муниципальным программам городского округа Лыткарино и непрограммным направлениям деятельности),группам и подгруппам видов расходов классификации расходов бюджета городского округа Лыткаринона 2023 год и на плановый период 2024 и 2025 годов</t>
  </si>
  <si>
    <t>Распределение бюджетных ассигнований по целевым статьям (муниципальным программам городского округа Лыткарино и непрограммным направлениям деятельности),группам и подгруппам видов расходов классификации расходов бюджета городского округа Лыткарино на 2023 год и на плановый период 2024 и 2025 годов</t>
  </si>
  <si>
    <t xml:space="preserve"> Приложение 6
к Решению Совета депутатов
городского округа Лыткарино
от__________№______
"Об исполнении бюджета 
городского округа Лыткарино за 2023 год"</t>
  </si>
  <si>
    <t xml:space="preserve">Расходы бюджета городского округа Лыткарино за 2023 год по разделам и подразделам классификации расходов бюджета городского округа Лыткарино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</si>
</sst>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4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sz val="11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 Cyr"/>
      <family val="1"/>
      <charset val="204"/>
    </font>
    <font>
      <strike/>
      <sz val="13"/>
      <name val="Cambria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3.5"/>
      <name val="Times New Roman Cyr"/>
      <family val="1"/>
      <charset val="204"/>
    </font>
    <font>
      <sz val="13.5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3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44" fillId="0" borderId="0"/>
  </cellStyleXfs>
  <cellXfs count="652">
    <xf numFmtId="0" fontId="0" fillId="0" borderId="0" xfId="0"/>
    <xf numFmtId="0" fontId="3" fillId="3" borderId="1" xfId="0" quotePrefix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21" fillId="3" borderId="0" xfId="0" applyFont="1" applyFill="1"/>
    <xf numFmtId="0" fontId="3" fillId="3" borderId="20" xfId="0" quotePrefix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1" xfId="0" quotePrefix="1" applyFont="1" applyFill="1" applyBorder="1" applyAlignment="1">
      <alignment horizontal="right" wrapText="1"/>
    </xf>
    <xf numFmtId="0" fontId="19" fillId="2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9" fillId="3" borderId="14" xfId="0" quotePrefix="1" applyFont="1" applyFill="1" applyBorder="1" applyAlignment="1">
      <alignment horizontal="right"/>
    </xf>
    <xf numFmtId="0" fontId="4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wrapText="1"/>
    </xf>
    <xf numFmtId="165" fontId="19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1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165" fontId="19" fillId="3" borderId="0" xfId="0" applyNumberFormat="1" applyFont="1" applyFill="1" applyAlignment="1"/>
    <xf numFmtId="0" fontId="3" fillId="3" borderId="0" xfId="0" applyFont="1" applyFill="1" applyAlignment="1"/>
    <xf numFmtId="0" fontId="17" fillId="3" borderId="1" xfId="0" applyFont="1" applyFill="1" applyBorder="1" applyAlignment="1">
      <alignment horizontal="right" wrapText="1"/>
    </xf>
    <xf numFmtId="0" fontId="17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3" borderId="0" xfId="0" applyNumberFormat="1" applyFont="1" applyFill="1" applyAlignment="1">
      <alignment horizontal="right"/>
    </xf>
    <xf numFmtId="0" fontId="9" fillId="3" borderId="2" xfId="0" quotePrefix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 wrapText="1"/>
    </xf>
    <xf numFmtId="0" fontId="6" fillId="3" borderId="0" xfId="0" applyFont="1" applyFill="1"/>
    <xf numFmtId="0" fontId="8" fillId="3" borderId="0" xfId="0" applyFont="1" applyFill="1"/>
    <xf numFmtId="0" fontId="10" fillId="3" borderId="0" xfId="0" applyFont="1" applyFill="1"/>
    <xf numFmtId="164" fontId="11" fillId="3" borderId="0" xfId="0" applyNumberFormat="1" applyFont="1" applyFill="1"/>
    <xf numFmtId="165" fontId="21" fillId="3" borderId="0" xfId="0" applyNumberFormat="1" applyFont="1" applyFill="1" applyAlignment="1"/>
    <xf numFmtId="0" fontId="11" fillId="3" borderId="0" xfId="0" applyFont="1" applyFill="1"/>
    <xf numFmtId="0" fontId="21" fillId="3" borderId="0" xfId="0" applyFont="1" applyFill="1" applyBorder="1"/>
    <xf numFmtId="164" fontId="11" fillId="3" borderId="0" xfId="0" applyNumberFormat="1" applyFont="1" applyFill="1" applyBorder="1"/>
    <xf numFmtId="0" fontId="0" fillId="3" borderId="0" xfId="0" applyFill="1" applyAlignment="1"/>
    <xf numFmtId="0" fontId="23" fillId="3" borderId="0" xfId="0" applyFont="1" applyFill="1" applyBorder="1"/>
    <xf numFmtId="0" fontId="23" fillId="3" borderId="0" xfId="0" applyFont="1" applyFill="1"/>
    <xf numFmtId="0" fontId="23" fillId="3" borderId="0" xfId="0" applyFont="1" applyFill="1" applyAlignment="1"/>
    <xf numFmtId="0" fontId="23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wrapText="1"/>
    </xf>
    <xf numFmtId="0" fontId="17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/>
    <xf numFmtId="164" fontId="4" fillId="3" borderId="0" xfId="0" applyNumberFormat="1" applyFont="1" applyFill="1" applyBorder="1"/>
    <xf numFmtId="164" fontId="14" fillId="3" borderId="0" xfId="0" applyNumberFormat="1" applyFont="1" applyFill="1" applyBorder="1"/>
    <xf numFmtId="165" fontId="20" fillId="3" borderId="0" xfId="0" applyNumberFormat="1" applyFont="1" applyFill="1" applyBorder="1" applyAlignment="1"/>
    <xf numFmtId="0" fontId="14" fillId="3" borderId="0" xfId="0" applyFont="1" applyFill="1"/>
    <xf numFmtId="0" fontId="9" fillId="3" borderId="0" xfId="0" quotePrefix="1" applyFont="1" applyFill="1" applyBorder="1" applyAlignment="1">
      <alignment horizontal="right"/>
    </xf>
    <xf numFmtId="0" fontId="3" fillId="3" borderId="0" xfId="0" quotePrefix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64" fontId="5" fillId="3" borderId="0" xfId="0" applyNumberFormat="1" applyFont="1" applyFill="1" applyBorder="1"/>
    <xf numFmtId="165" fontId="19" fillId="3" borderId="0" xfId="0" applyNumberFormat="1" applyFont="1" applyFill="1" applyBorder="1" applyAlignment="1"/>
    <xf numFmtId="0" fontId="10" fillId="3" borderId="0" xfId="0" applyFont="1" applyFill="1" applyBorder="1" applyAlignment="1">
      <alignment wrapText="1"/>
    </xf>
    <xf numFmtId="165" fontId="10" fillId="3" borderId="0" xfId="0" applyNumberFormat="1" applyFont="1" applyFill="1" applyBorder="1"/>
    <xf numFmtId="165" fontId="19" fillId="3" borderId="0" xfId="0" applyNumberFormat="1" applyFont="1" applyFill="1" applyBorder="1"/>
    <xf numFmtId="0" fontId="3" fillId="3" borderId="0" xfId="0" applyFont="1" applyFill="1" applyBorder="1" applyAlignment="1">
      <alignment horizontal="left" wrapText="1" indent="2"/>
    </xf>
    <xf numFmtId="0" fontId="3" fillId="3" borderId="0" xfId="0" applyFont="1" applyFill="1" applyBorder="1" applyAlignment="1">
      <alignment horizontal="left" wrapText="1" indent="3"/>
    </xf>
    <xf numFmtId="0" fontId="3" fillId="3" borderId="0" xfId="0" applyFont="1" applyFill="1" applyBorder="1" applyAlignment="1">
      <alignment horizontal="left" wrapText="1" indent="4"/>
    </xf>
    <xf numFmtId="0" fontId="8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165" fontId="20" fillId="3" borderId="0" xfId="0" applyNumberFormat="1" applyFont="1" applyFill="1" applyBorder="1"/>
    <xf numFmtId="0" fontId="1" fillId="3" borderId="0" xfId="0" applyFont="1" applyFill="1"/>
    <xf numFmtId="0" fontId="9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/>
    <xf numFmtId="0" fontId="1" fillId="3" borderId="0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5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3" borderId="0" xfId="0" quotePrefix="1" applyFont="1" applyFill="1" applyBorder="1" applyAlignment="1"/>
    <xf numFmtId="3" fontId="12" fillId="3" borderId="0" xfId="0" applyNumberFormat="1" applyFont="1" applyFill="1" applyBorder="1"/>
    <xf numFmtId="0" fontId="3" fillId="3" borderId="0" xfId="0" quotePrefix="1" applyFont="1" applyFill="1" applyBorder="1" applyAlignment="1">
      <alignment horizontal="left" wrapText="1" indent="4"/>
    </xf>
    <xf numFmtId="0" fontId="3" fillId="3" borderId="1" xfId="0" applyFont="1" applyFill="1" applyBorder="1" applyAlignment="1">
      <alignment wrapText="1"/>
    </xf>
    <xf numFmtId="165" fontId="19" fillId="3" borderId="1" xfId="0" applyNumberFormat="1" applyFont="1" applyFill="1" applyBorder="1" applyAlignment="1"/>
    <xf numFmtId="0" fontId="17" fillId="3" borderId="0" xfId="0" applyFont="1" applyFill="1" applyBorder="1" applyAlignment="1">
      <alignment horizontal="left" wrapText="1"/>
    </xf>
    <xf numFmtId="0" fontId="14" fillId="3" borderId="0" xfId="0" applyFont="1" applyFill="1" applyBorder="1"/>
    <xf numFmtId="0" fontId="4" fillId="3" borderId="0" xfId="0" applyFont="1" applyFill="1" applyBorder="1"/>
    <xf numFmtId="0" fontId="12" fillId="3" borderId="0" xfId="0" applyFont="1" applyFill="1" applyBorder="1"/>
    <xf numFmtId="0" fontId="32" fillId="3" borderId="0" xfId="0" applyFont="1" applyFill="1" applyAlignment="1">
      <alignment wrapText="1"/>
    </xf>
    <xf numFmtId="0" fontId="32" fillId="3" borderId="0" xfId="0" applyFont="1" applyFill="1" applyAlignment="1">
      <alignment horizontal="right" wrapText="1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1" fillId="3" borderId="0" xfId="0" applyFont="1" applyFill="1"/>
    <xf numFmtId="164" fontId="35" fillId="3" borderId="0" xfId="0" applyNumberFormat="1" applyFont="1" applyFill="1"/>
    <xf numFmtId="165" fontId="33" fillId="3" borderId="0" xfId="0" applyNumberFormat="1" applyFont="1" applyFill="1" applyAlignment="1"/>
    <xf numFmtId="0" fontId="35" fillId="3" borderId="0" xfId="0" applyFont="1" applyFill="1"/>
    <xf numFmtId="0" fontId="33" fillId="3" borderId="0" xfId="0" applyFont="1" applyFill="1" applyBorder="1"/>
    <xf numFmtId="164" fontId="15" fillId="3" borderId="0" xfId="0" applyNumberFormat="1" applyFont="1" applyFill="1" applyBorder="1"/>
    <xf numFmtId="165" fontId="5" fillId="3" borderId="0" xfId="0" applyNumberFormat="1" applyFont="1" applyFill="1" applyBorder="1"/>
    <xf numFmtId="164" fontId="10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Alignment="1"/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15" xfId="0" applyFont="1" applyFill="1" applyBorder="1" applyAlignment="1">
      <alignment horizontal="right"/>
    </xf>
    <xf numFmtId="165" fontId="10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1" xfId="0" quotePrefix="1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19" fillId="3" borderId="0" xfId="0" applyFont="1" applyFill="1" applyAlignment="1"/>
    <xf numFmtId="0" fontId="19" fillId="3" borderId="0" xfId="0" applyFont="1" applyFill="1" applyAlignment="1">
      <alignment horizontal="right"/>
    </xf>
    <xf numFmtId="0" fontId="4" fillId="3" borderId="16" xfId="0" applyFont="1" applyFill="1" applyBorder="1" applyAlignment="1">
      <alignment horizontal="center" wrapText="1"/>
    </xf>
    <xf numFmtId="0" fontId="36" fillId="3" borderId="0" xfId="0" applyFont="1" applyFill="1" applyAlignment="1">
      <alignment horizontal="center"/>
    </xf>
    <xf numFmtId="164" fontId="0" fillId="3" borderId="0" xfId="0" applyNumberFormat="1" applyFill="1"/>
    <xf numFmtId="164" fontId="1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/>
    <xf numFmtId="164" fontId="0" fillId="3" borderId="0" xfId="0" applyNumberFormat="1" applyFill="1" applyAlignment="1">
      <alignment vertical="center"/>
    </xf>
    <xf numFmtId="0" fontId="21" fillId="3" borderId="0" xfId="0" applyFont="1" applyFill="1" applyAlignment="1">
      <alignment vertical="center"/>
    </xf>
    <xf numFmtId="49" fontId="10" fillId="3" borderId="6" xfId="0" applyNumberFormat="1" applyFont="1" applyFill="1" applyBorder="1" applyAlignment="1" applyProtection="1">
      <alignment horizontal="center" wrapText="1"/>
      <protection locked="0" hidden="1"/>
    </xf>
    <xf numFmtId="0" fontId="10" fillId="3" borderId="7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/>
    </xf>
    <xf numFmtId="164" fontId="19" fillId="3" borderId="6" xfId="0" applyNumberFormat="1" applyFont="1" applyFill="1" applyBorder="1" applyAlignment="1">
      <alignment horizontal="right"/>
    </xf>
    <xf numFmtId="164" fontId="37" fillId="3" borderId="6" xfId="0" quotePrefix="1" applyNumberFormat="1" applyFont="1" applyFill="1" applyBorder="1" applyAlignment="1">
      <alignment horizontal="right"/>
    </xf>
    <xf numFmtId="164" fontId="20" fillId="3" borderId="6" xfId="0" applyNumberFormat="1" applyFont="1" applyFill="1" applyBorder="1" applyAlignment="1">
      <alignment horizontal="right"/>
    </xf>
    <xf numFmtId="164" fontId="19" fillId="3" borderId="13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164" fontId="19" fillId="3" borderId="6" xfId="0" applyNumberFormat="1" applyFont="1" applyFill="1" applyBorder="1" applyAlignment="1"/>
    <xf numFmtId="165" fontId="19" fillId="3" borderId="6" xfId="0" applyNumberFormat="1" applyFont="1" applyFill="1" applyBorder="1" applyAlignment="1"/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center"/>
    </xf>
    <xf numFmtId="164" fontId="3" fillId="3" borderId="6" xfId="0" quotePrefix="1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Alignme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0" fillId="3" borderId="24" xfId="0" applyFont="1" applyFill="1" applyBorder="1" applyAlignment="1">
      <alignment horizontal="center" vertical="center"/>
    </xf>
    <xf numFmtId="164" fontId="39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4" fontId="20" fillId="3" borderId="5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11" fillId="3" borderId="0" xfId="0" applyFont="1" applyFill="1" applyAlignment="1"/>
    <xf numFmtId="165" fontId="16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7" fillId="3" borderId="26" xfId="0" quotePrefix="1" applyFont="1" applyFill="1" applyBorder="1" applyAlignment="1">
      <alignment horizontal="right"/>
    </xf>
    <xf numFmtId="0" fontId="17" fillId="3" borderId="14" xfId="0" quotePrefix="1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10" fillId="3" borderId="14" xfId="0" quotePrefix="1" applyFont="1" applyFill="1" applyBorder="1" applyAlignment="1">
      <alignment horizontal="right"/>
    </xf>
    <xf numFmtId="0" fontId="9" fillId="3" borderId="14" xfId="0" quotePrefix="1" applyFont="1" applyFill="1" applyBorder="1" applyAlignment="1">
      <alignment horizontal="right" wrapText="1"/>
    </xf>
    <xf numFmtId="49" fontId="3" fillId="3" borderId="20" xfId="0" applyNumberFormat="1" applyFont="1" applyFill="1" applyBorder="1" applyAlignment="1">
      <alignment horizontal="right"/>
    </xf>
    <xf numFmtId="0" fontId="3" fillId="3" borderId="20" xfId="0" quotePrefix="1" applyFont="1" applyFill="1" applyBorder="1" applyAlignment="1">
      <alignment horizontal="right" wrapText="1"/>
    </xf>
    <xf numFmtId="0" fontId="10" fillId="3" borderId="20" xfId="0" quotePrefix="1" applyFont="1" applyFill="1" applyBorder="1" applyAlignment="1">
      <alignment horizontal="right"/>
    </xf>
    <xf numFmtId="0" fontId="4" fillId="3" borderId="20" xfId="0" quotePrefix="1" applyFont="1" applyFill="1" applyBorder="1" applyAlignment="1">
      <alignment horizontal="right"/>
    </xf>
    <xf numFmtId="0" fontId="9" fillId="3" borderId="20" xfId="0" quotePrefix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 wrapText="1"/>
    </xf>
    <xf numFmtId="0" fontId="4" fillId="3" borderId="14" xfId="0" quotePrefix="1" applyFont="1" applyFill="1" applyBorder="1" applyAlignment="1">
      <alignment horizontal="right"/>
    </xf>
    <xf numFmtId="49" fontId="3" fillId="3" borderId="14" xfId="0" applyNumberFormat="1" applyFont="1" applyFill="1" applyBorder="1" applyAlignment="1">
      <alignment horizontal="right"/>
    </xf>
    <xf numFmtId="0" fontId="3" fillId="2" borderId="14" xfId="0" quotePrefix="1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16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0" borderId="20" xfId="0" quotePrefix="1" applyFont="1" applyFill="1" applyBorder="1" applyAlignment="1">
      <alignment horizontal="right"/>
    </xf>
    <xf numFmtId="0" fontId="3" fillId="0" borderId="14" xfId="0" quotePrefix="1" applyFont="1" applyFill="1" applyBorder="1" applyAlignment="1">
      <alignment horizontal="right"/>
    </xf>
    <xf numFmtId="0" fontId="11" fillId="3" borderId="0" xfId="0" applyFont="1" applyFill="1" applyAlignment="1"/>
    <xf numFmtId="0" fontId="0" fillId="0" borderId="0" xfId="0" applyFont="1" applyAlignment="1"/>
    <xf numFmtId="165" fontId="20" fillId="3" borderId="0" xfId="0" applyNumberFormat="1" applyFont="1" applyFill="1" applyBorder="1" applyAlignment="1">
      <alignment horizontal="center" vertical="center" wrapText="1"/>
    </xf>
    <xf numFmtId="164" fontId="20" fillId="3" borderId="0" xfId="0" applyNumberFormat="1" applyFont="1" applyFill="1" applyBorder="1" applyAlignment="1">
      <alignment horizontal="right"/>
    </xf>
    <xf numFmtId="164" fontId="19" fillId="3" borderId="0" xfId="0" applyNumberFormat="1" applyFont="1" applyFill="1" applyBorder="1" applyAlignment="1"/>
    <xf numFmtId="0" fontId="9" fillId="3" borderId="0" xfId="0" quotePrefix="1" applyFont="1" applyFill="1" applyBorder="1" applyAlignment="1">
      <alignment horizontal="right" vertical="center"/>
    </xf>
    <xf numFmtId="0" fontId="3" fillId="3" borderId="0" xfId="0" quotePrefix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right"/>
    </xf>
    <xf numFmtId="0" fontId="0" fillId="3" borderId="0" xfId="0" applyFont="1" applyFill="1" applyAlignment="1"/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3" fillId="2" borderId="20" xfId="0" quotePrefix="1" applyFont="1" applyFill="1" applyBorder="1" applyAlignment="1">
      <alignment horizontal="center" vertical="center"/>
    </xf>
    <xf numFmtId="0" fontId="26" fillId="2" borderId="14" xfId="0" quotePrefix="1" applyFont="1" applyFill="1" applyBorder="1" applyAlignment="1">
      <alignment horizontal="center" vertical="center"/>
    </xf>
    <xf numFmtId="0" fontId="26" fillId="2" borderId="20" xfId="0" quotePrefix="1" applyFont="1" applyFill="1" applyBorder="1" applyAlignment="1">
      <alignment horizontal="center" vertical="center"/>
    </xf>
    <xf numFmtId="0" fontId="13" fillId="2" borderId="14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 vertical="center"/>
    </xf>
    <xf numFmtId="0" fontId="30" fillId="3" borderId="20" xfId="0" quotePrefix="1" applyFont="1" applyFill="1" applyBorder="1" applyAlignment="1">
      <alignment horizontal="center" vertical="center"/>
    </xf>
    <xf numFmtId="0" fontId="26" fillId="3" borderId="14" xfId="0" quotePrefix="1" applyFont="1" applyFill="1" applyBorder="1" applyAlignment="1">
      <alignment horizontal="center" vertical="center"/>
    </xf>
    <xf numFmtId="0" fontId="26" fillId="3" borderId="20" xfId="0" quotePrefix="1" applyFont="1" applyFill="1" applyBorder="1" applyAlignment="1">
      <alignment horizontal="center" vertical="center"/>
    </xf>
    <xf numFmtId="0" fontId="13" fillId="3" borderId="14" xfId="0" quotePrefix="1" applyFont="1" applyFill="1" applyBorder="1" applyAlignment="1">
      <alignment horizontal="center"/>
    </xf>
    <xf numFmtId="0" fontId="26" fillId="3" borderId="20" xfId="0" quotePrefix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5" fillId="2" borderId="14" xfId="0" quotePrefix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right" vertical="center"/>
    </xf>
    <xf numFmtId="164" fontId="27" fillId="2" borderId="6" xfId="0" applyNumberFormat="1" applyFont="1" applyFill="1" applyBorder="1" applyAlignment="1">
      <alignment horizontal="right" vertical="center"/>
    </xf>
    <xf numFmtId="164" fontId="27" fillId="3" borderId="6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0" fontId="30" fillId="2" borderId="28" xfId="0" quotePrefix="1" applyFont="1" applyFill="1" applyBorder="1" applyAlignment="1">
      <alignment horizontal="center" vertical="center"/>
    </xf>
    <xf numFmtId="0" fontId="26" fillId="2" borderId="29" xfId="0" quotePrefix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right" vertical="center"/>
    </xf>
    <xf numFmtId="164" fontId="27" fillId="0" borderId="6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center" vertical="center"/>
    </xf>
    <xf numFmtId="0" fontId="0" fillId="3" borderId="0" xfId="0" applyFont="1" applyFill="1" applyAlignment="1"/>
    <xf numFmtId="0" fontId="0" fillId="0" borderId="0" xfId="0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12" fillId="3" borderId="7" xfId="0" applyNumberFormat="1" applyFont="1" applyFill="1" applyBorder="1" applyAlignment="1">
      <alignment horizontal="right" wrapText="1"/>
    </xf>
    <xf numFmtId="0" fontId="17" fillId="3" borderId="26" xfId="0" applyFont="1" applyFill="1" applyBorder="1" applyAlignment="1">
      <alignment horizontal="right" wrapText="1"/>
    </xf>
    <xf numFmtId="164" fontId="27" fillId="0" borderId="1" xfId="0" applyNumberFormat="1" applyFont="1" applyBorder="1" applyAlignment="1">
      <alignment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25" fillId="3" borderId="1" xfId="0" quotePrefix="1" applyFont="1" applyFill="1" applyBorder="1" applyAlignment="1">
      <alignment horizontal="right"/>
    </xf>
    <xf numFmtId="0" fontId="26" fillId="3" borderId="1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horizontal="left" wrapText="1"/>
      <protection locked="0" hidden="1"/>
    </xf>
    <xf numFmtId="0" fontId="10" fillId="3" borderId="6" xfId="0" applyNumberFormat="1" applyFont="1" applyFill="1" applyBorder="1" applyAlignment="1" applyProtection="1">
      <alignment horizontal="left" wrapText="1"/>
      <protection locked="0" hidden="1"/>
    </xf>
    <xf numFmtId="49" fontId="10" fillId="3" borderId="6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0" fillId="0" borderId="0" xfId="0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2" fillId="3" borderId="32" xfId="0" applyFont="1" applyFill="1" applyBorder="1" applyAlignment="1">
      <alignment horizontal="center" vertical="center"/>
    </xf>
    <xf numFmtId="0" fontId="40" fillId="3" borderId="3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49" fontId="10" fillId="3" borderId="3" xfId="0" applyNumberFormat="1" applyFont="1" applyFill="1" applyBorder="1" applyAlignment="1" applyProtection="1">
      <alignment horizontal="center" wrapText="1"/>
      <protection locked="0" hidden="1"/>
    </xf>
    <xf numFmtId="164" fontId="10" fillId="3" borderId="9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 applyProtection="1">
      <alignment vertical="center" wrapText="1"/>
      <protection locked="0" hidden="1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wrapText="1"/>
      <protection locked="0" hidden="1"/>
    </xf>
    <xf numFmtId="0" fontId="43" fillId="0" borderId="6" xfId="0" applyFont="1" applyBorder="1" applyAlignment="1">
      <alignment horizontal="center" wrapText="1"/>
    </xf>
    <xf numFmtId="49" fontId="9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4" fillId="3" borderId="6" xfId="0" quotePrefix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 wrapText="1"/>
    </xf>
    <xf numFmtId="0" fontId="10" fillId="3" borderId="6" xfId="0" quotePrefix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right"/>
    </xf>
    <xf numFmtId="0" fontId="3" fillId="3" borderId="6" xfId="0" quotePrefix="1" applyFont="1" applyFill="1" applyBorder="1" applyAlignment="1">
      <alignment horizontal="right" wrapText="1"/>
    </xf>
    <xf numFmtId="0" fontId="3" fillId="3" borderId="6" xfId="0" quotePrefix="1" applyFont="1" applyFill="1" applyBorder="1" applyAlignment="1"/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/>
    <xf numFmtId="0" fontId="0" fillId="0" borderId="0" xfId="0" applyFill="1" applyAlignment="1">
      <alignment vertical="center"/>
    </xf>
    <xf numFmtId="49" fontId="10" fillId="3" borderId="21" xfId="0" applyNumberFormat="1" applyFont="1" applyFill="1" applyBorder="1" applyAlignment="1" applyProtection="1">
      <alignment horizontal="center" wrapText="1"/>
      <protection locked="0" hidden="1"/>
    </xf>
    <xf numFmtId="164" fontId="19" fillId="3" borderId="3" xfId="0" applyNumberFormat="1" applyFont="1" applyFill="1" applyBorder="1" applyAlignment="1">
      <alignment horizontal="right"/>
    </xf>
    <xf numFmtId="164" fontId="20" fillId="3" borderId="7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0" fillId="3" borderId="6" xfId="0" applyFont="1" applyFill="1" applyBorder="1" applyAlignment="1"/>
    <xf numFmtId="0" fontId="26" fillId="3" borderId="6" xfId="0" applyFont="1" applyFill="1" applyBorder="1" applyAlignment="1">
      <alignment horizontal="right"/>
    </xf>
    <xf numFmtId="0" fontId="3" fillId="3" borderId="6" xfId="0" applyFont="1" applyFill="1" applyBorder="1" applyAlignment="1"/>
    <xf numFmtId="49" fontId="10" fillId="3" borderId="6" xfId="0" applyNumberFormat="1" applyFont="1" applyFill="1" applyBorder="1" applyAlignment="1" applyProtection="1">
      <alignment horizontal="center" wrapText="1"/>
    </xf>
    <xf numFmtId="0" fontId="43" fillId="0" borderId="9" xfId="0" applyFont="1" applyBorder="1" applyAlignment="1">
      <alignment horizontal="center"/>
    </xf>
    <xf numFmtId="164" fontId="12" fillId="3" borderId="5" xfId="0" applyNumberFormat="1" applyFont="1" applyFill="1" applyBorder="1" applyAlignment="1">
      <alignment horizontal="right"/>
    </xf>
    <xf numFmtId="0" fontId="3" fillId="3" borderId="12" xfId="0" quotePrefix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/>
    </xf>
    <xf numFmtId="49" fontId="10" fillId="3" borderId="21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27" xfId="0" quotePrefix="1" applyFont="1" applyFill="1" applyBorder="1" applyAlignment="1">
      <alignment horizontal="right"/>
    </xf>
    <xf numFmtId="0" fontId="3" fillId="2" borderId="20" xfId="0" quotePrefix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40" fillId="3" borderId="3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right"/>
    </xf>
    <xf numFmtId="0" fontId="3" fillId="3" borderId="3" xfId="0" quotePrefix="1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/>
    </xf>
    <xf numFmtId="0" fontId="10" fillId="3" borderId="3" xfId="0" quotePrefix="1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3" xfId="0" quotePrefix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/>
    <xf numFmtId="0" fontId="3" fillId="3" borderId="3" xfId="0" applyFont="1" applyFill="1" applyBorder="1" applyAlignment="1"/>
    <xf numFmtId="0" fontId="0" fillId="3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" fillId="0" borderId="3" xfId="0" quotePrefix="1" applyFont="1" applyFill="1" applyBorder="1" applyAlignment="1">
      <alignment horizontal="right"/>
    </xf>
    <xf numFmtId="164" fontId="20" fillId="3" borderId="35" xfId="0" applyNumberFormat="1" applyFont="1" applyFill="1" applyBorder="1" applyAlignment="1">
      <alignment horizontal="right"/>
    </xf>
    <xf numFmtId="164" fontId="37" fillId="3" borderId="6" xfId="0" applyNumberFormat="1" applyFont="1" applyFill="1" applyBorder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37" fillId="3" borderId="3" xfId="0" quotePrefix="1" applyNumberFormat="1" applyFont="1" applyFill="1" applyBorder="1" applyAlignment="1">
      <alignment horizontal="right"/>
    </xf>
    <xf numFmtId="164" fontId="37" fillId="3" borderId="3" xfId="0" applyNumberFormat="1" applyFont="1" applyFill="1" applyBorder="1" applyAlignment="1">
      <alignment horizontal="right"/>
    </xf>
    <xf numFmtId="165" fontId="19" fillId="3" borderId="3" xfId="0" applyNumberFormat="1" applyFont="1" applyFill="1" applyBorder="1" applyAlignment="1">
      <alignment horizontal="right"/>
    </xf>
    <xf numFmtId="164" fontId="38" fillId="3" borderId="3" xfId="0" applyNumberFormat="1" applyFont="1" applyFill="1" applyBorder="1" applyAlignment="1">
      <alignment horizontal="right"/>
    </xf>
    <xf numFmtId="164" fontId="19" fillId="3" borderId="34" xfId="0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top" wrapText="1"/>
    </xf>
    <xf numFmtId="0" fontId="26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164" fontId="15" fillId="2" borderId="30" xfId="0" applyNumberFormat="1" applyFont="1" applyFill="1" applyBorder="1" applyAlignment="1">
      <alignment horizontal="right" vertical="center"/>
    </xf>
    <xf numFmtId="164" fontId="27" fillId="2" borderId="21" xfId="0" applyNumberFormat="1" applyFont="1" applyFill="1" applyBorder="1" applyAlignment="1">
      <alignment horizontal="right" vertical="center"/>
    </xf>
    <xf numFmtId="164" fontId="15" fillId="2" borderId="21" xfId="0" applyNumberFormat="1" applyFont="1" applyFill="1" applyBorder="1" applyAlignment="1">
      <alignment horizontal="right" vertical="center"/>
    </xf>
    <xf numFmtId="3" fontId="12" fillId="0" borderId="23" xfId="0" applyNumberFormat="1" applyFont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164" fontId="27" fillId="3" borderId="21" xfId="0" applyNumberFormat="1" applyFont="1" applyFill="1" applyBorder="1" applyAlignment="1">
      <alignment horizontal="right" vertical="center"/>
    </xf>
    <xf numFmtId="164" fontId="27" fillId="2" borderId="31" xfId="0" applyNumberFormat="1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0" fontId="13" fillId="2" borderId="27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wrapText="1"/>
    </xf>
    <xf numFmtId="49" fontId="10" fillId="3" borderId="6" xfId="0" applyNumberFormat="1" applyFont="1" applyFill="1" applyBorder="1" applyAlignment="1" applyProtection="1">
      <alignment wrapText="1"/>
    </xf>
    <xf numFmtId="0" fontId="10" fillId="3" borderId="8" xfId="0" applyFont="1" applyFill="1" applyBorder="1" applyAlignment="1">
      <alignment horizontal="left" wrapText="1"/>
    </xf>
    <xf numFmtId="0" fontId="10" fillId="3" borderId="6" xfId="0" applyNumberFormat="1" applyFont="1" applyFill="1" applyBorder="1" applyAlignment="1" applyProtection="1">
      <alignment wrapText="1"/>
    </xf>
    <xf numFmtId="0" fontId="10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wrapText="1"/>
    </xf>
    <xf numFmtId="0" fontId="10" fillId="3" borderId="6" xfId="0" applyFont="1" applyFill="1" applyBorder="1" applyAlignment="1"/>
    <xf numFmtId="0" fontId="10" fillId="3" borderId="6" xfId="0" applyNumberFormat="1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49" fontId="10" fillId="3" borderId="9" xfId="0" applyNumberFormat="1" applyFont="1" applyFill="1" applyBorder="1" applyAlignment="1">
      <alignment wrapText="1"/>
    </xf>
    <xf numFmtId="0" fontId="10" fillId="3" borderId="8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/>
    <xf numFmtId="0" fontId="12" fillId="3" borderId="7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wrapText="1"/>
    </xf>
    <xf numFmtId="0" fontId="10" fillId="3" borderId="38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wrapText="1"/>
    </xf>
    <xf numFmtId="49" fontId="10" fillId="3" borderId="8" xfId="0" applyNumberFormat="1" applyFont="1" applyFill="1" applyBorder="1" applyAlignment="1" applyProtection="1">
      <alignment wrapText="1"/>
      <protection locked="0" hidden="1"/>
    </xf>
    <xf numFmtId="49" fontId="10" fillId="0" borderId="9" xfId="0" applyNumberFormat="1" applyFont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43" fillId="0" borderId="6" xfId="0" applyFont="1" applyBorder="1"/>
    <xf numFmtId="0" fontId="43" fillId="0" borderId="6" xfId="0" applyFont="1" applyBorder="1" applyAlignment="1">
      <alignment vertical="center" wrapText="1"/>
    </xf>
    <xf numFmtId="0" fontId="43" fillId="0" borderId="6" xfId="0" applyFont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43" fillId="0" borderId="9" xfId="0" applyFont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0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49" fontId="12" fillId="3" borderId="5" xfId="0" applyNumberFormat="1" applyFont="1" applyFill="1" applyBorder="1" applyAlignment="1" applyProtection="1">
      <alignment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</xf>
    <xf numFmtId="49" fontId="12" fillId="3" borderId="8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2" fillId="3" borderId="6" xfId="0" applyNumberFormat="1" applyFont="1" applyFill="1" applyBorder="1" applyAlignment="1" applyProtection="1">
      <alignment vertical="center" wrapText="1"/>
      <protection locked="0" hidden="1"/>
    </xf>
    <xf numFmtId="0" fontId="12" fillId="3" borderId="6" xfId="0" applyFont="1" applyFill="1" applyBorder="1" applyAlignment="1">
      <alignment horizontal="left" vertical="center" wrapText="1"/>
    </xf>
    <xf numFmtId="0" fontId="10" fillId="3" borderId="6" xfId="0" applyNumberFormat="1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right"/>
    </xf>
    <xf numFmtId="49" fontId="12" fillId="3" borderId="5" xfId="0" applyNumberFormat="1" applyFont="1" applyFill="1" applyBorder="1" applyAlignment="1" applyProtection="1">
      <alignment horizontal="center" wrapText="1"/>
      <protection locked="0" hidden="1"/>
    </xf>
    <xf numFmtId="49" fontId="12" fillId="3" borderId="6" xfId="0" applyNumberFormat="1" applyFont="1" applyFill="1" applyBorder="1" applyAlignment="1" applyProtection="1">
      <alignment horizontal="center" wrapText="1"/>
      <protection locked="0" hidden="1"/>
    </xf>
    <xf numFmtId="0" fontId="12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right"/>
    </xf>
    <xf numFmtId="0" fontId="43" fillId="3" borderId="6" xfId="0" applyFont="1" applyFill="1" applyBorder="1" applyAlignment="1">
      <alignment vertical="center" wrapText="1"/>
    </xf>
    <xf numFmtId="0" fontId="43" fillId="3" borderId="6" xfId="0" applyFont="1" applyFill="1" applyBorder="1" applyAlignment="1">
      <alignment horizontal="center" wrapText="1"/>
    </xf>
    <xf numFmtId="164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wrapText="1"/>
    </xf>
    <xf numFmtId="165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horizontal="center"/>
    </xf>
    <xf numFmtId="0" fontId="43" fillId="3" borderId="9" xfId="0" applyFont="1" applyFill="1" applyBorder="1" applyAlignment="1">
      <alignment wrapText="1"/>
    </xf>
    <xf numFmtId="0" fontId="43" fillId="3" borderId="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10" fillId="3" borderId="1" xfId="0" applyNumberFormat="1" applyFont="1" applyFill="1" applyBorder="1" applyAlignment="1" applyProtection="1">
      <alignment horizontal="center" wrapText="1"/>
      <protection locked="0" hidden="1"/>
    </xf>
    <xf numFmtId="0" fontId="30" fillId="3" borderId="1" xfId="0" quotePrefix="1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2" borderId="12" xfId="0" applyFont="1" applyFill="1" applyBorder="1" applyAlignment="1">
      <alignment horizontal="left" wrapText="1"/>
    </xf>
    <xf numFmtId="0" fontId="0" fillId="3" borderId="0" xfId="0" applyFont="1" applyFill="1" applyAlignment="1"/>
    <xf numFmtId="0" fontId="16" fillId="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164" fontId="19" fillId="3" borderId="0" xfId="0" applyNumberFormat="1" applyFont="1" applyFill="1" applyAlignment="1"/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3" borderId="0" xfId="0" applyFont="1" applyFill="1" applyAlignment="1"/>
    <xf numFmtId="0" fontId="0" fillId="0" borderId="0" xfId="0" applyAlignment="1">
      <alignment vertical="center"/>
    </xf>
    <xf numFmtId="0" fontId="10" fillId="3" borderId="12" xfId="0" applyFont="1" applyFill="1" applyBorder="1" applyAlignment="1" applyProtection="1">
      <alignment wrapText="1"/>
      <protection locked="0" hidden="1"/>
    </xf>
    <xf numFmtId="0" fontId="3" fillId="3" borderId="20" xfId="0" applyFont="1" applyFill="1" applyBorder="1" applyAlignment="1"/>
    <xf numFmtId="0" fontId="10" fillId="3" borderId="12" xfId="0" applyFont="1" applyFill="1" applyBorder="1" applyAlignment="1">
      <alignment wrapText="1"/>
    </xf>
    <xf numFmtId="0" fontId="43" fillId="0" borderId="0" xfId="0" applyFont="1" applyAlignment="1">
      <alignment wrapText="1"/>
    </xf>
    <xf numFmtId="164" fontId="3" fillId="3" borderId="8" xfId="0" quotePrefix="1" applyNumberFormat="1" applyFont="1" applyFill="1" applyBorder="1" applyAlignment="1">
      <alignment horizontal="right" wrapText="1"/>
    </xf>
    <xf numFmtId="164" fontId="3" fillId="3" borderId="6" xfId="0" quotePrefix="1" applyNumberFormat="1" applyFont="1" applyFill="1" applyBorder="1" applyAlignment="1">
      <alignment horizontal="right" wrapText="1"/>
    </xf>
    <xf numFmtId="0" fontId="43" fillId="0" borderId="0" xfId="0" applyFont="1"/>
    <xf numFmtId="0" fontId="43" fillId="0" borderId="1" xfId="0" applyFont="1" applyBorder="1"/>
    <xf numFmtId="0" fontId="43" fillId="0" borderId="1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19" fillId="3" borderId="1" xfId="0" applyNumberFormat="1" applyFont="1" applyFill="1" applyBorder="1" applyAlignment="1">
      <alignment horizontal="right"/>
    </xf>
    <xf numFmtId="0" fontId="9" fillId="3" borderId="40" xfId="0" quotePrefix="1" applyFont="1" applyFill="1" applyBorder="1" applyAlignment="1">
      <alignment horizontal="right"/>
    </xf>
    <xf numFmtId="0" fontId="3" fillId="3" borderId="41" xfId="0" quotePrefix="1" applyFont="1" applyFill="1" applyBorder="1" applyAlignment="1">
      <alignment horizontal="right"/>
    </xf>
    <xf numFmtId="49" fontId="3" fillId="3" borderId="8" xfId="0" applyNumberFormat="1" applyFont="1" applyFill="1" applyBorder="1" applyAlignment="1">
      <alignment horizontal="right"/>
    </xf>
    <xf numFmtId="164" fontId="19" fillId="3" borderId="8" xfId="0" applyNumberFormat="1" applyFont="1" applyFill="1" applyBorder="1" applyAlignment="1">
      <alignment horizontal="right"/>
    </xf>
    <xf numFmtId="164" fontId="19" fillId="3" borderId="12" xfId="0" applyNumberFormat="1" applyFont="1" applyFill="1" applyBorder="1" applyAlignment="1">
      <alignment horizontal="right"/>
    </xf>
    <xf numFmtId="0" fontId="0" fillId="3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/>
    <xf numFmtId="0" fontId="16" fillId="0" borderId="0" xfId="0" applyFont="1" applyAlignment="1">
      <alignment horizontal="right"/>
    </xf>
    <xf numFmtId="165" fontId="16" fillId="3" borderId="0" xfId="0" applyNumberFormat="1" applyFont="1" applyFill="1" applyAlignment="1">
      <alignment horizontal="right"/>
    </xf>
    <xf numFmtId="0" fontId="16" fillId="3" borderId="0" xfId="0" applyFont="1" applyFill="1" applyAlignment="1"/>
    <xf numFmtId="164" fontId="20" fillId="3" borderId="39" xfId="0" applyNumberFormat="1" applyFont="1" applyFill="1" applyBorder="1" applyAlignment="1">
      <alignment horizontal="right"/>
    </xf>
    <xf numFmtId="164" fontId="20" fillId="3" borderId="12" xfId="0" applyNumberFormat="1" applyFont="1" applyFill="1" applyBorder="1" applyAlignment="1">
      <alignment horizontal="right"/>
    </xf>
    <xf numFmtId="164" fontId="20" fillId="3" borderId="18" xfId="0" applyNumberFormat="1" applyFont="1" applyFill="1" applyBorder="1" applyAlignment="1">
      <alignment horizontal="right"/>
    </xf>
    <xf numFmtId="164" fontId="37" fillId="3" borderId="12" xfId="0" quotePrefix="1" applyNumberFormat="1" applyFont="1" applyFill="1" applyBorder="1" applyAlignment="1">
      <alignment horizontal="right"/>
    </xf>
    <xf numFmtId="164" fontId="37" fillId="3" borderId="12" xfId="0" applyNumberFormat="1" applyFont="1" applyFill="1" applyBorder="1" applyAlignment="1">
      <alignment horizontal="right"/>
    </xf>
    <xf numFmtId="164" fontId="19" fillId="3" borderId="4" xfId="0" applyNumberFormat="1" applyFont="1" applyFill="1" applyBorder="1" applyAlignment="1">
      <alignment horizontal="right"/>
    </xf>
    <xf numFmtId="164" fontId="19" fillId="3" borderId="22" xfId="0" applyNumberFormat="1" applyFont="1" applyFill="1" applyBorder="1" applyAlignment="1">
      <alignment horizontal="right"/>
    </xf>
    <xf numFmtId="165" fontId="39" fillId="3" borderId="7" xfId="0" applyNumberFormat="1" applyFont="1" applyFill="1" applyBorder="1" applyAlignment="1">
      <alignment horizontal="center" vertical="center" wrapText="1"/>
    </xf>
    <xf numFmtId="165" fontId="16" fillId="3" borderId="0" xfId="0" applyNumberFormat="1" applyFont="1" applyFill="1" applyAlignment="1">
      <alignment horizontal="right"/>
    </xf>
    <xf numFmtId="0" fontId="16" fillId="3" borderId="0" xfId="0" applyFont="1" applyFill="1" applyAlignment="1"/>
    <xf numFmtId="166" fontId="20" fillId="3" borderId="7" xfId="0" applyNumberFormat="1" applyFont="1" applyFill="1" applyBorder="1" applyAlignment="1">
      <alignment horizontal="right"/>
    </xf>
    <xf numFmtId="165" fontId="12" fillId="3" borderId="23" xfId="0" applyNumberFormat="1" applyFont="1" applyFill="1" applyBorder="1" applyAlignment="1">
      <alignment horizontal="center" vertical="center" wrapText="1"/>
    </xf>
    <xf numFmtId="165" fontId="16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3" fillId="3" borderId="12" xfId="0" quotePrefix="1" applyNumberFormat="1" applyFont="1" applyFill="1" applyBorder="1" applyAlignment="1">
      <alignment horizontal="right"/>
    </xf>
    <xf numFmtId="0" fontId="7" fillId="3" borderId="32" xfId="0" applyFont="1" applyFill="1" applyBorder="1" applyAlignment="1">
      <alignment horizontal="center"/>
    </xf>
    <xf numFmtId="165" fontId="12" fillId="3" borderId="35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top"/>
    </xf>
    <xf numFmtId="0" fontId="0" fillId="3" borderId="0" xfId="0" applyFill="1" applyBorder="1"/>
    <xf numFmtId="0" fontId="0" fillId="0" borderId="0" xfId="0" applyAlignment="1"/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wrapText="1"/>
    </xf>
    <xf numFmtId="0" fontId="16" fillId="3" borderId="0" xfId="0" applyFont="1" applyFill="1" applyAlignment="1"/>
    <xf numFmtId="0" fontId="0" fillId="0" borderId="0" xfId="0" applyAlignment="1">
      <alignment horizontal="right"/>
    </xf>
    <xf numFmtId="0" fontId="4" fillId="3" borderId="6" xfId="0" quotePrefix="1" applyFont="1" applyFill="1" applyBorder="1" applyAlignment="1"/>
    <xf numFmtId="0" fontId="3" fillId="3" borderId="4" xfId="0" quotePrefix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right"/>
    </xf>
    <xf numFmtId="0" fontId="3" fillId="3" borderId="4" xfId="0" quotePrefix="1" applyFont="1" applyFill="1" applyBorder="1" applyAlignment="1">
      <alignment horizontal="right" wrapText="1"/>
    </xf>
    <xf numFmtId="4" fontId="10" fillId="3" borderId="6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/>
    <xf numFmtId="166" fontId="12" fillId="3" borderId="5" xfId="0" applyNumberFormat="1" applyFont="1" applyFill="1" applyBorder="1" applyAlignment="1">
      <alignment horizontal="right"/>
    </xf>
    <xf numFmtId="166" fontId="10" fillId="3" borderId="6" xfId="0" applyNumberFormat="1" applyFont="1" applyFill="1" applyBorder="1" applyAlignment="1"/>
    <xf numFmtId="166" fontId="12" fillId="3" borderId="6" xfId="0" applyNumberFormat="1" applyFont="1" applyFill="1" applyBorder="1" applyAlignment="1"/>
    <xf numFmtId="166" fontId="10" fillId="3" borderId="43" xfId="0" applyNumberFormat="1" applyFont="1" applyFill="1" applyBorder="1" applyAlignment="1"/>
    <xf numFmtId="0" fontId="10" fillId="3" borderId="4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/>
    </xf>
    <xf numFmtId="0" fontId="5" fillId="3" borderId="6" xfId="0" applyFont="1" applyFill="1" applyBorder="1"/>
    <xf numFmtId="0" fontId="3" fillId="3" borderId="6" xfId="0" applyFont="1" applyFill="1" applyBorder="1"/>
    <xf numFmtId="0" fontId="12" fillId="3" borderId="6" xfId="0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0" fontId="0" fillId="3" borderId="6" xfId="0" applyFont="1" applyFill="1" applyBorder="1"/>
    <xf numFmtId="49" fontId="3" fillId="3" borderId="7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17" fillId="3" borderId="0" xfId="0" quotePrefix="1" applyFont="1" applyFill="1" applyBorder="1" applyAlignment="1">
      <alignment horizontal="right" vertical="center"/>
    </xf>
    <xf numFmtId="0" fontId="4" fillId="3" borderId="0" xfId="0" quotePrefix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right" vertical="center"/>
    </xf>
    <xf numFmtId="0" fontId="4" fillId="3" borderId="4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right"/>
    </xf>
    <xf numFmtId="0" fontId="4" fillId="3" borderId="4" xfId="0" quotePrefix="1" applyFont="1" applyFill="1" applyBorder="1" applyAlignment="1">
      <alignment horizontal="right"/>
    </xf>
    <xf numFmtId="0" fontId="10" fillId="3" borderId="4" xfId="0" quotePrefix="1" applyFont="1" applyFill="1" applyBorder="1" applyAlignment="1">
      <alignment horizontal="right"/>
    </xf>
    <xf numFmtId="0" fontId="9" fillId="3" borderId="4" xfId="0" quotePrefix="1" applyFont="1" applyFill="1" applyBorder="1" applyAlignment="1">
      <alignment horizontal="right"/>
    </xf>
    <xf numFmtId="0" fontId="3" fillId="3" borderId="47" xfId="0" quotePrefix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6" fillId="3" borderId="4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 wrapText="1"/>
    </xf>
    <xf numFmtId="165" fontId="39" fillId="3" borderId="23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right"/>
    </xf>
    <xf numFmtId="166" fontId="20" fillId="3" borderId="5" xfId="0" applyNumberFormat="1" applyFont="1" applyFill="1" applyBorder="1" applyAlignment="1">
      <alignment horizontal="right"/>
    </xf>
    <xf numFmtId="166" fontId="20" fillId="3" borderId="6" xfId="0" applyNumberFormat="1" applyFont="1" applyFill="1" applyBorder="1" applyAlignment="1">
      <alignment horizontal="right"/>
    </xf>
    <xf numFmtId="166" fontId="19" fillId="3" borderId="6" xfId="0" applyNumberFormat="1" applyFont="1" applyFill="1" applyBorder="1" applyAlignment="1">
      <alignment horizontal="right"/>
    </xf>
    <xf numFmtId="166" fontId="19" fillId="3" borderId="13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166" fontId="20" fillId="3" borderId="7" xfId="0" applyNumberFormat="1" applyFont="1" applyFill="1" applyBorder="1" applyAlignment="1"/>
    <xf numFmtId="166" fontId="20" fillId="3" borderId="5" xfId="0" applyNumberFormat="1" applyFont="1" applyFill="1" applyBorder="1" applyAlignment="1"/>
    <xf numFmtId="166" fontId="19" fillId="3" borderId="6" xfId="0" applyNumberFormat="1" applyFont="1" applyFill="1" applyBorder="1" applyAlignment="1"/>
    <xf numFmtId="166" fontId="20" fillId="3" borderId="6" xfId="0" applyNumberFormat="1" applyFont="1" applyFill="1" applyBorder="1" applyAlignment="1"/>
    <xf numFmtId="166" fontId="19" fillId="3" borderId="13" xfId="0" applyNumberFormat="1" applyFont="1" applyFill="1" applyBorder="1" applyAlignment="1"/>
    <xf numFmtId="165" fontId="19" fillId="3" borderId="6" xfId="0" applyNumberFormat="1" applyFont="1" applyFill="1" applyBorder="1" applyAlignment="1">
      <alignment horizontal="right"/>
    </xf>
    <xf numFmtId="164" fontId="38" fillId="3" borderId="6" xfId="0" applyNumberFormat="1" applyFont="1" applyFill="1" applyBorder="1" applyAlignment="1">
      <alignment horizontal="right"/>
    </xf>
    <xf numFmtId="165" fontId="10" fillId="3" borderId="0" xfId="0" applyNumberFormat="1" applyFont="1" applyFill="1" applyAlignment="1">
      <alignment horizontal="right"/>
    </xf>
    <xf numFmtId="0" fontId="9" fillId="3" borderId="21" xfId="0" quotePrefix="1" applyFont="1" applyFill="1" applyBorder="1" applyAlignment="1">
      <alignment horizontal="right"/>
    </xf>
    <xf numFmtId="4" fontId="12" fillId="3" borderId="6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164" fontId="15" fillId="2" borderId="49" xfId="0" applyNumberFormat="1" applyFont="1" applyFill="1" applyBorder="1" applyAlignment="1">
      <alignment horizontal="right" vertical="center"/>
    </xf>
    <xf numFmtId="164" fontId="27" fillId="2" borderId="12" xfId="0" applyNumberFormat="1" applyFont="1" applyFill="1" applyBorder="1" applyAlignment="1">
      <alignment horizontal="right" vertical="center"/>
    </xf>
    <xf numFmtId="164" fontId="27" fillId="0" borderId="12" xfId="0" applyNumberFormat="1" applyFont="1" applyBorder="1" applyAlignment="1">
      <alignment vertical="center"/>
    </xf>
    <xf numFmtId="164" fontId="15" fillId="2" borderId="12" xfId="0" applyNumberFormat="1" applyFont="1" applyFill="1" applyBorder="1" applyAlignment="1">
      <alignment horizontal="right" vertical="center"/>
    </xf>
    <xf numFmtId="3" fontId="12" fillId="0" borderId="18" xfId="0" applyNumberFormat="1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right" vertical="center"/>
    </xf>
    <xf numFmtId="164" fontId="27" fillId="2" borderId="4" xfId="0" applyNumberFormat="1" applyFont="1" applyFill="1" applyBorder="1" applyAlignment="1">
      <alignment horizontal="right" vertical="center"/>
    </xf>
    <xf numFmtId="164" fontId="27" fillId="0" borderId="4" xfId="0" applyNumberFormat="1" applyFont="1" applyBorder="1" applyAlignment="1">
      <alignment vertical="center"/>
    </xf>
    <xf numFmtId="164" fontId="15" fillId="2" borderId="4" xfId="0" applyNumberFormat="1" applyFont="1" applyFill="1" applyBorder="1" applyAlignment="1">
      <alignment horizontal="right" vertical="center"/>
    </xf>
    <xf numFmtId="164" fontId="27" fillId="3" borderId="12" xfId="0" applyNumberFormat="1" applyFont="1" applyFill="1" applyBorder="1" applyAlignment="1">
      <alignment horizontal="right" vertical="center"/>
    </xf>
    <xf numFmtId="164" fontId="27" fillId="0" borderId="22" xfId="0" applyNumberFormat="1" applyFont="1" applyBorder="1" applyAlignment="1">
      <alignment vertical="center"/>
    </xf>
    <xf numFmtId="164" fontId="15" fillId="2" borderId="18" xfId="0" applyNumberFormat="1" applyFont="1" applyFill="1" applyBorder="1" applyAlignment="1">
      <alignment horizontal="right" vertical="center"/>
    </xf>
    <xf numFmtId="166" fontId="15" fillId="0" borderId="7" xfId="0" applyNumberFormat="1" applyFont="1" applyBorder="1" applyAlignment="1">
      <alignment vertical="center"/>
    </xf>
    <xf numFmtId="166" fontId="15" fillId="0" borderId="5" xfId="0" applyNumberFormat="1" applyFont="1" applyBorder="1" applyAlignment="1">
      <alignment vertical="center"/>
    </xf>
    <xf numFmtId="166" fontId="27" fillId="0" borderId="6" xfId="0" applyNumberFormat="1" applyFont="1" applyBorder="1" applyAlignment="1">
      <alignment vertical="center"/>
    </xf>
    <xf numFmtId="166" fontId="15" fillId="0" borderId="6" xfId="0" applyNumberFormat="1" applyFont="1" applyBorder="1" applyAlignment="1">
      <alignment vertical="center"/>
    </xf>
    <xf numFmtId="166" fontId="27" fillId="0" borderId="13" xfId="0" applyNumberFormat="1" applyFont="1" applyBorder="1" applyAlignment="1">
      <alignment vertical="center"/>
    </xf>
    <xf numFmtId="0" fontId="27" fillId="3" borderId="12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/>
    <xf numFmtId="0" fontId="0" fillId="0" borderId="0" xfId="0" applyAlignment="1"/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/>
    <xf numFmtId="0" fontId="18" fillId="0" borderId="0" xfId="0" applyFont="1" applyAlignment="1">
      <alignment horizontal="right"/>
    </xf>
    <xf numFmtId="0" fontId="16" fillId="3" borderId="0" xfId="0" applyFont="1" applyFill="1" applyAlignment="1">
      <alignment horizontal="right" vertical="top"/>
    </xf>
    <xf numFmtId="0" fontId="18" fillId="0" borderId="0" xfId="0" applyFont="1" applyAlignment="1"/>
    <xf numFmtId="0" fontId="16" fillId="3" borderId="0" xfId="0" applyFont="1" applyFill="1" applyAlignment="1">
      <alignment horizontal="right" wrapText="1"/>
    </xf>
    <xf numFmtId="0" fontId="41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 wrapText="1"/>
    </xf>
    <xf numFmtId="0" fontId="45" fillId="0" borderId="0" xfId="0" applyFont="1" applyAlignment="1"/>
    <xf numFmtId="0" fontId="13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5" fontId="12" fillId="3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4" fillId="2" borderId="0" xfId="0" applyFont="1" applyFill="1" applyAlignment="1">
      <alignment horizontal="center" vertical="center" wrapText="1"/>
    </xf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/>
    <xf numFmtId="0" fontId="24" fillId="3" borderId="0" xfId="0" applyFont="1" applyFill="1" applyAlignment="1">
      <alignment horizontal="center" wrapText="1"/>
    </xf>
    <xf numFmtId="0" fontId="0" fillId="0" borderId="0" xfId="0" applyFont="1" applyAlignment="1"/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5" xr:uid="{00000000-0005-0000-0000-000003000000}"/>
    <cellStyle name="Обычный 5" xfId="3" xr:uid="{00000000-0005-0000-0000-000004000000}"/>
    <cellStyle name="Обычный 7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915"/>
  <sheetViews>
    <sheetView view="pageBreakPreview" zoomScale="79" zoomScaleNormal="100" zoomScaleSheetLayoutView="79" zoomScalePageLayoutView="80" workbookViewId="0">
      <selection activeCell="M11" sqref="M11"/>
    </sheetView>
  </sheetViews>
  <sheetFormatPr defaultColWidth="8.85546875" defaultRowHeight="16.5" x14ac:dyDescent="0.25"/>
  <cols>
    <col min="1" max="1" width="95" style="13" customWidth="1"/>
    <col min="2" max="3" width="5.42578125" style="15" customWidth="1"/>
    <col min="4" max="4" width="16" style="26" customWidth="1"/>
    <col min="5" max="5" width="6.42578125" style="15" customWidth="1"/>
    <col min="6" max="6" width="15.140625" style="31" customWidth="1"/>
    <col min="7" max="7" width="15.7109375" style="14" customWidth="1"/>
    <col min="8" max="9" width="15.140625" style="31" customWidth="1"/>
    <col min="10" max="11" width="14.7109375" style="136" customWidth="1"/>
    <col min="12" max="12" width="15.7109375" style="136" customWidth="1"/>
    <col min="13" max="13" width="10.7109375" style="136" bestFit="1" customWidth="1"/>
    <col min="14" max="16384" width="8.85546875" style="136"/>
  </cols>
  <sheetData>
    <row r="2" spans="1:19" ht="15.75" x14ac:dyDescent="0.25">
      <c r="A2" s="182"/>
      <c r="B2" s="476"/>
      <c r="C2" s="476"/>
      <c r="D2" s="616"/>
      <c r="E2" s="616"/>
      <c r="F2" s="617"/>
      <c r="G2" s="618"/>
      <c r="H2" s="618"/>
      <c r="I2" s="513"/>
      <c r="J2" s="611" t="s">
        <v>718</v>
      </c>
      <c r="K2" s="612"/>
      <c r="L2" s="612"/>
      <c r="M2" s="612"/>
      <c r="N2" s="524"/>
      <c r="O2" s="527"/>
      <c r="P2" s="526"/>
      <c r="Q2" s="611"/>
      <c r="R2" s="611"/>
      <c r="S2" s="612"/>
    </row>
    <row r="3" spans="1:19" ht="19.149999999999999" customHeight="1" x14ac:dyDescent="0.25">
      <c r="A3" s="182"/>
      <c r="B3" s="476"/>
      <c r="C3" s="476"/>
      <c r="D3" s="25"/>
      <c r="E3" s="182"/>
      <c r="F3" s="525"/>
      <c r="G3" s="523"/>
      <c r="H3" s="523"/>
      <c r="I3" s="523"/>
      <c r="J3" s="523"/>
      <c r="K3" s="613" t="s">
        <v>811</v>
      </c>
      <c r="L3" s="613"/>
      <c r="M3" s="613"/>
      <c r="N3" s="523"/>
      <c r="O3" s="523"/>
      <c r="P3" s="523"/>
      <c r="Q3" s="523"/>
      <c r="R3" s="523"/>
      <c r="S3" s="523"/>
    </row>
    <row r="4" spans="1:19" s="49" customFormat="1" ht="15.75" x14ac:dyDescent="0.25">
      <c r="A4" s="182"/>
      <c r="B4" s="191"/>
      <c r="C4" s="191"/>
      <c r="D4" s="25"/>
      <c r="E4" s="182"/>
      <c r="F4" s="269"/>
      <c r="G4" s="265"/>
      <c r="H4" s="611" t="s">
        <v>812</v>
      </c>
      <c r="I4" s="611"/>
      <c r="J4" s="619"/>
      <c r="K4" s="619"/>
      <c r="L4" s="610"/>
      <c r="M4" s="610"/>
    </row>
    <row r="5" spans="1:19" ht="15.75" x14ac:dyDescent="0.25">
      <c r="B5" s="10"/>
      <c r="C5" s="10"/>
      <c r="F5" s="614"/>
      <c r="G5" s="615"/>
      <c r="H5" s="615"/>
      <c r="I5" s="615"/>
      <c r="J5" s="610"/>
      <c r="K5" s="610"/>
      <c r="L5" s="610"/>
    </row>
    <row r="6" spans="1:19" ht="15.75" x14ac:dyDescent="0.25">
      <c r="B6" s="10"/>
      <c r="C6" s="10"/>
      <c r="F6" s="287"/>
      <c r="G6" s="288"/>
      <c r="H6" s="502"/>
      <c r="I6" s="512"/>
      <c r="J6" s="286"/>
      <c r="K6" s="517"/>
      <c r="L6" s="286"/>
    </row>
    <row r="7" spans="1:19" ht="15.75" x14ac:dyDescent="0.25">
      <c r="B7" s="10"/>
      <c r="C7" s="10"/>
      <c r="F7" s="267"/>
      <c r="G7" s="268"/>
      <c r="H7" s="502"/>
      <c r="I7" s="512"/>
      <c r="J7" s="266"/>
      <c r="K7" s="517"/>
      <c r="L7" s="266"/>
    </row>
    <row r="8" spans="1:19" ht="15.75" x14ac:dyDescent="0.25">
      <c r="B8" s="10"/>
      <c r="C8" s="10"/>
      <c r="F8" s="192"/>
      <c r="G8" s="138"/>
      <c r="H8" s="502"/>
      <c r="I8" s="512"/>
      <c r="J8" s="49"/>
      <c r="K8" s="49"/>
    </row>
    <row r="9" spans="1:19" ht="116.45" customHeight="1" x14ac:dyDescent="0.2">
      <c r="A9" s="607" t="s">
        <v>813</v>
      </c>
      <c r="B9" s="608"/>
      <c r="C9" s="608"/>
      <c r="D9" s="608"/>
      <c r="E9" s="608"/>
      <c r="F9" s="609"/>
      <c r="G9" s="609"/>
      <c r="H9" s="609"/>
      <c r="I9" s="609"/>
      <c r="J9" s="610"/>
      <c r="K9" s="610"/>
      <c r="L9" s="610"/>
      <c r="M9" s="610"/>
    </row>
    <row r="10" spans="1:19" ht="22.9" customHeight="1" thickBot="1" x14ac:dyDescent="0.3">
      <c r="M10" s="14" t="s">
        <v>153</v>
      </c>
    </row>
    <row r="11" spans="1:19" ht="98.45" customHeight="1" thickBot="1" x14ac:dyDescent="0.25">
      <c r="A11" s="289" t="s">
        <v>74</v>
      </c>
      <c r="B11" s="290" t="s">
        <v>0</v>
      </c>
      <c r="C11" s="186" t="s">
        <v>21</v>
      </c>
      <c r="D11" s="345" t="s">
        <v>1</v>
      </c>
      <c r="E11" s="343" t="s">
        <v>64</v>
      </c>
      <c r="F11" s="515" t="s">
        <v>806</v>
      </c>
      <c r="G11" s="516" t="s">
        <v>796</v>
      </c>
      <c r="H11" s="195" t="s">
        <v>807</v>
      </c>
      <c r="I11" s="516" t="s">
        <v>796</v>
      </c>
      <c r="J11" s="187" t="s">
        <v>794</v>
      </c>
      <c r="K11" s="195" t="s">
        <v>795</v>
      </c>
      <c r="L11" s="516" t="s">
        <v>796</v>
      </c>
      <c r="M11" s="195" t="s">
        <v>795</v>
      </c>
    </row>
    <row r="12" spans="1:19" thickBot="1" x14ac:dyDescent="0.3">
      <c r="A12" s="196">
        <v>1</v>
      </c>
      <c r="B12" s="231">
        <v>2</v>
      </c>
      <c r="C12" s="232">
        <v>3</v>
      </c>
      <c r="D12" s="167">
        <v>4</v>
      </c>
      <c r="E12" s="344">
        <v>5</v>
      </c>
      <c r="F12" s="178">
        <v>6</v>
      </c>
      <c r="G12" s="167">
        <v>7</v>
      </c>
      <c r="H12" s="178">
        <v>8</v>
      </c>
      <c r="I12" s="178">
        <v>9</v>
      </c>
      <c r="J12" s="178">
        <v>10</v>
      </c>
      <c r="K12" s="178">
        <v>11</v>
      </c>
      <c r="L12" s="519">
        <v>12</v>
      </c>
      <c r="M12" s="577">
        <v>13</v>
      </c>
    </row>
    <row r="13" spans="1:19" s="141" customFormat="1" x14ac:dyDescent="0.25">
      <c r="A13" s="414" t="s">
        <v>27</v>
      </c>
      <c r="B13" s="273" t="s">
        <v>31</v>
      </c>
      <c r="C13" s="340"/>
      <c r="D13" s="346"/>
      <c r="E13" s="350"/>
      <c r="F13" s="189">
        <f>F14+F21+F39+F95+F149+F157+F135</f>
        <v>352050.4</v>
      </c>
      <c r="G13" s="189">
        <f>G14+G21+G39+G95+G149+G157+G135</f>
        <v>5367.2</v>
      </c>
      <c r="H13" s="189">
        <f>H14+H21+H39+H95+H149+H157+H135</f>
        <v>508865.9</v>
      </c>
      <c r="I13" s="189">
        <f>I14+I21+I39+I95+I135+I157</f>
        <v>7281.2</v>
      </c>
      <c r="J13" s="504">
        <f>J14+J21+J39+J95+J149+J157+J135</f>
        <v>351054</v>
      </c>
      <c r="K13" s="573">
        <f>J13/H13</f>
        <v>0.68987526969286006</v>
      </c>
      <c r="L13" s="189">
        <f t="shared" ref="L13" si="0">L14+L21+L39+L95+L149+L157+L135</f>
        <v>7250.3</v>
      </c>
      <c r="M13" s="579">
        <f>L13/I13</f>
        <v>0.99575619403395055</v>
      </c>
      <c r="N13" s="548"/>
    </row>
    <row r="14" spans="1:19" s="145" customFormat="1" ht="31.5" x14ac:dyDescent="0.25">
      <c r="A14" s="401" t="s">
        <v>10</v>
      </c>
      <c r="B14" s="209" t="s">
        <v>31</v>
      </c>
      <c r="C14" s="4" t="s">
        <v>32</v>
      </c>
      <c r="D14" s="33"/>
      <c r="E14" s="351"/>
      <c r="F14" s="168">
        <f>F15</f>
        <v>3395.7</v>
      </c>
      <c r="G14" s="327"/>
      <c r="H14" s="168">
        <f t="shared" ref="H14:H19" si="1">H15</f>
        <v>3395.7</v>
      </c>
      <c r="I14" s="168"/>
      <c r="J14" s="497">
        <f t="shared" ref="J14:J19" si="2">J15</f>
        <v>3316.9</v>
      </c>
      <c r="K14" s="575">
        <f t="shared" ref="K14:K77" si="3">J14/H14</f>
        <v>0.9767941808758136</v>
      </c>
      <c r="L14" s="168"/>
      <c r="M14" s="580"/>
      <c r="N14" s="161"/>
    </row>
    <row r="15" spans="1:19" s="145" customFormat="1" x14ac:dyDescent="0.25">
      <c r="A15" s="280" t="s">
        <v>193</v>
      </c>
      <c r="B15" s="209" t="s">
        <v>31</v>
      </c>
      <c r="C15" s="4" t="s">
        <v>32</v>
      </c>
      <c r="D15" s="163" t="s">
        <v>115</v>
      </c>
      <c r="E15" s="351"/>
      <c r="F15" s="168">
        <f>F16</f>
        <v>3395.7</v>
      </c>
      <c r="G15" s="327"/>
      <c r="H15" s="168">
        <f t="shared" si="1"/>
        <v>3395.7</v>
      </c>
      <c r="I15" s="168"/>
      <c r="J15" s="497">
        <f t="shared" si="2"/>
        <v>3316.9</v>
      </c>
      <c r="K15" s="575">
        <f t="shared" si="3"/>
        <v>0.9767941808758136</v>
      </c>
      <c r="L15" s="168"/>
      <c r="M15" s="580"/>
      <c r="N15" s="161"/>
    </row>
    <row r="16" spans="1:19" s="145" customFormat="1" x14ac:dyDescent="0.25">
      <c r="A16" s="280" t="s">
        <v>198</v>
      </c>
      <c r="B16" s="209" t="s">
        <v>31</v>
      </c>
      <c r="C16" s="4" t="s">
        <v>32</v>
      </c>
      <c r="D16" s="163" t="s">
        <v>199</v>
      </c>
      <c r="E16" s="351"/>
      <c r="F16" s="168">
        <f>F17</f>
        <v>3395.7</v>
      </c>
      <c r="G16" s="327"/>
      <c r="H16" s="168">
        <f t="shared" si="1"/>
        <v>3395.7</v>
      </c>
      <c r="I16" s="168"/>
      <c r="J16" s="497">
        <f t="shared" si="2"/>
        <v>3316.9</v>
      </c>
      <c r="K16" s="575">
        <f t="shared" si="3"/>
        <v>0.9767941808758136</v>
      </c>
      <c r="L16" s="168"/>
      <c r="M16" s="580"/>
      <c r="N16" s="161"/>
    </row>
    <row r="17" spans="1:14" s="145" customFormat="1" ht="31.5" x14ac:dyDescent="0.25">
      <c r="A17" s="280" t="s">
        <v>200</v>
      </c>
      <c r="B17" s="209" t="s">
        <v>31</v>
      </c>
      <c r="C17" s="4" t="s">
        <v>32</v>
      </c>
      <c r="D17" s="163" t="s">
        <v>201</v>
      </c>
      <c r="E17" s="351"/>
      <c r="F17" s="168">
        <f>F18</f>
        <v>3395.7</v>
      </c>
      <c r="G17" s="327"/>
      <c r="H17" s="168">
        <f t="shared" si="1"/>
        <v>3395.7</v>
      </c>
      <c r="I17" s="168"/>
      <c r="J17" s="497">
        <f t="shared" si="2"/>
        <v>3316.9</v>
      </c>
      <c r="K17" s="575">
        <f t="shared" si="3"/>
        <v>0.9767941808758136</v>
      </c>
      <c r="L17" s="168"/>
      <c r="M17" s="580"/>
      <c r="N17" s="161"/>
    </row>
    <row r="18" spans="1:14" s="145" customFormat="1" x14ac:dyDescent="0.25">
      <c r="A18" s="280" t="s">
        <v>202</v>
      </c>
      <c r="B18" s="209" t="s">
        <v>31</v>
      </c>
      <c r="C18" s="4" t="s">
        <v>32</v>
      </c>
      <c r="D18" s="163" t="s">
        <v>203</v>
      </c>
      <c r="E18" s="351"/>
      <c r="F18" s="168">
        <f>'ведом. 2023-2025'!AD16</f>
        <v>3395.7</v>
      </c>
      <c r="G18" s="327"/>
      <c r="H18" s="168">
        <f t="shared" si="1"/>
        <v>3395.7</v>
      </c>
      <c r="I18" s="168"/>
      <c r="J18" s="497">
        <f t="shared" si="2"/>
        <v>3316.9</v>
      </c>
      <c r="K18" s="575">
        <f t="shared" si="3"/>
        <v>0.9767941808758136</v>
      </c>
      <c r="L18" s="168"/>
      <c r="M18" s="580"/>
      <c r="N18" s="161"/>
    </row>
    <row r="19" spans="1:14" s="145" customFormat="1" ht="47.25" x14ac:dyDescent="0.25">
      <c r="A19" s="401" t="s">
        <v>43</v>
      </c>
      <c r="B19" s="209" t="s">
        <v>31</v>
      </c>
      <c r="C19" s="4" t="s">
        <v>32</v>
      </c>
      <c r="D19" s="163" t="s">
        <v>203</v>
      </c>
      <c r="E19" s="351">
        <v>100</v>
      </c>
      <c r="F19" s="168">
        <f>F20</f>
        <v>3395.7</v>
      </c>
      <c r="G19" s="327"/>
      <c r="H19" s="168">
        <f t="shared" si="1"/>
        <v>3395.7</v>
      </c>
      <c r="I19" s="168"/>
      <c r="J19" s="497">
        <f t="shared" si="2"/>
        <v>3316.9</v>
      </c>
      <c r="K19" s="575">
        <f t="shared" si="3"/>
        <v>0.9767941808758136</v>
      </c>
      <c r="L19" s="168"/>
      <c r="M19" s="580"/>
      <c r="N19" s="161"/>
    </row>
    <row r="20" spans="1:14" s="145" customFormat="1" x14ac:dyDescent="0.25">
      <c r="A20" s="401" t="s">
        <v>99</v>
      </c>
      <c r="B20" s="209" t="s">
        <v>31</v>
      </c>
      <c r="C20" s="4" t="s">
        <v>32</v>
      </c>
      <c r="D20" s="163" t="s">
        <v>203</v>
      </c>
      <c r="E20" s="351">
        <v>120</v>
      </c>
      <c r="F20" s="168">
        <f>'ведом. 2023-2025'!AD18</f>
        <v>3395.7</v>
      </c>
      <c r="G20" s="327"/>
      <c r="H20" s="168">
        <f>'ведом. 2023-2025'!AE18</f>
        <v>3395.7</v>
      </c>
      <c r="I20" s="168"/>
      <c r="J20" s="497">
        <f>'ведом. 2023-2025'!AF17</f>
        <v>3316.9</v>
      </c>
      <c r="K20" s="575">
        <f t="shared" si="3"/>
        <v>0.9767941808758136</v>
      </c>
      <c r="L20" s="168"/>
      <c r="M20" s="580"/>
      <c r="N20" s="161"/>
    </row>
    <row r="21" spans="1:14" s="145" customFormat="1" ht="31.5" x14ac:dyDescent="0.25">
      <c r="A21" s="401" t="s">
        <v>30</v>
      </c>
      <c r="B21" s="209" t="s">
        <v>31</v>
      </c>
      <c r="C21" s="4" t="s">
        <v>7</v>
      </c>
      <c r="D21" s="330"/>
      <c r="E21" s="351"/>
      <c r="F21" s="168">
        <f>F22</f>
        <v>15938</v>
      </c>
      <c r="G21" s="168"/>
      <c r="H21" s="168">
        <f t="shared" ref="H21:J21" si="4">H22</f>
        <v>15938</v>
      </c>
      <c r="I21" s="168"/>
      <c r="J21" s="497">
        <f t="shared" si="4"/>
        <v>15848.900000000001</v>
      </c>
      <c r="K21" s="575">
        <f t="shared" si="3"/>
        <v>0.99440958715020711</v>
      </c>
      <c r="L21" s="168"/>
      <c r="M21" s="580"/>
      <c r="N21" s="161"/>
    </row>
    <row r="22" spans="1:14" s="145" customFormat="1" ht="31.5" x14ac:dyDescent="0.25">
      <c r="A22" s="280" t="s">
        <v>291</v>
      </c>
      <c r="B22" s="209" t="s">
        <v>31</v>
      </c>
      <c r="C22" s="4" t="s">
        <v>7</v>
      </c>
      <c r="D22" s="163" t="s">
        <v>102</v>
      </c>
      <c r="E22" s="351"/>
      <c r="F22" s="168">
        <f>F23+F26+F29</f>
        <v>15938</v>
      </c>
      <c r="G22" s="327"/>
      <c r="H22" s="168">
        <f>H23+H26+H29</f>
        <v>15938</v>
      </c>
      <c r="I22" s="168"/>
      <c r="J22" s="497">
        <f>J23+J26+J29</f>
        <v>15848.900000000001</v>
      </c>
      <c r="K22" s="575">
        <f t="shared" si="3"/>
        <v>0.99440958715020711</v>
      </c>
      <c r="L22" s="168"/>
      <c r="M22" s="580"/>
      <c r="N22" s="161"/>
    </row>
    <row r="23" spans="1:14" s="145" customFormat="1" x14ac:dyDescent="0.25">
      <c r="A23" s="412" t="s">
        <v>298</v>
      </c>
      <c r="B23" s="209" t="s">
        <v>31</v>
      </c>
      <c r="C23" s="4" t="s">
        <v>7</v>
      </c>
      <c r="D23" s="163" t="s">
        <v>301</v>
      </c>
      <c r="E23" s="352"/>
      <c r="F23" s="168">
        <f>F24</f>
        <v>2981.8</v>
      </c>
      <c r="G23" s="327"/>
      <c r="H23" s="168">
        <f>H24</f>
        <v>2981.8</v>
      </c>
      <c r="I23" s="168"/>
      <c r="J23" s="497">
        <f>J24</f>
        <v>2979.4</v>
      </c>
      <c r="K23" s="575">
        <f t="shared" si="3"/>
        <v>0.99919511704339659</v>
      </c>
      <c r="L23" s="168"/>
      <c r="M23" s="580"/>
      <c r="N23" s="161"/>
    </row>
    <row r="24" spans="1:14" s="145" customFormat="1" ht="47.25" x14ac:dyDescent="0.25">
      <c r="A24" s="401" t="s">
        <v>43</v>
      </c>
      <c r="B24" s="209" t="s">
        <v>31</v>
      </c>
      <c r="C24" s="4" t="s">
        <v>7</v>
      </c>
      <c r="D24" s="163" t="s">
        <v>301</v>
      </c>
      <c r="E24" s="351">
        <v>100</v>
      </c>
      <c r="F24" s="168">
        <f>F25</f>
        <v>2981.8</v>
      </c>
      <c r="G24" s="327"/>
      <c r="H24" s="168">
        <f>H25</f>
        <v>2981.8</v>
      </c>
      <c r="I24" s="168"/>
      <c r="J24" s="497">
        <f>J25</f>
        <v>2979.4</v>
      </c>
      <c r="K24" s="575">
        <f t="shared" si="3"/>
        <v>0.99919511704339659</v>
      </c>
      <c r="L24" s="168"/>
      <c r="M24" s="580"/>
      <c r="N24" s="161"/>
    </row>
    <row r="25" spans="1:14" s="145" customFormat="1" x14ac:dyDescent="0.25">
      <c r="A25" s="401" t="s">
        <v>99</v>
      </c>
      <c r="B25" s="209" t="s">
        <v>31</v>
      </c>
      <c r="C25" s="4" t="s">
        <v>7</v>
      </c>
      <c r="D25" s="163" t="s">
        <v>301</v>
      </c>
      <c r="E25" s="352">
        <v>120</v>
      </c>
      <c r="F25" s="168">
        <f>'ведом. 2023-2025'!AD528</f>
        <v>2981.8</v>
      </c>
      <c r="G25" s="327"/>
      <c r="H25" s="168">
        <f>'ведом. 2023-2025'!AE528</f>
        <v>2981.8</v>
      </c>
      <c r="I25" s="168"/>
      <c r="J25" s="497">
        <f>'ведом. 2023-2025'!AF528</f>
        <v>2979.4</v>
      </c>
      <c r="K25" s="575">
        <f t="shared" si="3"/>
        <v>0.99919511704339659</v>
      </c>
      <c r="L25" s="168"/>
      <c r="M25" s="580"/>
      <c r="N25" s="161"/>
    </row>
    <row r="26" spans="1:14" s="145" customFormat="1" x14ac:dyDescent="0.25">
      <c r="A26" s="401" t="s">
        <v>351</v>
      </c>
      <c r="B26" s="209" t="s">
        <v>31</v>
      </c>
      <c r="C26" s="4" t="s">
        <v>7</v>
      </c>
      <c r="D26" s="163" t="s">
        <v>302</v>
      </c>
      <c r="E26" s="352"/>
      <c r="F26" s="168">
        <f>F28</f>
        <v>2163.9</v>
      </c>
      <c r="G26" s="327"/>
      <c r="H26" s="168">
        <f>H28</f>
        <v>2163.9</v>
      </c>
      <c r="I26" s="168"/>
      <c r="J26" s="497">
        <f>J28</f>
        <v>2162.3000000000002</v>
      </c>
      <c r="K26" s="575">
        <f t="shared" si="3"/>
        <v>0.9992605942973336</v>
      </c>
      <c r="L26" s="168"/>
      <c r="M26" s="580"/>
      <c r="N26" s="161"/>
    </row>
    <row r="27" spans="1:14" s="145" customFormat="1" ht="47.25" x14ac:dyDescent="0.25">
      <c r="A27" s="401" t="s">
        <v>43</v>
      </c>
      <c r="B27" s="209" t="s">
        <v>31</v>
      </c>
      <c r="C27" s="4" t="s">
        <v>7</v>
      </c>
      <c r="D27" s="163" t="s">
        <v>302</v>
      </c>
      <c r="E27" s="351">
        <v>100</v>
      </c>
      <c r="F27" s="168">
        <f>F28</f>
        <v>2163.9</v>
      </c>
      <c r="G27" s="327"/>
      <c r="H27" s="168">
        <f>H28</f>
        <v>2163.9</v>
      </c>
      <c r="I27" s="168"/>
      <c r="J27" s="497">
        <f>J28</f>
        <v>2162.3000000000002</v>
      </c>
      <c r="K27" s="575">
        <f t="shared" si="3"/>
        <v>0.9992605942973336</v>
      </c>
      <c r="L27" s="168"/>
      <c r="M27" s="580"/>
      <c r="N27" s="161"/>
    </row>
    <row r="28" spans="1:14" s="145" customFormat="1" x14ac:dyDescent="0.25">
      <c r="A28" s="401" t="s">
        <v>99</v>
      </c>
      <c r="B28" s="209" t="s">
        <v>31</v>
      </c>
      <c r="C28" s="4" t="s">
        <v>7</v>
      </c>
      <c r="D28" s="163" t="s">
        <v>302</v>
      </c>
      <c r="E28" s="352">
        <v>120</v>
      </c>
      <c r="F28" s="168">
        <f>'ведом. 2023-2025'!AD531</f>
        <v>2163.9</v>
      </c>
      <c r="G28" s="327"/>
      <c r="H28" s="168">
        <f>'ведом. 2023-2025'!AE531</f>
        <v>2163.9</v>
      </c>
      <c r="I28" s="168"/>
      <c r="J28" s="497">
        <f>'ведом. 2023-2025'!AF531</f>
        <v>2162.3000000000002</v>
      </c>
      <c r="K28" s="575">
        <f t="shared" si="3"/>
        <v>0.9992605942973336</v>
      </c>
      <c r="L28" s="168"/>
      <c r="M28" s="580"/>
      <c r="N28" s="161"/>
    </row>
    <row r="29" spans="1:14" s="145" customFormat="1" x14ac:dyDescent="0.25">
      <c r="A29" s="302" t="s">
        <v>299</v>
      </c>
      <c r="B29" s="209" t="s">
        <v>31</v>
      </c>
      <c r="C29" s="4" t="s">
        <v>7</v>
      </c>
      <c r="D29" s="163" t="s">
        <v>300</v>
      </c>
      <c r="E29" s="352"/>
      <c r="F29" s="168">
        <f>F30+F33+F36</f>
        <v>10792.3</v>
      </c>
      <c r="G29" s="327"/>
      <c r="H29" s="168">
        <f>H30+H33+H36</f>
        <v>10792.3</v>
      </c>
      <c r="I29" s="168"/>
      <c r="J29" s="497">
        <f>J30+J33+J36</f>
        <v>10707.2</v>
      </c>
      <c r="K29" s="575">
        <f t="shared" si="3"/>
        <v>0.99211474847808168</v>
      </c>
      <c r="L29" s="168"/>
      <c r="M29" s="580"/>
      <c r="N29" s="161"/>
    </row>
    <row r="30" spans="1:14" s="145" customFormat="1" ht="31.5" x14ac:dyDescent="0.25">
      <c r="A30" s="401" t="s">
        <v>303</v>
      </c>
      <c r="B30" s="209" t="s">
        <v>31</v>
      </c>
      <c r="C30" s="4" t="s">
        <v>7</v>
      </c>
      <c r="D30" s="163" t="s">
        <v>304</v>
      </c>
      <c r="E30" s="352"/>
      <c r="F30" s="168">
        <f>F31</f>
        <v>1637.3</v>
      </c>
      <c r="G30" s="327"/>
      <c r="H30" s="168">
        <f>H31</f>
        <v>1637.3</v>
      </c>
      <c r="I30" s="168"/>
      <c r="J30" s="497">
        <f t="shared" ref="J30" si="5">J31</f>
        <v>1560.3</v>
      </c>
      <c r="K30" s="575">
        <f t="shared" si="3"/>
        <v>0.95297135528003418</v>
      </c>
      <c r="L30" s="168"/>
      <c r="M30" s="580"/>
      <c r="N30" s="161"/>
    </row>
    <row r="31" spans="1:14" s="145" customFormat="1" x14ac:dyDescent="0.25">
      <c r="A31" s="401" t="s">
        <v>123</v>
      </c>
      <c r="B31" s="209" t="s">
        <v>31</v>
      </c>
      <c r="C31" s="4" t="s">
        <v>7</v>
      </c>
      <c r="D31" s="163" t="s">
        <v>304</v>
      </c>
      <c r="E31" s="352">
        <v>200</v>
      </c>
      <c r="F31" s="168">
        <f>F32</f>
        <v>1637.3</v>
      </c>
      <c r="G31" s="327"/>
      <c r="H31" s="168">
        <f>H32</f>
        <v>1637.3</v>
      </c>
      <c r="I31" s="168"/>
      <c r="J31" s="497">
        <f>J32</f>
        <v>1560.3</v>
      </c>
      <c r="K31" s="575">
        <f t="shared" si="3"/>
        <v>0.95297135528003418</v>
      </c>
      <c r="L31" s="168"/>
      <c r="M31" s="580"/>
      <c r="N31" s="161"/>
    </row>
    <row r="32" spans="1:14" s="145" customFormat="1" ht="31.5" x14ac:dyDescent="0.25">
      <c r="A32" s="401" t="s">
        <v>54</v>
      </c>
      <c r="B32" s="209" t="s">
        <v>31</v>
      </c>
      <c r="C32" s="4" t="s">
        <v>7</v>
      </c>
      <c r="D32" s="163" t="s">
        <v>304</v>
      </c>
      <c r="E32" s="352">
        <v>240</v>
      </c>
      <c r="F32" s="168">
        <f>'ведом. 2023-2025'!AD535</f>
        <v>1637.3</v>
      </c>
      <c r="G32" s="327"/>
      <c r="H32" s="168">
        <f>'ведом. 2023-2025'!AE535</f>
        <v>1637.3</v>
      </c>
      <c r="I32" s="168"/>
      <c r="J32" s="497">
        <f>'ведом. 2023-2025'!AF535</f>
        <v>1560.3</v>
      </c>
      <c r="K32" s="575">
        <f t="shared" si="3"/>
        <v>0.95297135528003418</v>
      </c>
      <c r="L32" s="168"/>
      <c r="M32" s="580"/>
      <c r="N32" s="161"/>
    </row>
    <row r="33" spans="1:14" s="145" customFormat="1" ht="47.25" x14ac:dyDescent="0.25">
      <c r="A33" s="401" t="s">
        <v>307</v>
      </c>
      <c r="B33" s="209" t="s">
        <v>31</v>
      </c>
      <c r="C33" s="4" t="s">
        <v>7</v>
      </c>
      <c r="D33" s="163" t="s">
        <v>305</v>
      </c>
      <c r="E33" s="352"/>
      <c r="F33" s="168">
        <f>F34</f>
        <v>4412.3999999999996</v>
      </c>
      <c r="G33" s="327"/>
      <c r="H33" s="168">
        <f>H34</f>
        <v>4412.3999999999996</v>
      </c>
      <c r="I33" s="168"/>
      <c r="J33" s="497">
        <f>J34</f>
        <v>4407.8999999999996</v>
      </c>
      <c r="K33" s="575">
        <f t="shared" si="3"/>
        <v>0.99898014685885228</v>
      </c>
      <c r="L33" s="168"/>
      <c r="M33" s="580"/>
      <c r="N33" s="161"/>
    </row>
    <row r="34" spans="1:14" s="145" customFormat="1" ht="47.25" x14ac:dyDescent="0.25">
      <c r="A34" s="401" t="s">
        <v>43</v>
      </c>
      <c r="B34" s="209" t="s">
        <v>31</v>
      </c>
      <c r="C34" s="4" t="s">
        <v>7</v>
      </c>
      <c r="D34" s="163" t="s">
        <v>305</v>
      </c>
      <c r="E34" s="351">
        <v>100</v>
      </c>
      <c r="F34" s="168">
        <f>F35</f>
        <v>4412.3999999999996</v>
      </c>
      <c r="G34" s="327"/>
      <c r="H34" s="168">
        <f>H35</f>
        <v>4412.3999999999996</v>
      </c>
      <c r="I34" s="168"/>
      <c r="J34" s="497">
        <f>J35</f>
        <v>4407.8999999999996</v>
      </c>
      <c r="K34" s="575">
        <f t="shared" si="3"/>
        <v>0.99898014685885228</v>
      </c>
      <c r="L34" s="168"/>
      <c r="M34" s="580"/>
      <c r="N34" s="161"/>
    </row>
    <row r="35" spans="1:14" s="145" customFormat="1" x14ac:dyDescent="0.25">
      <c r="A35" s="401" t="s">
        <v>99</v>
      </c>
      <c r="B35" s="209" t="s">
        <v>31</v>
      </c>
      <c r="C35" s="4" t="s">
        <v>7</v>
      </c>
      <c r="D35" s="163" t="s">
        <v>305</v>
      </c>
      <c r="E35" s="352">
        <v>120</v>
      </c>
      <c r="F35" s="168">
        <f>'ведом. 2023-2025'!AD538</f>
        <v>4412.3999999999996</v>
      </c>
      <c r="G35" s="327"/>
      <c r="H35" s="168">
        <f>'ведом. 2023-2025'!AE538</f>
        <v>4412.3999999999996</v>
      </c>
      <c r="I35" s="168"/>
      <c r="J35" s="497">
        <f>'ведом. 2023-2025'!AF538</f>
        <v>4407.8999999999996</v>
      </c>
      <c r="K35" s="575">
        <f t="shared" si="3"/>
        <v>0.99898014685885228</v>
      </c>
      <c r="L35" s="168"/>
      <c r="M35" s="580"/>
      <c r="N35" s="161"/>
    </row>
    <row r="36" spans="1:14" s="145" customFormat="1" ht="31.5" x14ac:dyDescent="0.25">
      <c r="A36" s="401" t="s">
        <v>308</v>
      </c>
      <c r="B36" s="209" t="s">
        <v>31</v>
      </c>
      <c r="C36" s="4" t="s">
        <v>7</v>
      </c>
      <c r="D36" s="163" t="s">
        <v>306</v>
      </c>
      <c r="E36" s="352"/>
      <c r="F36" s="168">
        <f>F37</f>
        <v>4742.6000000000004</v>
      </c>
      <c r="G36" s="327"/>
      <c r="H36" s="168">
        <f>H37</f>
        <v>4742.6000000000004</v>
      </c>
      <c r="I36" s="168"/>
      <c r="J36" s="497">
        <f>J37</f>
        <v>4739</v>
      </c>
      <c r="K36" s="575">
        <f t="shared" si="3"/>
        <v>0.99924092270062825</v>
      </c>
      <c r="L36" s="168"/>
      <c r="M36" s="580"/>
      <c r="N36" s="161"/>
    </row>
    <row r="37" spans="1:14" s="145" customFormat="1" ht="47.25" x14ac:dyDescent="0.25">
      <c r="A37" s="401" t="s">
        <v>43</v>
      </c>
      <c r="B37" s="209" t="s">
        <v>31</v>
      </c>
      <c r="C37" s="4" t="s">
        <v>7</v>
      </c>
      <c r="D37" s="163" t="s">
        <v>306</v>
      </c>
      <c r="E37" s="351">
        <v>100</v>
      </c>
      <c r="F37" s="168">
        <f>F38</f>
        <v>4742.6000000000004</v>
      </c>
      <c r="G37" s="327"/>
      <c r="H37" s="168">
        <f>H38</f>
        <v>4742.6000000000004</v>
      </c>
      <c r="I37" s="168"/>
      <c r="J37" s="497">
        <f>J38</f>
        <v>4739</v>
      </c>
      <c r="K37" s="575">
        <f t="shared" si="3"/>
        <v>0.99924092270062825</v>
      </c>
      <c r="L37" s="168"/>
      <c r="M37" s="580"/>
      <c r="N37" s="161"/>
    </row>
    <row r="38" spans="1:14" s="145" customFormat="1" x14ac:dyDescent="0.25">
      <c r="A38" s="401" t="s">
        <v>99</v>
      </c>
      <c r="B38" s="209" t="s">
        <v>31</v>
      </c>
      <c r="C38" s="4" t="s">
        <v>7</v>
      </c>
      <c r="D38" s="163" t="s">
        <v>306</v>
      </c>
      <c r="E38" s="352">
        <v>120</v>
      </c>
      <c r="F38" s="168">
        <f>'ведом. 2023-2025'!AD541</f>
        <v>4742.6000000000004</v>
      </c>
      <c r="G38" s="327"/>
      <c r="H38" s="168">
        <f>'ведом. 2023-2025'!AE541</f>
        <v>4742.6000000000004</v>
      </c>
      <c r="I38" s="168"/>
      <c r="J38" s="497">
        <f>'ведом. 2023-2025'!AF541</f>
        <v>4739</v>
      </c>
      <c r="K38" s="575">
        <f t="shared" si="3"/>
        <v>0.99924092270062825</v>
      </c>
      <c r="L38" s="168"/>
      <c r="M38" s="580"/>
      <c r="N38" s="161"/>
    </row>
    <row r="39" spans="1:14" s="145" customFormat="1" ht="31.5" x14ac:dyDescent="0.25">
      <c r="A39" s="401" t="s">
        <v>52</v>
      </c>
      <c r="B39" s="209" t="s">
        <v>31</v>
      </c>
      <c r="C39" s="4" t="s">
        <v>51</v>
      </c>
      <c r="D39" s="33"/>
      <c r="E39" s="351"/>
      <c r="F39" s="168">
        <f>F40+F67+F83+F48+F73</f>
        <v>92237.2</v>
      </c>
      <c r="G39" s="168">
        <f>G40+G67+G83+G48+G73</f>
        <v>4336</v>
      </c>
      <c r="H39" s="168">
        <f>H40+H67+H83+H48+H73+H91</f>
        <v>96979.5</v>
      </c>
      <c r="I39" s="168">
        <f>I40+I73+I83</f>
        <v>4336</v>
      </c>
      <c r="J39" s="497">
        <f t="shared" ref="J39" si="6">J40+J67+J83+J48+J73+J91</f>
        <v>95021.2</v>
      </c>
      <c r="K39" s="575">
        <f t="shared" si="3"/>
        <v>0.97980707262875144</v>
      </c>
      <c r="L39" s="168">
        <f>L40+L67+L83+L48+L73+L91</f>
        <v>4336</v>
      </c>
      <c r="M39" s="580">
        <f t="shared" ref="M39:M74" si="7">L39/I39</f>
        <v>1</v>
      </c>
      <c r="N39" s="161"/>
    </row>
    <row r="40" spans="1:14" s="145" customFormat="1" x14ac:dyDescent="0.25">
      <c r="A40" s="280" t="s">
        <v>309</v>
      </c>
      <c r="B40" s="209" t="s">
        <v>31</v>
      </c>
      <c r="C40" s="4" t="s">
        <v>51</v>
      </c>
      <c r="D40" s="33" t="s">
        <v>112</v>
      </c>
      <c r="E40" s="352"/>
      <c r="F40" s="168">
        <f>F41</f>
        <v>2335</v>
      </c>
      <c r="G40" s="168">
        <f t="shared" ref="G40:J40" si="8">G41</f>
        <v>2335</v>
      </c>
      <c r="H40" s="168">
        <f t="shared" si="8"/>
        <v>2335</v>
      </c>
      <c r="I40" s="168">
        <f t="shared" si="8"/>
        <v>2335</v>
      </c>
      <c r="J40" s="497">
        <f t="shared" si="8"/>
        <v>2335</v>
      </c>
      <c r="K40" s="575">
        <f t="shared" si="3"/>
        <v>1</v>
      </c>
      <c r="L40" s="168">
        <f>L41</f>
        <v>2335</v>
      </c>
      <c r="M40" s="580">
        <f t="shared" si="7"/>
        <v>1</v>
      </c>
      <c r="N40" s="161"/>
    </row>
    <row r="41" spans="1:14" s="145" customFormat="1" x14ac:dyDescent="0.25">
      <c r="A41" s="280" t="s">
        <v>50</v>
      </c>
      <c r="B41" s="209" t="s">
        <v>31</v>
      </c>
      <c r="C41" s="4" t="s">
        <v>51</v>
      </c>
      <c r="D41" s="33" t="s">
        <v>444</v>
      </c>
      <c r="E41" s="352"/>
      <c r="F41" s="168">
        <f t="shared" ref="F41:J42" si="9">F42</f>
        <v>2335</v>
      </c>
      <c r="G41" s="327">
        <f t="shared" si="9"/>
        <v>2335</v>
      </c>
      <c r="H41" s="168">
        <f t="shared" si="9"/>
        <v>2335</v>
      </c>
      <c r="I41" s="168">
        <f t="shared" si="9"/>
        <v>2335</v>
      </c>
      <c r="J41" s="497">
        <f t="shared" si="9"/>
        <v>2335</v>
      </c>
      <c r="K41" s="575">
        <f t="shared" si="3"/>
        <v>1</v>
      </c>
      <c r="L41" s="168">
        <f>L42</f>
        <v>2335</v>
      </c>
      <c r="M41" s="580">
        <f t="shared" si="7"/>
        <v>1</v>
      </c>
      <c r="N41" s="161"/>
    </row>
    <row r="42" spans="1:14" s="145" customFormat="1" ht="47.25" x14ac:dyDescent="0.25">
      <c r="A42" s="280" t="s">
        <v>598</v>
      </c>
      <c r="B42" s="209" t="s">
        <v>31</v>
      </c>
      <c r="C42" s="4" t="s">
        <v>51</v>
      </c>
      <c r="D42" s="33" t="s">
        <v>597</v>
      </c>
      <c r="E42" s="352"/>
      <c r="F42" s="168">
        <f t="shared" si="9"/>
        <v>2335</v>
      </c>
      <c r="G42" s="327">
        <f t="shared" si="9"/>
        <v>2335</v>
      </c>
      <c r="H42" s="168">
        <f t="shared" si="9"/>
        <v>2335</v>
      </c>
      <c r="I42" s="168">
        <f t="shared" si="9"/>
        <v>2335</v>
      </c>
      <c r="J42" s="497">
        <f t="shared" si="9"/>
        <v>2335</v>
      </c>
      <c r="K42" s="575">
        <f t="shared" si="3"/>
        <v>1</v>
      </c>
      <c r="L42" s="168">
        <f>L43</f>
        <v>2335</v>
      </c>
      <c r="M42" s="580">
        <f t="shared" si="7"/>
        <v>1</v>
      </c>
      <c r="N42" s="161"/>
    </row>
    <row r="43" spans="1:14" s="145" customFormat="1" ht="47.25" x14ac:dyDescent="0.25">
      <c r="A43" s="401" t="s">
        <v>386</v>
      </c>
      <c r="B43" s="209" t="s">
        <v>31</v>
      </c>
      <c r="C43" s="4" t="s">
        <v>51</v>
      </c>
      <c r="D43" s="33" t="s">
        <v>599</v>
      </c>
      <c r="E43" s="352"/>
      <c r="F43" s="168">
        <f t="shared" ref="F43:J43" si="10">F44+F46</f>
        <v>2335</v>
      </c>
      <c r="G43" s="327">
        <f t="shared" si="10"/>
        <v>2335</v>
      </c>
      <c r="H43" s="168">
        <f t="shared" ref="H43" si="11">H44+H46</f>
        <v>2335</v>
      </c>
      <c r="I43" s="168">
        <f t="shared" ref="I43" si="12">I44+I46</f>
        <v>2335</v>
      </c>
      <c r="J43" s="497">
        <f t="shared" si="10"/>
        <v>2335</v>
      </c>
      <c r="K43" s="575">
        <f t="shared" si="3"/>
        <v>1</v>
      </c>
      <c r="L43" s="168">
        <f>L44+L46</f>
        <v>2335</v>
      </c>
      <c r="M43" s="580">
        <f t="shared" si="7"/>
        <v>1</v>
      </c>
      <c r="N43" s="161"/>
    </row>
    <row r="44" spans="1:14" s="145" customFormat="1" ht="47.25" x14ac:dyDescent="0.25">
      <c r="A44" s="278" t="s">
        <v>43</v>
      </c>
      <c r="B44" s="209" t="s">
        <v>31</v>
      </c>
      <c r="C44" s="4" t="s">
        <v>51</v>
      </c>
      <c r="D44" s="33" t="s">
        <v>599</v>
      </c>
      <c r="E44" s="351">
        <v>100</v>
      </c>
      <c r="F44" s="168">
        <f t="shared" ref="F44:J44" si="13">F45</f>
        <v>2259.4</v>
      </c>
      <c r="G44" s="327">
        <f t="shared" si="13"/>
        <v>2259.4</v>
      </c>
      <c r="H44" s="168">
        <f t="shared" si="13"/>
        <v>2259.4</v>
      </c>
      <c r="I44" s="168">
        <f t="shared" si="13"/>
        <v>2259.4</v>
      </c>
      <c r="J44" s="497">
        <f t="shared" si="13"/>
        <v>2259.4</v>
      </c>
      <c r="K44" s="575">
        <f t="shared" si="3"/>
        <v>1</v>
      </c>
      <c r="L44" s="168">
        <f>L45</f>
        <v>2259.4</v>
      </c>
      <c r="M44" s="580">
        <f t="shared" si="7"/>
        <v>1</v>
      </c>
      <c r="N44" s="161"/>
    </row>
    <row r="45" spans="1:14" s="145" customFormat="1" x14ac:dyDescent="0.25">
      <c r="A45" s="278" t="s">
        <v>99</v>
      </c>
      <c r="B45" s="209" t="s">
        <v>31</v>
      </c>
      <c r="C45" s="4" t="s">
        <v>51</v>
      </c>
      <c r="D45" s="33" t="s">
        <v>599</v>
      </c>
      <c r="E45" s="352">
        <v>120</v>
      </c>
      <c r="F45" s="168">
        <f>'ведом. 2023-2025'!AD25</f>
        <v>2259.4</v>
      </c>
      <c r="G45" s="327">
        <f>F45</f>
        <v>2259.4</v>
      </c>
      <c r="H45" s="168">
        <f>'ведом. 2023-2025'!AE25</f>
        <v>2259.4</v>
      </c>
      <c r="I45" s="168">
        <f>'ведом. 2023-2025'!AF25</f>
        <v>2259.4</v>
      </c>
      <c r="J45" s="497">
        <f>'ведом. 2023-2025'!AF25</f>
        <v>2259.4</v>
      </c>
      <c r="K45" s="575">
        <f t="shared" si="3"/>
        <v>1</v>
      </c>
      <c r="L45" s="168">
        <v>2259.4</v>
      </c>
      <c r="M45" s="580">
        <f t="shared" si="7"/>
        <v>1</v>
      </c>
      <c r="N45" s="161"/>
    </row>
    <row r="46" spans="1:14" s="145" customFormat="1" x14ac:dyDescent="0.25">
      <c r="A46" s="278" t="s">
        <v>123</v>
      </c>
      <c r="B46" s="209" t="s">
        <v>31</v>
      </c>
      <c r="C46" s="4" t="s">
        <v>51</v>
      </c>
      <c r="D46" s="33" t="s">
        <v>599</v>
      </c>
      <c r="E46" s="352">
        <v>200</v>
      </c>
      <c r="F46" s="168">
        <f t="shared" ref="F46:J46" si="14">F47</f>
        <v>75.599999999999994</v>
      </c>
      <c r="G46" s="327">
        <f t="shared" si="14"/>
        <v>75.599999999999994</v>
      </c>
      <c r="H46" s="168">
        <f t="shared" si="14"/>
        <v>75.599999999999994</v>
      </c>
      <c r="I46" s="168">
        <f t="shared" si="14"/>
        <v>75.599999999999994</v>
      </c>
      <c r="J46" s="497">
        <f t="shared" si="14"/>
        <v>75.599999999999994</v>
      </c>
      <c r="K46" s="575">
        <f t="shared" si="3"/>
        <v>1</v>
      </c>
      <c r="L46" s="168">
        <f>L47</f>
        <v>75.599999999999994</v>
      </c>
      <c r="M46" s="580">
        <f t="shared" si="7"/>
        <v>1</v>
      </c>
      <c r="N46" s="161"/>
    </row>
    <row r="47" spans="1:14" s="145" customFormat="1" ht="31.5" x14ac:dyDescent="0.25">
      <c r="A47" s="278" t="s">
        <v>54</v>
      </c>
      <c r="B47" s="209" t="s">
        <v>31</v>
      </c>
      <c r="C47" s="4" t="s">
        <v>51</v>
      </c>
      <c r="D47" s="33" t="s">
        <v>599</v>
      </c>
      <c r="E47" s="352">
        <v>240</v>
      </c>
      <c r="F47" s="168">
        <f>'ведом. 2023-2025'!AD27</f>
        <v>75.599999999999994</v>
      </c>
      <c r="G47" s="327">
        <f>F47</f>
        <v>75.599999999999994</v>
      </c>
      <c r="H47" s="168">
        <f>'ведом. 2023-2025'!AE27</f>
        <v>75.599999999999994</v>
      </c>
      <c r="I47" s="168">
        <f>'ведом. 2023-2025'!AF27</f>
        <v>75.599999999999994</v>
      </c>
      <c r="J47" s="497">
        <f>'ведом. 2023-2025'!AF27</f>
        <v>75.599999999999994</v>
      </c>
      <c r="K47" s="575">
        <f t="shared" si="3"/>
        <v>1</v>
      </c>
      <c r="L47" s="168">
        <v>75.599999999999994</v>
      </c>
      <c r="M47" s="580">
        <f t="shared" si="7"/>
        <v>1</v>
      </c>
      <c r="N47" s="161"/>
    </row>
    <row r="48" spans="1:14" s="188" customFormat="1" x14ac:dyDescent="0.25">
      <c r="A48" s="280" t="s">
        <v>193</v>
      </c>
      <c r="B48" s="209" t="s">
        <v>31</v>
      </c>
      <c r="C48" s="4" t="s">
        <v>51</v>
      </c>
      <c r="D48" s="163" t="s">
        <v>115</v>
      </c>
      <c r="E48" s="352"/>
      <c r="F48" s="168">
        <f>F49</f>
        <v>79715.3</v>
      </c>
      <c r="G48" s="327"/>
      <c r="H48" s="168">
        <f>H49</f>
        <v>82215.3</v>
      </c>
      <c r="I48" s="168"/>
      <c r="J48" s="497">
        <f t="shared" ref="J48" si="15">J49</f>
        <v>80305.7</v>
      </c>
      <c r="K48" s="575">
        <f t="shared" si="3"/>
        <v>0.97677317968796551</v>
      </c>
      <c r="L48" s="168"/>
      <c r="M48" s="580"/>
      <c r="N48" s="161"/>
    </row>
    <row r="49" spans="1:14" s="145" customFormat="1" x14ac:dyDescent="0.25">
      <c r="A49" s="280" t="s">
        <v>198</v>
      </c>
      <c r="B49" s="209" t="s">
        <v>31</v>
      </c>
      <c r="C49" s="4" t="s">
        <v>51</v>
      </c>
      <c r="D49" s="163" t="s">
        <v>199</v>
      </c>
      <c r="E49" s="352"/>
      <c r="F49" s="168">
        <f>F50+F63</f>
        <v>79715.3</v>
      </c>
      <c r="G49" s="327"/>
      <c r="H49" s="168">
        <f>H50+H63</f>
        <v>82215.3</v>
      </c>
      <c r="I49" s="168"/>
      <c r="J49" s="497">
        <f t="shared" ref="J49" si="16">J50+J63</f>
        <v>80305.7</v>
      </c>
      <c r="K49" s="575">
        <f t="shared" si="3"/>
        <v>0.97677317968796551</v>
      </c>
      <c r="L49" s="168"/>
      <c r="M49" s="580"/>
      <c r="N49" s="161"/>
    </row>
    <row r="50" spans="1:14" s="145" customFormat="1" ht="31.5" x14ac:dyDescent="0.25">
      <c r="A50" s="280" t="s">
        <v>200</v>
      </c>
      <c r="B50" s="209" t="s">
        <v>31</v>
      </c>
      <c r="C50" s="4" t="s">
        <v>51</v>
      </c>
      <c r="D50" s="163" t="s">
        <v>201</v>
      </c>
      <c r="E50" s="352"/>
      <c r="F50" s="168">
        <f>F51</f>
        <v>79645</v>
      </c>
      <c r="G50" s="327"/>
      <c r="H50" s="168">
        <f>H51</f>
        <v>82145</v>
      </c>
      <c r="I50" s="168"/>
      <c r="J50" s="497">
        <f>J51</f>
        <v>80235.399999999994</v>
      </c>
      <c r="K50" s="575">
        <f t="shared" si="3"/>
        <v>0.97675330208777156</v>
      </c>
      <c r="L50" s="168"/>
      <c r="M50" s="580"/>
      <c r="N50" s="161"/>
    </row>
    <row r="51" spans="1:14" s="145" customFormat="1" x14ac:dyDescent="0.25">
      <c r="A51" s="280" t="s">
        <v>204</v>
      </c>
      <c r="B51" s="209" t="s">
        <v>31</v>
      </c>
      <c r="C51" s="4" t="s">
        <v>51</v>
      </c>
      <c r="D51" s="163" t="s">
        <v>205</v>
      </c>
      <c r="E51" s="352"/>
      <c r="F51" s="168">
        <f>F52+F57+F60</f>
        <v>79645</v>
      </c>
      <c r="G51" s="327"/>
      <c r="H51" s="168">
        <f>H52+H57+H60</f>
        <v>82145</v>
      </c>
      <c r="I51" s="168"/>
      <c r="J51" s="497">
        <f>J52+J57+J60</f>
        <v>80235.399999999994</v>
      </c>
      <c r="K51" s="575">
        <f t="shared" si="3"/>
        <v>0.97675330208777156</v>
      </c>
      <c r="L51" s="168"/>
      <c r="M51" s="580"/>
      <c r="N51" s="161"/>
    </row>
    <row r="52" spans="1:14" s="145" customFormat="1" ht="31.5" x14ac:dyDescent="0.25">
      <c r="A52" s="415" t="s">
        <v>206</v>
      </c>
      <c r="B52" s="201" t="s">
        <v>31</v>
      </c>
      <c r="C52" s="205" t="s">
        <v>51</v>
      </c>
      <c r="D52" s="163" t="s">
        <v>207</v>
      </c>
      <c r="E52" s="352"/>
      <c r="F52" s="168">
        <f>F53+F55</f>
        <v>9587</v>
      </c>
      <c r="G52" s="168"/>
      <c r="H52" s="168">
        <f>H53+H55</f>
        <v>9587</v>
      </c>
      <c r="I52" s="168"/>
      <c r="J52" s="497">
        <f t="shared" ref="J52" si="17">J53+J55</f>
        <v>8368.4</v>
      </c>
      <c r="K52" s="575">
        <f t="shared" si="3"/>
        <v>0.87289037237926359</v>
      </c>
      <c r="L52" s="168"/>
      <c r="M52" s="580"/>
      <c r="N52" s="161"/>
    </row>
    <row r="53" spans="1:14" s="145" customFormat="1" x14ac:dyDescent="0.25">
      <c r="A53" s="401" t="s">
        <v>123</v>
      </c>
      <c r="B53" s="209" t="s">
        <v>31</v>
      </c>
      <c r="C53" s="4" t="s">
        <v>51</v>
      </c>
      <c r="D53" s="163" t="s">
        <v>207</v>
      </c>
      <c r="E53" s="352">
        <v>200</v>
      </c>
      <c r="F53" s="168">
        <f>F54</f>
        <v>9584</v>
      </c>
      <c r="G53" s="327"/>
      <c r="H53" s="168">
        <f>H54</f>
        <v>9584</v>
      </c>
      <c r="I53" s="168"/>
      <c r="J53" s="497">
        <f>J54</f>
        <v>8365.4</v>
      </c>
      <c r="K53" s="575">
        <f t="shared" si="3"/>
        <v>0.87285058430717855</v>
      </c>
      <c r="L53" s="168"/>
      <c r="M53" s="580"/>
      <c r="N53" s="161"/>
    </row>
    <row r="54" spans="1:14" s="145" customFormat="1" ht="31.5" x14ac:dyDescent="0.25">
      <c r="A54" s="401" t="s">
        <v>54</v>
      </c>
      <c r="B54" s="209" t="s">
        <v>31</v>
      </c>
      <c r="C54" s="4" t="s">
        <v>51</v>
      </c>
      <c r="D54" s="163" t="s">
        <v>207</v>
      </c>
      <c r="E54" s="352">
        <v>240</v>
      </c>
      <c r="F54" s="168">
        <f>'ведом. 2023-2025'!AD34</f>
        <v>9584</v>
      </c>
      <c r="G54" s="327"/>
      <c r="H54" s="168">
        <f>'ведом. 2023-2025'!AE34</f>
        <v>9584</v>
      </c>
      <c r="I54" s="168"/>
      <c r="J54" s="497">
        <f>'ведом. 2023-2025'!AF34</f>
        <v>8365.4</v>
      </c>
      <c r="K54" s="575">
        <f t="shared" si="3"/>
        <v>0.87285058430717855</v>
      </c>
      <c r="L54" s="168"/>
      <c r="M54" s="580"/>
      <c r="N54" s="161"/>
    </row>
    <row r="55" spans="1:14" s="188" customFormat="1" x14ac:dyDescent="0.25">
      <c r="A55" s="278" t="s">
        <v>44</v>
      </c>
      <c r="B55" s="209" t="s">
        <v>31</v>
      </c>
      <c r="C55" s="4" t="s">
        <v>51</v>
      </c>
      <c r="D55" s="163" t="s">
        <v>207</v>
      </c>
      <c r="E55" s="352">
        <v>800</v>
      </c>
      <c r="F55" s="168">
        <f>F56</f>
        <v>3</v>
      </c>
      <c r="G55" s="327"/>
      <c r="H55" s="168">
        <f>H56</f>
        <v>3</v>
      </c>
      <c r="I55" s="168"/>
      <c r="J55" s="497">
        <f t="shared" ref="J55" si="18">J56</f>
        <v>3</v>
      </c>
      <c r="K55" s="575">
        <f t="shared" si="3"/>
        <v>1</v>
      </c>
      <c r="L55" s="168"/>
      <c r="M55" s="580"/>
      <c r="N55" s="161"/>
    </row>
    <row r="56" spans="1:14" s="188" customFormat="1" x14ac:dyDescent="0.25">
      <c r="A56" s="278" t="s">
        <v>60</v>
      </c>
      <c r="B56" s="209" t="s">
        <v>31</v>
      </c>
      <c r="C56" s="4" t="s">
        <v>51</v>
      </c>
      <c r="D56" s="163" t="s">
        <v>207</v>
      </c>
      <c r="E56" s="352">
        <v>850</v>
      </c>
      <c r="F56" s="168">
        <f>'ведом. 2023-2025'!AD36</f>
        <v>3</v>
      </c>
      <c r="G56" s="327"/>
      <c r="H56" s="168">
        <f>'ведом. 2023-2025'!AE36</f>
        <v>3</v>
      </c>
      <c r="I56" s="168"/>
      <c r="J56" s="497">
        <f>'ведом. 2023-2025'!AF36</f>
        <v>3</v>
      </c>
      <c r="K56" s="575">
        <f t="shared" si="3"/>
        <v>1</v>
      </c>
      <c r="L56" s="168"/>
      <c r="M56" s="580"/>
      <c r="N56" s="161"/>
    </row>
    <row r="57" spans="1:14" s="145" customFormat="1" ht="31.5" x14ac:dyDescent="0.25">
      <c r="A57" s="401" t="s">
        <v>208</v>
      </c>
      <c r="B57" s="209" t="s">
        <v>31</v>
      </c>
      <c r="C57" s="4" t="s">
        <v>51</v>
      </c>
      <c r="D57" s="163" t="s">
        <v>209</v>
      </c>
      <c r="E57" s="351"/>
      <c r="F57" s="168">
        <f>F58</f>
        <v>21919</v>
      </c>
      <c r="G57" s="327"/>
      <c r="H57" s="168">
        <f>H58</f>
        <v>21919</v>
      </c>
      <c r="I57" s="168"/>
      <c r="J57" s="497">
        <f>J58</f>
        <v>21441.4</v>
      </c>
      <c r="K57" s="575">
        <f t="shared" si="3"/>
        <v>0.97821068479401441</v>
      </c>
      <c r="L57" s="168"/>
      <c r="M57" s="580"/>
      <c r="N57" s="161"/>
    </row>
    <row r="58" spans="1:14" s="145" customFormat="1" ht="47.25" x14ac:dyDescent="0.25">
      <c r="A58" s="401" t="s">
        <v>43</v>
      </c>
      <c r="B58" s="209" t="s">
        <v>31</v>
      </c>
      <c r="C58" s="4" t="s">
        <v>51</v>
      </c>
      <c r="D58" s="163" t="s">
        <v>209</v>
      </c>
      <c r="E58" s="351">
        <v>100</v>
      </c>
      <c r="F58" s="168">
        <f>F59</f>
        <v>21919</v>
      </c>
      <c r="G58" s="327"/>
      <c r="H58" s="168">
        <f>H59</f>
        <v>21919</v>
      </c>
      <c r="I58" s="168"/>
      <c r="J58" s="497">
        <f>J59</f>
        <v>21441.4</v>
      </c>
      <c r="K58" s="575">
        <f t="shared" si="3"/>
        <v>0.97821068479401441</v>
      </c>
      <c r="L58" s="168"/>
      <c r="M58" s="580"/>
      <c r="N58" s="161"/>
    </row>
    <row r="59" spans="1:14" s="145" customFormat="1" x14ac:dyDescent="0.25">
      <c r="A59" s="401" t="s">
        <v>99</v>
      </c>
      <c r="B59" s="209" t="s">
        <v>31</v>
      </c>
      <c r="C59" s="4" t="s">
        <v>51</v>
      </c>
      <c r="D59" s="163" t="s">
        <v>209</v>
      </c>
      <c r="E59" s="352">
        <v>120</v>
      </c>
      <c r="F59" s="168">
        <f>'ведом. 2023-2025'!AD39</f>
        <v>21919</v>
      </c>
      <c r="G59" s="327"/>
      <c r="H59" s="168">
        <f>'ведом. 2023-2025'!AE39</f>
        <v>21919</v>
      </c>
      <c r="I59" s="168"/>
      <c r="J59" s="497">
        <f>'ведом. 2023-2025'!AF39</f>
        <v>21441.4</v>
      </c>
      <c r="K59" s="575">
        <f t="shared" si="3"/>
        <v>0.97821068479401441</v>
      </c>
      <c r="L59" s="168"/>
      <c r="M59" s="580"/>
      <c r="N59" s="161"/>
    </row>
    <row r="60" spans="1:14" s="145" customFormat="1" ht="31.5" x14ac:dyDescent="0.25">
      <c r="A60" s="401" t="s">
        <v>210</v>
      </c>
      <c r="B60" s="209" t="s">
        <v>31</v>
      </c>
      <c r="C60" s="4" t="s">
        <v>51</v>
      </c>
      <c r="D60" s="163" t="s">
        <v>211</v>
      </c>
      <c r="E60" s="351"/>
      <c r="F60" s="168">
        <f>F61</f>
        <v>48139</v>
      </c>
      <c r="G60" s="327"/>
      <c r="H60" s="168">
        <f>H61</f>
        <v>50639</v>
      </c>
      <c r="I60" s="168"/>
      <c r="J60" s="497">
        <f>J61</f>
        <v>50425.599999999999</v>
      </c>
      <c r="K60" s="575">
        <f t="shared" si="3"/>
        <v>0.99578585675072573</v>
      </c>
      <c r="L60" s="168"/>
      <c r="M60" s="580"/>
      <c r="N60" s="161"/>
    </row>
    <row r="61" spans="1:14" s="145" customFormat="1" ht="47.25" x14ac:dyDescent="0.25">
      <c r="A61" s="401" t="s">
        <v>43</v>
      </c>
      <c r="B61" s="209" t="s">
        <v>31</v>
      </c>
      <c r="C61" s="4" t="s">
        <v>51</v>
      </c>
      <c r="D61" s="163" t="s">
        <v>211</v>
      </c>
      <c r="E61" s="351">
        <v>100</v>
      </c>
      <c r="F61" s="168">
        <f>F62</f>
        <v>48139</v>
      </c>
      <c r="G61" s="327"/>
      <c r="H61" s="168">
        <f>H62</f>
        <v>50639</v>
      </c>
      <c r="I61" s="168"/>
      <c r="J61" s="497">
        <f>J62</f>
        <v>50425.599999999999</v>
      </c>
      <c r="K61" s="575">
        <f t="shared" si="3"/>
        <v>0.99578585675072573</v>
      </c>
      <c r="L61" s="168"/>
      <c r="M61" s="580"/>
      <c r="N61" s="161"/>
    </row>
    <row r="62" spans="1:14" s="145" customFormat="1" x14ac:dyDescent="0.25">
      <c r="A62" s="401" t="s">
        <v>99</v>
      </c>
      <c r="B62" s="209" t="s">
        <v>31</v>
      </c>
      <c r="C62" s="4" t="s">
        <v>51</v>
      </c>
      <c r="D62" s="163" t="s">
        <v>211</v>
      </c>
      <c r="E62" s="352">
        <v>120</v>
      </c>
      <c r="F62" s="168">
        <f>'ведом. 2023-2025'!AD42</f>
        <v>48139</v>
      </c>
      <c r="G62" s="327"/>
      <c r="H62" s="168">
        <f>'ведом. 2023-2025'!AE42</f>
        <v>50639</v>
      </c>
      <c r="I62" s="168"/>
      <c r="J62" s="497">
        <f>'ведом. 2023-2025'!AF42</f>
        <v>50425.599999999999</v>
      </c>
      <c r="K62" s="575">
        <f t="shared" si="3"/>
        <v>0.99578585675072573</v>
      </c>
      <c r="L62" s="168"/>
      <c r="M62" s="580"/>
      <c r="N62" s="161"/>
    </row>
    <row r="63" spans="1:14" s="188" customFormat="1" ht="31.5" x14ac:dyDescent="0.25">
      <c r="A63" s="278" t="s">
        <v>615</v>
      </c>
      <c r="B63" s="209" t="s">
        <v>31</v>
      </c>
      <c r="C63" s="4" t="s">
        <v>51</v>
      </c>
      <c r="D63" s="306" t="s">
        <v>616</v>
      </c>
      <c r="E63" s="352"/>
      <c r="F63" s="168">
        <f>F64</f>
        <v>70.3</v>
      </c>
      <c r="G63" s="327"/>
      <c r="H63" s="168">
        <f>H64</f>
        <v>70.3</v>
      </c>
      <c r="I63" s="168"/>
      <c r="J63" s="497">
        <f t="shared" ref="J63:J64" si="19">J64</f>
        <v>70.3</v>
      </c>
      <c r="K63" s="575">
        <f t="shared" si="3"/>
        <v>1</v>
      </c>
      <c r="L63" s="168"/>
      <c r="M63" s="580"/>
      <c r="N63" s="161"/>
    </row>
    <row r="64" spans="1:14" s="188" customFormat="1" ht="78.75" x14ac:dyDescent="0.25">
      <c r="A64" s="278" t="s">
        <v>449</v>
      </c>
      <c r="B64" s="209" t="s">
        <v>31</v>
      </c>
      <c r="C64" s="4" t="s">
        <v>51</v>
      </c>
      <c r="D64" s="163" t="s">
        <v>617</v>
      </c>
      <c r="E64" s="352"/>
      <c r="F64" s="168">
        <f>F65</f>
        <v>70.3</v>
      </c>
      <c r="G64" s="327"/>
      <c r="H64" s="168">
        <f>H65</f>
        <v>70.3</v>
      </c>
      <c r="I64" s="168"/>
      <c r="J64" s="497">
        <f t="shared" si="19"/>
        <v>70.3</v>
      </c>
      <c r="K64" s="575">
        <f t="shared" si="3"/>
        <v>1</v>
      </c>
      <c r="L64" s="168"/>
      <c r="M64" s="580"/>
      <c r="N64" s="161"/>
    </row>
    <row r="65" spans="1:14" s="188" customFormat="1" x14ac:dyDescent="0.25">
      <c r="A65" s="278" t="s">
        <v>123</v>
      </c>
      <c r="B65" s="209" t="s">
        <v>31</v>
      </c>
      <c r="C65" s="4" t="s">
        <v>51</v>
      </c>
      <c r="D65" s="163" t="s">
        <v>617</v>
      </c>
      <c r="E65" s="352">
        <v>200</v>
      </c>
      <c r="F65" s="168">
        <f>F66</f>
        <v>70.3</v>
      </c>
      <c r="G65" s="327"/>
      <c r="H65" s="168">
        <f>H66</f>
        <v>70.3</v>
      </c>
      <c r="I65" s="168"/>
      <c r="J65" s="497">
        <f>J66</f>
        <v>70.3</v>
      </c>
      <c r="K65" s="575">
        <f t="shared" si="3"/>
        <v>1</v>
      </c>
      <c r="L65" s="168"/>
      <c r="M65" s="580"/>
      <c r="N65" s="161"/>
    </row>
    <row r="66" spans="1:14" s="188" customFormat="1" ht="31.5" x14ac:dyDescent="0.25">
      <c r="A66" s="278" t="s">
        <v>54</v>
      </c>
      <c r="B66" s="209" t="s">
        <v>31</v>
      </c>
      <c r="C66" s="4" t="s">
        <v>51</v>
      </c>
      <c r="D66" s="163" t="s">
        <v>617</v>
      </c>
      <c r="E66" s="352">
        <v>240</v>
      </c>
      <c r="F66" s="168">
        <f>'ведом. 2023-2025'!AD46</f>
        <v>70.3</v>
      </c>
      <c r="G66" s="327"/>
      <c r="H66" s="168">
        <f>'ведом. 2023-2025'!AE46</f>
        <v>70.3</v>
      </c>
      <c r="I66" s="168"/>
      <c r="J66" s="497">
        <f>'ведом. 2023-2025'!AF46</f>
        <v>70.3</v>
      </c>
      <c r="K66" s="575">
        <f t="shared" si="3"/>
        <v>1</v>
      </c>
      <c r="L66" s="168"/>
      <c r="M66" s="580"/>
      <c r="N66" s="161"/>
    </row>
    <row r="67" spans="1:14" s="145" customFormat="1" ht="31.5" x14ac:dyDescent="0.25">
      <c r="A67" s="280" t="s">
        <v>315</v>
      </c>
      <c r="B67" s="209" t="s">
        <v>31</v>
      </c>
      <c r="C67" s="4" t="s">
        <v>51</v>
      </c>
      <c r="D67" s="163" t="s">
        <v>134</v>
      </c>
      <c r="E67" s="352"/>
      <c r="F67" s="168">
        <f>F68</f>
        <v>7885.9</v>
      </c>
      <c r="G67" s="327"/>
      <c r="H67" s="168">
        <f>H68</f>
        <v>7885.9</v>
      </c>
      <c r="I67" s="168"/>
      <c r="J67" s="497">
        <f>J68</f>
        <v>7837.2</v>
      </c>
      <c r="K67" s="575">
        <f t="shared" si="3"/>
        <v>0.99382442080168409</v>
      </c>
      <c r="L67" s="168"/>
      <c r="M67" s="580"/>
      <c r="N67" s="161"/>
    </row>
    <row r="68" spans="1:14" s="145" customFormat="1" ht="47.25" x14ac:dyDescent="0.25">
      <c r="A68" s="280" t="s">
        <v>316</v>
      </c>
      <c r="B68" s="209" t="s">
        <v>31</v>
      </c>
      <c r="C68" s="4" t="s">
        <v>51</v>
      </c>
      <c r="D68" s="163" t="s">
        <v>317</v>
      </c>
      <c r="E68" s="352"/>
      <c r="F68" s="168">
        <f>F69</f>
        <v>7885.9</v>
      </c>
      <c r="G68" s="327"/>
      <c r="H68" s="168">
        <f>H69</f>
        <v>7885.9</v>
      </c>
      <c r="I68" s="168"/>
      <c r="J68" s="497">
        <f>J69</f>
        <v>7837.2</v>
      </c>
      <c r="K68" s="575">
        <f t="shared" si="3"/>
        <v>0.99382442080168409</v>
      </c>
      <c r="L68" s="168"/>
      <c r="M68" s="580"/>
      <c r="N68" s="161"/>
    </row>
    <row r="69" spans="1:14" s="145" customFormat="1" ht="31.5" x14ac:dyDescent="0.25">
      <c r="A69" s="302" t="s">
        <v>318</v>
      </c>
      <c r="B69" s="209" t="s">
        <v>31</v>
      </c>
      <c r="C69" s="4" t="s">
        <v>51</v>
      </c>
      <c r="D69" s="163" t="s">
        <v>319</v>
      </c>
      <c r="E69" s="352"/>
      <c r="F69" s="168">
        <f>F70</f>
        <v>7885.9</v>
      </c>
      <c r="G69" s="327"/>
      <c r="H69" s="168">
        <f>H70</f>
        <v>7885.9</v>
      </c>
      <c r="I69" s="168"/>
      <c r="J69" s="497">
        <f>J70</f>
        <v>7837.2</v>
      </c>
      <c r="K69" s="575">
        <f t="shared" si="3"/>
        <v>0.99382442080168409</v>
      </c>
      <c r="L69" s="168"/>
      <c r="M69" s="580"/>
      <c r="N69" s="161"/>
    </row>
    <row r="70" spans="1:14" s="145" customFormat="1" ht="94.5" x14ac:dyDescent="0.25">
      <c r="A70" s="302" t="s">
        <v>375</v>
      </c>
      <c r="B70" s="209" t="s">
        <v>31</v>
      </c>
      <c r="C70" s="4" t="s">
        <v>51</v>
      </c>
      <c r="D70" s="306" t="s">
        <v>320</v>
      </c>
      <c r="E70" s="352"/>
      <c r="F70" s="168">
        <f>F71</f>
        <v>7885.9</v>
      </c>
      <c r="G70" s="327"/>
      <c r="H70" s="168">
        <f>H71</f>
        <v>7885.9</v>
      </c>
      <c r="I70" s="168"/>
      <c r="J70" s="497">
        <f>J71</f>
        <v>7837.2</v>
      </c>
      <c r="K70" s="575">
        <f t="shared" si="3"/>
        <v>0.99382442080168409</v>
      </c>
      <c r="L70" s="168"/>
      <c r="M70" s="580"/>
      <c r="N70" s="161"/>
    </row>
    <row r="71" spans="1:14" s="145" customFormat="1" x14ac:dyDescent="0.25">
      <c r="A71" s="401" t="s">
        <v>123</v>
      </c>
      <c r="B71" s="209" t="s">
        <v>31</v>
      </c>
      <c r="C71" s="4" t="s">
        <v>51</v>
      </c>
      <c r="D71" s="306" t="s">
        <v>320</v>
      </c>
      <c r="E71" s="352">
        <v>200</v>
      </c>
      <c r="F71" s="168">
        <f>F72</f>
        <v>7885.9</v>
      </c>
      <c r="G71" s="327"/>
      <c r="H71" s="168">
        <f>H72</f>
        <v>7885.9</v>
      </c>
      <c r="I71" s="168"/>
      <c r="J71" s="497">
        <f>J72</f>
        <v>7837.2</v>
      </c>
      <c r="K71" s="575">
        <f t="shared" si="3"/>
        <v>0.99382442080168409</v>
      </c>
      <c r="L71" s="168"/>
      <c r="M71" s="580"/>
      <c r="N71" s="161"/>
    </row>
    <row r="72" spans="1:14" s="145" customFormat="1" ht="31.5" x14ac:dyDescent="0.25">
      <c r="A72" s="401" t="s">
        <v>54</v>
      </c>
      <c r="B72" s="209" t="s">
        <v>31</v>
      </c>
      <c r="C72" s="4" t="s">
        <v>51</v>
      </c>
      <c r="D72" s="306" t="s">
        <v>320</v>
      </c>
      <c r="E72" s="352">
        <v>240</v>
      </c>
      <c r="F72" s="168">
        <f>'ведом. 2023-2025'!AD52</f>
        <v>7885.9</v>
      </c>
      <c r="G72" s="327"/>
      <c r="H72" s="168">
        <f>'ведом. 2023-2025'!AE52</f>
        <v>7885.9</v>
      </c>
      <c r="I72" s="168"/>
      <c r="J72" s="497">
        <f>'ведом. 2023-2025'!AF52</f>
        <v>7837.2</v>
      </c>
      <c r="K72" s="575">
        <f t="shared" si="3"/>
        <v>0.99382442080168409</v>
      </c>
      <c r="L72" s="168"/>
      <c r="M72" s="580"/>
      <c r="N72" s="161"/>
    </row>
    <row r="73" spans="1:14" s="188" customFormat="1" x14ac:dyDescent="0.25">
      <c r="A73" s="284" t="s">
        <v>245</v>
      </c>
      <c r="B73" s="1" t="s">
        <v>31</v>
      </c>
      <c r="C73" s="4" t="s">
        <v>51</v>
      </c>
      <c r="D73" s="326" t="s">
        <v>246</v>
      </c>
      <c r="E73" s="352"/>
      <c r="F73" s="168">
        <f>F74</f>
        <v>2102</v>
      </c>
      <c r="G73" s="168">
        <f t="shared" ref="G73:J73" si="20">G74</f>
        <v>1802</v>
      </c>
      <c r="H73" s="168">
        <f>H74</f>
        <v>2102</v>
      </c>
      <c r="I73" s="168">
        <f t="shared" si="20"/>
        <v>1802</v>
      </c>
      <c r="J73" s="497">
        <f t="shared" si="20"/>
        <v>2102</v>
      </c>
      <c r="K73" s="575">
        <f t="shared" si="3"/>
        <v>1</v>
      </c>
      <c r="L73" s="168">
        <f>L74</f>
        <v>1802</v>
      </c>
      <c r="M73" s="580">
        <f t="shared" si="7"/>
        <v>1</v>
      </c>
      <c r="N73" s="161"/>
    </row>
    <row r="74" spans="1:14" s="188" customFormat="1" x14ac:dyDescent="0.25">
      <c r="A74" s="484" t="s">
        <v>725</v>
      </c>
      <c r="B74" s="1" t="s">
        <v>31</v>
      </c>
      <c r="C74" s="4" t="s">
        <v>51</v>
      </c>
      <c r="D74" s="326" t="s">
        <v>726</v>
      </c>
      <c r="E74" s="309"/>
      <c r="F74" s="168">
        <f>F79+F75</f>
        <v>2102</v>
      </c>
      <c r="G74" s="168">
        <f t="shared" ref="G74:J74" si="21">G79+G75</f>
        <v>1802</v>
      </c>
      <c r="H74" s="168">
        <f>H79+H75</f>
        <v>2102</v>
      </c>
      <c r="I74" s="168">
        <f t="shared" ref="I74" si="22">I79+I75</f>
        <v>1802</v>
      </c>
      <c r="J74" s="497">
        <f t="shared" si="21"/>
        <v>2102</v>
      </c>
      <c r="K74" s="575">
        <f t="shared" si="3"/>
        <v>1</v>
      </c>
      <c r="L74" s="168">
        <f>L79+L75</f>
        <v>1802</v>
      </c>
      <c r="M74" s="580">
        <f t="shared" si="7"/>
        <v>1</v>
      </c>
      <c r="N74" s="161"/>
    </row>
    <row r="75" spans="1:14" s="188" customFormat="1" ht="31.5" x14ac:dyDescent="0.25">
      <c r="A75" s="486" t="s">
        <v>734</v>
      </c>
      <c r="B75" s="209" t="s">
        <v>31</v>
      </c>
      <c r="C75" s="4" t="s">
        <v>51</v>
      </c>
      <c r="D75" s="326" t="s">
        <v>732</v>
      </c>
      <c r="E75" s="309"/>
      <c r="F75" s="168">
        <f>F76</f>
        <v>300</v>
      </c>
      <c r="G75" s="168"/>
      <c r="H75" s="168">
        <f>H76</f>
        <v>300</v>
      </c>
      <c r="I75" s="168"/>
      <c r="J75" s="497">
        <f t="shared" ref="J75:J77" si="23">J76</f>
        <v>300</v>
      </c>
      <c r="K75" s="575">
        <f t="shared" si="3"/>
        <v>1</v>
      </c>
      <c r="L75" s="168"/>
      <c r="M75" s="580"/>
      <c r="N75" s="161"/>
    </row>
    <row r="76" spans="1:14" s="188" customFormat="1" x14ac:dyDescent="0.25">
      <c r="A76" s="485" t="s">
        <v>277</v>
      </c>
      <c r="B76" s="209" t="s">
        <v>31</v>
      </c>
      <c r="C76" s="4" t="s">
        <v>51</v>
      </c>
      <c r="D76" s="326" t="s">
        <v>733</v>
      </c>
      <c r="E76" s="309"/>
      <c r="F76" s="168">
        <f>F77</f>
        <v>300</v>
      </c>
      <c r="G76" s="168"/>
      <c r="H76" s="168">
        <f>H77</f>
        <v>300</v>
      </c>
      <c r="I76" s="168"/>
      <c r="J76" s="497">
        <f t="shared" si="23"/>
        <v>300</v>
      </c>
      <c r="K76" s="575">
        <f t="shared" si="3"/>
        <v>1</v>
      </c>
      <c r="L76" s="168"/>
      <c r="M76" s="580"/>
      <c r="N76" s="161"/>
    </row>
    <row r="77" spans="1:14" s="188" customFormat="1" x14ac:dyDescent="0.25">
      <c r="A77" s="278" t="s">
        <v>123</v>
      </c>
      <c r="B77" s="1" t="s">
        <v>31</v>
      </c>
      <c r="C77" s="4" t="s">
        <v>51</v>
      </c>
      <c r="D77" s="326" t="s">
        <v>733</v>
      </c>
      <c r="E77" s="309">
        <v>200</v>
      </c>
      <c r="F77" s="168">
        <f>F78</f>
        <v>300</v>
      </c>
      <c r="G77" s="168"/>
      <c r="H77" s="168">
        <f>H78</f>
        <v>300</v>
      </c>
      <c r="I77" s="168"/>
      <c r="J77" s="497">
        <f t="shared" si="23"/>
        <v>300</v>
      </c>
      <c r="K77" s="575">
        <f t="shared" si="3"/>
        <v>1</v>
      </c>
      <c r="L77" s="168"/>
      <c r="M77" s="580"/>
      <c r="N77" s="161"/>
    </row>
    <row r="78" spans="1:14" s="188" customFormat="1" ht="31.5" x14ac:dyDescent="0.25">
      <c r="A78" s="278" t="s">
        <v>54</v>
      </c>
      <c r="B78" s="1" t="s">
        <v>31</v>
      </c>
      <c r="C78" s="4" t="s">
        <v>51</v>
      </c>
      <c r="D78" s="326" t="s">
        <v>733</v>
      </c>
      <c r="E78" s="309">
        <v>240</v>
      </c>
      <c r="F78" s="168">
        <f>'ведом. 2023-2025'!AD58</f>
        <v>300</v>
      </c>
      <c r="G78" s="168"/>
      <c r="H78" s="168">
        <f>'ведом. 2023-2025'!AE58</f>
        <v>300</v>
      </c>
      <c r="I78" s="168"/>
      <c r="J78" s="497">
        <f>'ведом. 2023-2025'!AF58</f>
        <v>300</v>
      </c>
      <c r="K78" s="575">
        <f t="shared" ref="K78:K142" si="24">J78/H78</f>
        <v>1</v>
      </c>
      <c r="L78" s="168"/>
      <c r="M78" s="580"/>
      <c r="N78" s="161"/>
    </row>
    <row r="79" spans="1:14" s="188" customFormat="1" ht="47.25" x14ac:dyDescent="0.25">
      <c r="A79" s="278" t="s">
        <v>727</v>
      </c>
      <c r="B79" s="1" t="s">
        <v>31</v>
      </c>
      <c r="C79" s="4" t="s">
        <v>51</v>
      </c>
      <c r="D79" s="326" t="s">
        <v>728</v>
      </c>
      <c r="E79" s="309"/>
      <c r="F79" s="168">
        <f>F80</f>
        <v>1802</v>
      </c>
      <c r="G79" s="168">
        <f t="shared" ref="G79:J81" si="25">G80</f>
        <v>1802</v>
      </c>
      <c r="H79" s="168">
        <f t="shared" ref="H79:I81" si="26">H80</f>
        <v>1802</v>
      </c>
      <c r="I79" s="168">
        <f t="shared" si="26"/>
        <v>1802</v>
      </c>
      <c r="J79" s="497">
        <f t="shared" si="25"/>
        <v>1802</v>
      </c>
      <c r="K79" s="575">
        <f t="shared" si="24"/>
        <v>1</v>
      </c>
      <c r="L79" s="168">
        <f>L80</f>
        <v>1802</v>
      </c>
      <c r="M79" s="580">
        <f t="shared" ref="M79:M90" si="27">L79/I79</f>
        <v>1</v>
      </c>
      <c r="N79" s="161"/>
    </row>
    <row r="80" spans="1:14" s="188" customFormat="1" ht="47.25" x14ac:dyDescent="0.25">
      <c r="A80" s="281" t="s">
        <v>637</v>
      </c>
      <c r="B80" s="1" t="s">
        <v>31</v>
      </c>
      <c r="C80" s="4" t="s">
        <v>51</v>
      </c>
      <c r="D80" s="326" t="s">
        <v>729</v>
      </c>
      <c r="E80" s="311"/>
      <c r="F80" s="168">
        <f>F81</f>
        <v>1802</v>
      </c>
      <c r="G80" s="168">
        <f t="shared" si="25"/>
        <v>1802</v>
      </c>
      <c r="H80" s="168">
        <f t="shared" si="26"/>
        <v>1802</v>
      </c>
      <c r="I80" s="168">
        <f t="shared" si="26"/>
        <v>1802</v>
      </c>
      <c r="J80" s="497">
        <f>J81</f>
        <v>1802</v>
      </c>
      <c r="K80" s="575">
        <f t="shared" si="24"/>
        <v>1</v>
      </c>
      <c r="L80" s="168">
        <f>L81</f>
        <v>1802</v>
      </c>
      <c r="M80" s="580">
        <f t="shared" si="27"/>
        <v>1</v>
      </c>
      <c r="N80" s="161"/>
    </row>
    <row r="81" spans="1:14" s="188" customFormat="1" ht="47.25" x14ac:dyDescent="0.25">
      <c r="A81" s="278" t="s">
        <v>43</v>
      </c>
      <c r="B81" s="1" t="s">
        <v>31</v>
      </c>
      <c r="C81" s="4" t="s">
        <v>51</v>
      </c>
      <c r="D81" s="326" t="s">
        <v>729</v>
      </c>
      <c r="E81" s="311">
        <v>100</v>
      </c>
      <c r="F81" s="168">
        <f>F82</f>
        <v>1802</v>
      </c>
      <c r="G81" s="168">
        <f t="shared" si="25"/>
        <v>1802</v>
      </c>
      <c r="H81" s="168">
        <f t="shared" si="26"/>
        <v>1802</v>
      </c>
      <c r="I81" s="168">
        <f t="shared" si="26"/>
        <v>1802</v>
      </c>
      <c r="J81" s="497">
        <f t="shared" si="25"/>
        <v>1802</v>
      </c>
      <c r="K81" s="575">
        <f t="shared" si="24"/>
        <v>1</v>
      </c>
      <c r="L81" s="168">
        <f>L82</f>
        <v>1802</v>
      </c>
      <c r="M81" s="580">
        <f t="shared" si="27"/>
        <v>1</v>
      </c>
      <c r="N81" s="161"/>
    </row>
    <row r="82" spans="1:14" s="188" customFormat="1" x14ac:dyDescent="0.25">
      <c r="A82" s="278" t="s">
        <v>99</v>
      </c>
      <c r="B82" s="1" t="s">
        <v>31</v>
      </c>
      <c r="C82" s="4" t="s">
        <v>51</v>
      </c>
      <c r="D82" s="326" t="s">
        <v>729</v>
      </c>
      <c r="E82" s="311">
        <v>120</v>
      </c>
      <c r="F82" s="168">
        <f>'ведом. 2023-2025'!AD62</f>
        <v>1802</v>
      </c>
      <c r="G82" s="168">
        <f>F82</f>
        <v>1802</v>
      </c>
      <c r="H82" s="168">
        <f>'ведом. 2023-2025'!AE62</f>
        <v>1802</v>
      </c>
      <c r="I82" s="168">
        <f>'ведом. 2023-2025'!AF62</f>
        <v>1802</v>
      </c>
      <c r="J82" s="497">
        <f>'ведом. 2023-2025'!AF62</f>
        <v>1802</v>
      </c>
      <c r="K82" s="575">
        <f t="shared" si="24"/>
        <v>1</v>
      </c>
      <c r="L82" s="168">
        <v>1802</v>
      </c>
      <c r="M82" s="580">
        <f t="shared" si="27"/>
        <v>1</v>
      </c>
      <c r="N82" s="161"/>
    </row>
    <row r="83" spans="1:14" s="188" customFormat="1" x14ac:dyDescent="0.25">
      <c r="A83" s="280" t="s">
        <v>263</v>
      </c>
      <c r="B83" s="209" t="s">
        <v>31</v>
      </c>
      <c r="C83" s="4" t="s">
        <v>51</v>
      </c>
      <c r="D83" s="163" t="s">
        <v>264</v>
      </c>
      <c r="E83" s="352"/>
      <c r="F83" s="168">
        <f>F84</f>
        <v>198.99999999999997</v>
      </c>
      <c r="G83" s="327">
        <f t="shared" ref="G83:L83" si="28">G84</f>
        <v>198.99999999999997</v>
      </c>
      <c r="H83" s="168">
        <f>H84</f>
        <v>198.99999999999997</v>
      </c>
      <c r="I83" s="327">
        <f t="shared" si="28"/>
        <v>198.99999999999997</v>
      </c>
      <c r="J83" s="497">
        <f t="shared" si="28"/>
        <v>199</v>
      </c>
      <c r="K83" s="575">
        <f t="shared" si="24"/>
        <v>1.0000000000000002</v>
      </c>
      <c r="L83" s="168">
        <f t="shared" si="28"/>
        <v>199</v>
      </c>
      <c r="M83" s="580">
        <f t="shared" si="27"/>
        <v>1.0000000000000002</v>
      </c>
      <c r="N83" s="161"/>
    </row>
    <row r="84" spans="1:14" s="188" customFormat="1" x14ac:dyDescent="0.25">
      <c r="A84" s="280" t="s">
        <v>417</v>
      </c>
      <c r="B84" s="209" t="s">
        <v>31</v>
      </c>
      <c r="C84" s="4" t="s">
        <v>51</v>
      </c>
      <c r="D84" s="163" t="s">
        <v>265</v>
      </c>
      <c r="E84" s="352"/>
      <c r="F84" s="168">
        <f>F85</f>
        <v>198.99999999999997</v>
      </c>
      <c r="G84" s="327">
        <f t="shared" ref="G84:L84" si="29">G85</f>
        <v>198.99999999999997</v>
      </c>
      <c r="H84" s="168">
        <f>H85</f>
        <v>198.99999999999997</v>
      </c>
      <c r="I84" s="327">
        <f t="shared" si="29"/>
        <v>198.99999999999997</v>
      </c>
      <c r="J84" s="497">
        <f t="shared" si="29"/>
        <v>199</v>
      </c>
      <c r="K84" s="575">
        <f t="shared" si="24"/>
        <v>1.0000000000000002</v>
      </c>
      <c r="L84" s="168">
        <f t="shared" si="29"/>
        <v>199</v>
      </c>
      <c r="M84" s="580">
        <f t="shared" si="27"/>
        <v>1.0000000000000002</v>
      </c>
      <c r="N84" s="161"/>
    </row>
    <row r="85" spans="1:14" s="188" customFormat="1" ht="47.25" x14ac:dyDescent="0.25">
      <c r="A85" s="280" t="s">
        <v>622</v>
      </c>
      <c r="B85" s="209" t="s">
        <v>31</v>
      </c>
      <c r="C85" s="4" t="s">
        <v>51</v>
      </c>
      <c r="D85" s="163" t="s">
        <v>495</v>
      </c>
      <c r="E85" s="352"/>
      <c r="F85" s="168">
        <f>F86</f>
        <v>198.99999999999997</v>
      </c>
      <c r="G85" s="327">
        <f t="shared" ref="G85:L85" si="30">G86</f>
        <v>198.99999999999997</v>
      </c>
      <c r="H85" s="168">
        <f>H86</f>
        <v>198.99999999999997</v>
      </c>
      <c r="I85" s="327">
        <f t="shared" si="30"/>
        <v>198.99999999999997</v>
      </c>
      <c r="J85" s="497">
        <f t="shared" si="30"/>
        <v>199</v>
      </c>
      <c r="K85" s="575">
        <f t="shared" si="24"/>
        <v>1.0000000000000002</v>
      </c>
      <c r="L85" s="168">
        <f t="shared" si="30"/>
        <v>199</v>
      </c>
      <c r="M85" s="580">
        <f t="shared" si="27"/>
        <v>1.0000000000000002</v>
      </c>
      <c r="N85" s="161"/>
    </row>
    <row r="86" spans="1:14" s="188" customFormat="1" ht="31.5" x14ac:dyDescent="0.25">
      <c r="A86" s="280" t="s">
        <v>497</v>
      </c>
      <c r="B86" s="209" t="s">
        <v>31</v>
      </c>
      <c r="C86" s="4" t="s">
        <v>51</v>
      </c>
      <c r="D86" s="163" t="s">
        <v>496</v>
      </c>
      <c r="E86" s="352"/>
      <c r="F86" s="168">
        <f>F87+F89</f>
        <v>198.99999999999997</v>
      </c>
      <c r="G86" s="327">
        <f t="shared" ref="G86:J86" si="31">G87+G89</f>
        <v>198.99999999999997</v>
      </c>
      <c r="H86" s="168">
        <f>H87+H89</f>
        <v>198.99999999999997</v>
      </c>
      <c r="I86" s="327">
        <f t="shared" ref="I86" si="32">I87+I89</f>
        <v>198.99999999999997</v>
      </c>
      <c r="J86" s="497">
        <f t="shared" si="31"/>
        <v>199</v>
      </c>
      <c r="K86" s="575">
        <f t="shared" si="24"/>
        <v>1.0000000000000002</v>
      </c>
      <c r="L86" s="168">
        <f t="shared" ref="L86" si="33">L87+L89</f>
        <v>199</v>
      </c>
      <c r="M86" s="580">
        <f t="shared" si="27"/>
        <v>1.0000000000000002</v>
      </c>
      <c r="N86" s="161"/>
    </row>
    <row r="87" spans="1:14" s="188" customFormat="1" ht="47.25" x14ac:dyDescent="0.25">
      <c r="A87" s="278" t="s">
        <v>43</v>
      </c>
      <c r="B87" s="209" t="s">
        <v>31</v>
      </c>
      <c r="C87" s="4" t="s">
        <v>51</v>
      </c>
      <c r="D87" s="163" t="s">
        <v>496</v>
      </c>
      <c r="E87" s="352">
        <v>100</v>
      </c>
      <c r="F87" s="168">
        <f>F88</f>
        <v>187.09999999999997</v>
      </c>
      <c r="G87" s="327">
        <f t="shared" ref="G87:L87" si="34">G88</f>
        <v>187.09999999999997</v>
      </c>
      <c r="H87" s="168">
        <f>H88</f>
        <v>187.09999999999997</v>
      </c>
      <c r="I87" s="327">
        <f t="shared" si="34"/>
        <v>187.09999999999997</v>
      </c>
      <c r="J87" s="497">
        <f t="shared" si="34"/>
        <v>187.1</v>
      </c>
      <c r="K87" s="575">
        <f t="shared" si="24"/>
        <v>1.0000000000000002</v>
      </c>
      <c r="L87" s="168">
        <f t="shared" si="34"/>
        <v>187.1</v>
      </c>
      <c r="M87" s="580">
        <f t="shared" si="27"/>
        <v>1.0000000000000002</v>
      </c>
      <c r="N87" s="161"/>
    </row>
    <row r="88" spans="1:14" s="188" customFormat="1" x14ac:dyDescent="0.25">
      <c r="A88" s="278" t="s">
        <v>99</v>
      </c>
      <c r="B88" s="209" t="s">
        <v>31</v>
      </c>
      <c r="C88" s="4" t="s">
        <v>51</v>
      </c>
      <c r="D88" s="163" t="s">
        <v>496</v>
      </c>
      <c r="E88" s="352">
        <v>120</v>
      </c>
      <c r="F88" s="168">
        <f>'ведом. 2023-2025'!AD68</f>
        <v>187.09999999999997</v>
      </c>
      <c r="G88" s="327">
        <f>F88</f>
        <v>187.09999999999997</v>
      </c>
      <c r="H88" s="168">
        <f>'ведом. 2023-2025'!AE68</f>
        <v>187.09999999999997</v>
      </c>
      <c r="I88" s="327">
        <f>H88</f>
        <v>187.09999999999997</v>
      </c>
      <c r="J88" s="497">
        <f>'ведом. 2023-2025'!AF68</f>
        <v>187.1</v>
      </c>
      <c r="K88" s="575">
        <f t="shared" si="24"/>
        <v>1.0000000000000002</v>
      </c>
      <c r="L88" s="168">
        <f>J88</f>
        <v>187.1</v>
      </c>
      <c r="M88" s="580">
        <f t="shared" si="27"/>
        <v>1.0000000000000002</v>
      </c>
      <c r="N88" s="161"/>
    </row>
    <row r="89" spans="1:14" s="188" customFormat="1" x14ac:dyDescent="0.25">
      <c r="A89" s="278" t="s">
        <v>123</v>
      </c>
      <c r="B89" s="209" t="s">
        <v>31</v>
      </c>
      <c r="C89" s="4" t="s">
        <v>51</v>
      </c>
      <c r="D89" s="163" t="s">
        <v>496</v>
      </c>
      <c r="E89" s="352">
        <v>200</v>
      </c>
      <c r="F89" s="168">
        <f>F90</f>
        <v>11.899999999999999</v>
      </c>
      <c r="G89" s="327">
        <f t="shared" ref="G89:L89" si="35">G90</f>
        <v>11.899999999999999</v>
      </c>
      <c r="H89" s="168">
        <f>H90</f>
        <v>11.899999999999999</v>
      </c>
      <c r="I89" s="327">
        <f t="shared" si="35"/>
        <v>11.899999999999999</v>
      </c>
      <c r="J89" s="497">
        <f t="shared" si="35"/>
        <v>11.9</v>
      </c>
      <c r="K89" s="575">
        <f t="shared" si="24"/>
        <v>1.0000000000000002</v>
      </c>
      <c r="L89" s="168">
        <f t="shared" si="35"/>
        <v>11.9</v>
      </c>
      <c r="M89" s="580">
        <f t="shared" si="27"/>
        <v>1.0000000000000002</v>
      </c>
      <c r="N89" s="161"/>
    </row>
    <row r="90" spans="1:14" s="188" customFormat="1" ht="31.5" x14ac:dyDescent="0.25">
      <c r="A90" s="278" t="s">
        <v>54</v>
      </c>
      <c r="B90" s="209" t="s">
        <v>31</v>
      </c>
      <c r="C90" s="4" t="s">
        <v>51</v>
      </c>
      <c r="D90" s="163" t="s">
        <v>496</v>
      </c>
      <c r="E90" s="352">
        <v>240</v>
      </c>
      <c r="F90" s="168">
        <f>'ведом. 2023-2025'!AD70</f>
        <v>11.899999999999999</v>
      </c>
      <c r="G90" s="327">
        <f>F90</f>
        <v>11.899999999999999</v>
      </c>
      <c r="H90" s="168">
        <f>'ведом. 2023-2025'!AE70</f>
        <v>11.899999999999999</v>
      </c>
      <c r="I90" s="327">
        <f>H90</f>
        <v>11.899999999999999</v>
      </c>
      <c r="J90" s="497">
        <f>'ведом. 2023-2025'!AF70</f>
        <v>11.9</v>
      </c>
      <c r="K90" s="575">
        <f t="shared" si="24"/>
        <v>1.0000000000000002</v>
      </c>
      <c r="L90" s="168">
        <f>J90</f>
        <v>11.9</v>
      </c>
      <c r="M90" s="580">
        <f t="shared" si="27"/>
        <v>1.0000000000000002</v>
      </c>
      <c r="N90" s="161"/>
    </row>
    <row r="91" spans="1:14" s="188" customFormat="1" x14ac:dyDescent="0.25">
      <c r="A91" s="297" t="s">
        <v>354</v>
      </c>
      <c r="B91" s="1" t="s">
        <v>31</v>
      </c>
      <c r="C91" s="4" t="s">
        <v>51</v>
      </c>
      <c r="D91" s="326" t="s">
        <v>140</v>
      </c>
      <c r="E91" s="309"/>
      <c r="F91" s="168">
        <f>F92</f>
        <v>0</v>
      </c>
      <c r="G91" s="168"/>
      <c r="H91" s="168">
        <f t="shared" ref="H91:J93" si="36">H92</f>
        <v>2242.3000000000002</v>
      </c>
      <c r="I91" s="168"/>
      <c r="J91" s="497">
        <f t="shared" si="36"/>
        <v>2242.3000000000002</v>
      </c>
      <c r="K91" s="575">
        <f t="shared" si="24"/>
        <v>1</v>
      </c>
      <c r="L91" s="168"/>
      <c r="M91" s="580"/>
      <c r="N91" s="161"/>
    </row>
    <row r="92" spans="1:14" s="188" customFormat="1" ht="31.5" x14ac:dyDescent="0.25">
      <c r="A92" s="278" t="s">
        <v>798</v>
      </c>
      <c r="B92" s="1" t="s">
        <v>31</v>
      </c>
      <c r="C92" s="4" t="s">
        <v>51</v>
      </c>
      <c r="D92" s="326" t="s">
        <v>799</v>
      </c>
      <c r="E92" s="309"/>
      <c r="F92" s="168">
        <f>F93</f>
        <v>0</v>
      </c>
      <c r="G92" s="168"/>
      <c r="H92" s="168">
        <f t="shared" si="36"/>
        <v>2242.3000000000002</v>
      </c>
      <c r="I92" s="168"/>
      <c r="J92" s="497">
        <f t="shared" si="36"/>
        <v>2242.3000000000002</v>
      </c>
      <c r="K92" s="575">
        <f t="shared" si="24"/>
        <v>1</v>
      </c>
      <c r="L92" s="168"/>
      <c r="M92" s="580"/>
      <c r="N92" s="161"/>
    </row>
    <row r="93" spans="1:14" s="188" customFormat="1" ht="47.25" x14ac:dyDescent="0.25">
      <c r="A93" s="278" t="s">
        <v>43</v>
      </c>
      <c r="B93" s="1" t="s">
        <v>31</v>
      </c>
      <c r="C93" s="4" t="s">
        <v>51</v>
      </c>
      <c r="D93" s="326" t="s">
        <v>799</v>
      </c>
      <c r="E93" s="309">
        <v>100</v>
      </c>
      <c r="F93" s="168">
        <f>'ведом. 2023-2025'!AD74</f>
        <v>0</v>
      </c>
      <c r="G93" s="327"/>
      <c r="H93" s="168">
        <f>H94</f>
        <v>2242.3000000000002</v>
      </c>
      <c r="I93" s="168"/>
      <c r="J93" s="497">
        <f t="shared" si="36"/>
        <v>2242.3000000000002</v>
      </c>
      <c r="K93" s="575">
        <f t="shared" si="24"/>
        <v>1</v>
      </c>
      <c r="L93" s="168"/>
      <c r="M93" s="580"/>
      <c r="N93" s="161"/>
    </row>
    <row r="94" spans="1:14" s="188" customFormat="1" x14ac:dyDescent="0.25">
      <c r="A94" s="278" t="s">
        <v>99</v>
      </c>
      <c r="B94" s="1" t="s">
        <v>31</v>
      </c>
      <c r="C94" s="4" t="s">
        <v>51</v>
      </c>
      <c r="D94" s="326" t="s">
        <v>799</v>
      </c>
      <c r="E94" s="309">
        <v>120</v>
      </c>
      <c r="F94" s="168">
        <f>'ведом. 2023-2025'!AD74</f>
        <v>0</v>
      </c>
      <c r="G94" s="327"/>
      <c r="H94" s="168">
        <f>'ведом. 2023-2025'!AE74</f>
        <v>2242.3000000000002</v>
      </c>
      <c r="I94" s="168"/>
      <c r="J94" s="497">
        <f>'ведом. 2023-2025'!AF74</f>
        <v>2242.3000000000002</v>
      </c>
      <c r="K94" s="575">
        <f t="shared" si="24"/>
        <v>1</v>
      </c>
      <c r="L94" s="168"/>
      <c r="M94" s="580"/>
      <c r="N94" s="161"/>
    </row>
    <row r="95" spans="1:14" s="145" customFormat="1" ht="31.5" x14ac:dyDescent="0.25">
      <c r="A95" s="401" t="s">
        <v>72</v>
      </c>
      <c r="B95" s="209" t="s">
        <v>31</v>
      </c>
      <c r="C95" s="4" t="s">
        <v>98</v>
      </c>
      <c r="D95" s="347"/>
      <c r="E95" s="352"/>
      <c r="F95" s="168">
        <f>F96+F115+F132</f>
        <v>36744</v>
      </c>
      <c r="G95" s="168"/>
      <c r="H95" s="168">
        <f t="shared" ref="H95:J95" si="37">H96+H115+H132</f>
        <v>36903.1</v>
      </c>
      <c r="I95" s="168"/>
      <c r="J95" s="497">
        <f t="shared" si="37"/>
        <v>36846.1</v>
      </c>
      <c r="K95" s="575">
        <f t="shared" si="24"/>
        <v>0.99845541431478657</v>
      </c>
      <c r="L95" s="168"/>
      <c r="M95" s="580"/>
      <c r="N95" s="161"/>
    </row>
    <row r="96" spans="1:14" s="145" customFormat="1" x14ac:dyDescent="0.25">
      <c r="A96" s="280" t="s">
        <v>193</v>
      </c>
      <c r="B96" s="209" t="s">
        <v>31</v>
      </c>
      <c r="C96" s="4" t="s">
        <v>98</v>
      </c>
      <c r="D96" s="163" t="s">
        <v>115</v>
      </c>
      <c r="E96" s="352"/>
      <c r="F96" s="168">
        <f>F97</f>
        <v>26884.100000000002</v>
      </c>
      <c r="G96" s="327"/>
      <c r="H96" s="168">
        <f>H97</f>
        <v>26884.100000000002</v>
      </c>
      <c r="I96" s="168"/>
      <c r="J96" s="497">
        <f>J97</f>
        <v>26842.5</v>
      </c>
      <c r="K96" s="575">
        <f t="shared" si="24"/>
        <v>0.9984526169743454</v>
      </c>
      <c r="L96" s="168"/>
      <c r="M96" s="580"/>
      <c r="N96" s="161"/>
    </row>
    <row r="97" spans="1:14" s="145" customFormat="1" x14ac:dyDescent="0.25">
      <c r="A97" s="280" t="s">
        <v>198</v>
      </c>
      <c r="B97" s="209" t="s">
        <v>31</v>
      </c>
      <c r="C97" s="4" t="s">
        <v>98</v>
      </c>
      <c r="D97" s="163" t="s">
        <v>199</v>
      </c>
      <c r="E97" s="352"/>
      <c r="F97" s="168">
        <f>F98+F111</f>
        <v>26884.100000000002</v>
      </c>
      <c r="G97" s="168"/>
      <c r="H97" s="168">
        <f>H98+H111</f>
        <v>26884.100000000002</v>
      </c>
      <c r="I97" s="168"/>
      <c r="J97" s="497">
        <f t="shared" ref="J97" si="38">J98+J111</f>
        <v>26842.5</v>
      </c>
      <c r="K97" s="575">
        <f t="shared" si="24"/>
        <v>0.9984526169743454</v>
      </c>
      <c r="L97" s="168"/>
      <c r="M97" s="580"/>
      <c r="N97" s="161"/>
    </row>
    <row r="98" spans="1:14" s="145" customFormat="1" ht="31.5" x14ac:dyDescent="0.25">
      <c r="A98" s="280" t="s">
        <v>200</v>
      </c>
      <c r="B98" s="209" t="s">
        <v>31</v>
      </c>
      <c r="C98" s="4" t="s">
        <v>98</v>
      </c>
      <c r="D98" s="163" t="s">
        <v>201</v>
      </c>
      <c r="E98" s="352"/>
      <c r="F98" s="168">
        <f>F99</f>
        <v>26770.9</v>
      </c>
      <c r="G98" s="327"/>
      <c r="H98" s="168">
        <f>H99</f>
        <v>26770.9</v>
      </c>
      <c r="I98" s="168"/>
      <c r="J98" s="497">
        <f>J99</f>
        <v>26729.3</v>
      </c>
      <c r="K98" s="575">
        <f t="shared" si="24"/>
        <v>0.99844607390860962</v>
      </c>
      <c r="L98" s="168"/>
      <c r="M98" s="580"/>
      <c r="N98" s="161"/>
    </row>
    <row r="99" spans="1:14" s="145" customFormat="1" x14ac:dyDescent="0.25">
      <c r="A99" s="302" t="s">
        <v>218</v>
      </c>
      <c r="B99" s="209" t="s">
        <v>31</v>
      </c>
      <c r="C99" s="4" t="s">
        <v>98</v>
      </c>
      <c r="D99" s="306" t="s">
        <v>219</v>
      </c>
      <c r="E99" s="352"/>
      <c r="F99" s="168">
        <f>F100+F105+F108</f>
        <v>26770.9</v>
      </c>
      <c r="G99" s="327"/>
      <c r="H99" s="168">
        <f>H100+H105+H108</f>
        <v>26770.9</v>
      </c>
      <c r="I99" s="168"/>
      <c r="J99" s="497">
        <f>J100+J105+J108+J103</f>
        <v>26729.3</v>
      </c>
      <c r="K99" s="575">
        <f t="shared" si="24"/>
        <v>0.99844607390860962</v>
      </c>
      <c r="L99" s="168"/>
      <c r="M99" s="580"/>
      <c r="N99" s="161"/>
    </row>
    <row r="100" spans="1:14" s="145" customFormat="1" ht="31.5" x14ac:dyDescent="0.25">
      <c r="A100" s="401" t="s">
        <v>220</v>
      </c>
      <c r="B100" s="209" t="s">
        <v>31</v>
      </c>
      <c r="C100" s="4" t="s">
        <v>98</v>
      </c>
      <c r="D100" s="306" t="s">
        <v>221</v>
      </c>
      <c r="E100" s="352"/>
      <c r="F100" s="168">
        <f>F101+F103</f>
        <v>2533.9</v>
      </c>
      <c r="G100" s="327"/>
      <c r="H100" s="168">
        <f>H101+H103</f>
        <v>2533.9</v>
      </c>
      <c r="I100" s="168"/>
      <c r="J100" s="497">
        <f t="shared" ref="J100" si="39">J101</f>
        <v>2491.1999999999998</v>
      </c>
      <c r="K100" s="575">
        <f t="shared" si="24"/>
        <v>0.98314850625517969</v>
      </c>
      <c r="L100" s="168"/>
      <c r="M100" s="580"/>
      <c r="N100" s="161"/>
    </row>
    <row r="101" spans="1:14" s="145" customFormat="1" x14ac:dyDescent="0.25">
      <c r="A101" s="401" t="s">
        <v>123</v>
      </c>
      <c r="B101" s="209" t="s">
        <v>31</v>
      </c>
      <c r="C101" s="4" t="s">
        <v>98</v>
      </c>
      <c r="D101" s="306" t="s">
        <v>221</v>
      </c>
      <c r="E101" s="352">
        <v>200</v>
      </c>
      <c r="F101" s="168">
        <f>F102</f>
        <v>2532.6</v>
      </c>
      <c r="G101" s="327"/>
      <c r="H101" s="168">
        <f>H102</f>
        <v>2532.6</v>
      </c>
      <c r="I101" s="168"/>
      <c r="J101" s="497">
        <f>J102</f>
        <v>2491.1999999999998</v>
      </c>
      <c r="K101" s="575">
        <f t="shared" si="24"/>
        <v>0.98365316275764036</v>
      </c>
      <c r="L101" s="168"/>
      <c r="M101" s="580"/>
      <c r="N101" s="161"/>
    </row>
    <row r="102" spans="1:14" s="145" customFormat="1" ht="31.5" x14ac:dyDescent="0.25">
      <c r="A102" s="401" t="s">
        <v>54</v>
      </c>
      <c r="B102" s="209" t="s">
        <v>31</v>
      </c>
      <c r="C102" s="4" t="s">
        <v>98</v>
      </c>
      <c r="D102" s="306" t="s">
        <v>221</v>
      </c>
      <c r="E102" s="352">
        <v>240</v>
      </c>
      <c r="F102" s="168">
        <f>'ведом. 2023-2025'!AD559</f>
        <v>2532.6</v>
      </c>
      <c r="G102" s="327"/>
      <c r="H102" s="168">
        <f>'ведом. 2023-2025'!AE559</f>
        <v>2532.6</v>
      </c>
      <c r="I102" s="168"/>
      <c r="J102" s="497">
        <f>'ведом. 2023-2025'!AF559</f>
        <v>2491.1999999999998</v>
      </c>
      <c r="K102" s="575">
        <f t="shared" si="24"/>
        <v>0.98365316275764036</v>
      </c>
      <c r="L102" s="168"/>
      <c r="M102" s="580"/>
      <c r="N102" s="161"/>
    </row>
    <row r="103" spans="1:14" s="188" customFormat="1" x14ac:dyDescent="0.25">
      <c r="A103" s="278" t="s">
        <v>44</v>
      </c>
      <c r="B103" s="209" t="s">
        <v>31</v>
      </c>
      <c r="C103" s="4" t="s">
        <v>98</v>
      </c>
      <c r="D103" s="306" t="s">
        <v>221</v>
      </c>
      <c r="E103" s="352">
        <v>800</v>
      </c>
      <c r="F103" s="168">
        <f>F104</f>
        <v>1.3</v>
      </c>
      <c r="G103" s="168"/>
      <c r="H103" s="168">
        <f>H104</f>
        <v>1.3</v>
      </c>
      <c r="I103" s="168"/>
      <c r="J103" s="497">
        <f t="shared" ref="J103" si="40">J104</f>
        <v>1.3</v>
      </c>
      <c r="K103" s="575">
        <f t="shared" si="24"/>
        <v>1</v>
      </c>
      <c r="L103" s="168"/>
      <c r="M103" s="580"/>
      <c r="N103" s="161"/>
    </row>
    <row r="104" spans="1:14" s="188" customFormat="1" x14ac:dyDescent="0.25">
      <c r="A104" s="278" t="s">
        <v>60</v>
      </c>
      <c r="B104" s="209" t="s">
        <v>31</v>
      </c>
      <c r="C104" s="4" t="s">
        <v>98</v>
      </c>
      <c r="D104" s="306" t="s">
        <v>221</v>
      </c>
      <c r="E104" s="352">
        <v>850</v>
      </c>
      <c r="F104" s="168">
        <f>'ведом. 2023-2025'!AD561</f>
        <v>1.3</v>
      </c>
      <c r="G104" s="327"/>
      <c r="H104" s="168">
        <f>'ведом. 2023-2025'!AE561</f>
        <v>1.3</v>
      </c>
      <c r="I104" s="168"/>
      <c r="J104" s="497">
        <f>'ведом. 2023-2025'!AF561</f>
        <v>1.3</v>
      </c>
      <c r="K104" s="575">
        <f t="shared" si="24"/>
        <v>1</v>
      </c>
      <c r="L104" s="168"/>
      <c r="M104" s="580"/>
      <c r="N104" s="161"/>
    </row>
    <row r="105" spans="1:14" s="145" customFormat="1" ht="31.5" x14ac:dyDescent="0.25">
      <c r="A105" s="401" t="s">
        <v>225</v>
      </c>
      <c r="B105" s="209" t="s">
        <v>31</v>
      </c>
      <c r="C105" s="4" t="s">
        <v>98</v>
      </c>
      <c r="D105" s="33" t="str">
        <f>D106</f>
        <v>12 5 01 00162</v>
      </c>
      <c r="E105" s="352"/>
      <c r="F105" s="168">
        <f>F107</f>
        <v>15308.6</v>
      </c>
      <c r="G105" s="327"/>
      <c r="H105" s="168">
        <f>H107</f>
        <v>15308.6</v>
      </c>
      <c r="I105" s="168"/>
      <c r="J105" s="497">
        <f>J107</f>
        <v>15308.5</v>
      </c>
      <c r="K105" s="575">
        <f t="shared" si="24"/>
        <v>0.99999346772402442</v>
      </c>
      <c r="L105" s="168"/>
      <c r="M105" s="580"/>
      <c r="N105" s="161"/>
    </row>
    <row r="106" spans="1:14" s="145" customFormat="1" ht="47.25" x14ac:dyDescent="0.25">
      <c r="A106" s="401" t="s">
        <v>43</v>
      </c>
      <c r="B106" s="209" t="s">
        <v>31</v>
      </c>
      <c r="C106" s="4" t="s">
        <v>98</v>
      </c>
      <c r="D106" s="33" t="str">
        <f>D107</f>
        <v>12 5 01 00162</v>
      </c>
      <c r="E106" s="352">
        <v>100</v>
      </c>
      <c r="F106" s="168">
        <f>F107</f>
        <v>15308.6</v>
      </c>
      <c r="G106" s="327"/>
      <c r="H106" s="168">
        <f>H107</f>
        <v>15308.6</v>
      </c>
      <c r="I106" s="168"/>
      <c r="J106" s="497">
        <f>J107</f>
        <v>15308.5</v>
      </c>
      <c r="K106" s="575">
        <f t="shared" si="24"/>
        <v>0.99999346772402442</v>
      </c>
      <c r="L106" s="168"/>
      <c r="M106" s="580"/>
      <c r="N106" s="161"/>
    </row>
    <row r="107" spans="1:14" s="145" customFormat="1" x14ac:dyDescent="0.25">
      <c r="A107" s="401" t="s">
        <v>99</v>
      </c>
      <c r="B107" s="209" t="s">
        <v>31</v>
      </c>
      <c r="C107" s="4" t="s">
        <v>98</v>
      </c>
      <c r="D107" s="306" t="s">
        <v>222</v>
      </c>
      <c r="E107" s="352">
        <v>120</v>
      </c>
      <c r="F107" s="168">
        <f>'ведом. 2023-2025'!AD564</f>
        <v>15308.6</v>
      </c>
      <c r="G107" s="327"/>
      <c r="H107" s="168">
        <f>'ведом. 2023-2025'!AE564</f>
        <v>15308.6</v>
      </c>
      <c r="I107" s="168"/>
      <c r="J107" s="497">
        <f>'ведом. 2023-2025'!AF564</f>
        <v>15308.5</v>
      </c>
      <c r="K107" s="575">
        <f t="shared" si="24"/>
        <v>0.99999346772402442</v>
      </c>
      <c r="L107" s="168"/>
      <c r="M107" s="580"/>
      <c r="N107" s="161"/>
    </row>
    <row r="108" spans="1:14" s="145" customFormat="1" ht="31.5" x14ac:dyDescent="0.25">
      <c r="A108" s="401" t="s">
        <v>224</v>
      </c>
      <c r="B108" s="209" t="s">
        <v>31</v>
      </c>
      <c r="C108" s="4" t="s">
        <v>98</v>
      </c>
      <c r="D108" s="33" t="str">
        <f>D109</f>
        <v>12 5 01 00163</v>
      </c>
      <c r="E108" s="352"/>
      <c r="F108" s="168">
        <f>F109</f>
        <v>8928.4000000000015</v>
      </c>
      <c r="G108" s="327"/>
      <c r="H108" s="168">
        <f>H109</f>
        <v>8928.4000000000015</v>
      </c>
      <c r="I108" s="168"/>
      <c r="J108" s="497">
        <f>J109</f>
        <v>8928.2999999999993</v>
      </c>
      <c r="K108" s="575">
        <f t="shared" si="24"/>
        <v>0.99998879978495558</v>
      </c>
      <c r="L108" s="168"/>
      <c r="M108" s="580"/>
      <c r="N108" s="161"/>
    </row>
    <row r="109" spans="1:14" s="145" customFormat="1" ht="47.25" x14ac:dyDescent="0.25">
      <c r="A109" s="401" t="s">
        <v>43</v>
      </c>
      <c r="B109" s="209" t="s">
        <v>31</v>
      </c>
      <c r="C109" s="4" t="s">
        <v>98</v>
      </c>
      <c r="D109" s="33" t="str">
        <f>D110</f>
        <v>12 5 01 00163</v>
      </c>
      <c r="E109" s="352">
        <v>100</v>
      </c>
      <c r="F109" s="168">
        <f>F110</f>
        <v>8928.4000000000015</v>
      </c>
      <c r="G109" s="327"/>
      <c r="H109" s="168">
        <f>H110</f>
        <v>8928.4000000000015</v>
      </c>
      <c r="I109" s="168"/>
      <c r="J109" s="497">
        <f>J110</f>
        <v>8928.2999999999993</v>
      </c>
      <c r="K109" s="575">
        <f t="shared" si="24"/>
        <v>0.99998879978495558</v>
      </c>
      <c r="L109" s="168"/>
      <c r="M109" s="580"/>
      <c r="N109" s="161"/>
    </row>
    <row r="110" spans="1:14" s="145" customFormat="1" x14ac:dyDescent="0.25">
      <c r="A110" s="401" t="s">
        <v>99</v>
      </c>
      <c r="B110" s="209" t="s">
        <v>31</v>
      </c>
      <c r="C110" s="4" t="s">
        <v>98</v>
      </c>
      <c r="D110" s="306" t="s">
        <v>223</v>
      </c>
      <c r="E110" s="352">
        <v>120</v>
      </c>
      <c r="F110" s="168">
        <f>'ведом. 2023-2025'!AD567</f>
        <v>8928.4000000000015</v>
      </c>
      <c r="G110" s="327"/>
      <c r="H110" s="168">
        <f>'ведом. 2023-2025'!AE567</f>
        <v>8928.4000000000015</v>
      </c>
      <c r="I110" s="168"/>
      <c r="J110" s="497">
        <f>'ведом. 2023-2025'!AF567</f>
        <v>8928.2999999999993</v>
      </c>
      <c r="K110" s="575">
        <f t="shared" si="24"/>
        <v>0.99998879978495558</v>
      </c>
      <c r="L110" s="168"/>
      <c r="M110" s="580"/>
      <c r="N110" s="161"/>
    </row>
    <row r="111" spans="1:14" s="188" customFormat="1" ht="31.5" x14ac:dyDescent="0.25">
      <c r="A111" s="278" t="s">
        <v>615</v>
      </c>
      <c r="B111" s="1" t="s">
        <v>31</v>
      </c>
      <c r="C111" s="4" t="s">
        <v>98</v>
      </c>
      <c r="D111" s="338" t="s">
        <v>616</v>
      </c>
      <c r="E111" s="309"/>
      <c r="F111" s="168">
        <f>F112</f>
        <v>113.2</v>
      </c>
      <c r="G111" s="168"/>
      <c r="H111" s="168">
        <f>H112</f>
        <v>113.2</v>
      </c>
      <c r="I111" s="168"/>
      <c r="J111" s="497">
        <f t="shared" ref="J111:J113" si="41">J112</f>
        <v>113.2</v>
      </c>
      <c r="K111" s="575">
        <f t="shared" si="24"/>
        <v>1</v>
      </c>
      <c r="L111" s="168"/>
      <c r="M111" s="580"/>
      <c r="N111" s="161"/>
    </row>
    <row r="112" spans="1:14" s="188" customFormat="1" ht="78.75" x14ac:dyDescent="0.25">
      <c r="A112" s="278" t="s">
        <v>449</v>
      </c>
      <c r="B112" s="1" t="s">
        <v>31</v>
      </c>
      <c r="C112" s="4" t="s">
        <v>98</v>
      </c>
      <c r="D112" s="326" t="s">
        <v>617</v>
      </c>
      <c r="E112" s="309"/>
      <c r="F112" s="168">
        <f>F113</f>
        <v>113.2</v>
      </c>
      <c r="G112" s="168"/>
      <c r="H112" s="168">
        <f>H113</f>
        <v>113.2</v>
      </c>
      <c r="I112" s="168"/>
      <c r="J112" s="497">
        <f t="shared" si="41"/>
        <v>113.2</v>
      </c>
      <c r="K112" s="575">
        <f t="shared" si="24"/>
        <v>1</v>
      </c>
      <c r="L112" s="168"/>
      <c r="M112" s="580"/>
      <c r="N112" s="161"/>
    </row>
    <row r="113" spans="1:14" s="188" customFormat="1" x14ac:dyDescent="0.25">
      <c r="A113" s="278" t="s">
        <v>123</v>
      </c>
      <c r="B113" s="1" t="s">
        <v>31</v>
      </c>
      <c r="C113" s="4" t="s">
        <v>98</v>
      </c>
      <c r="D113" s="326" t="s">
        <v>617</v>
      </c>
      <c r="E113" s="309">
        <v>200</v>
      </c>
      <c r="F113" s="168">
        <f>F114</f>
        <v>113.2</v>
      </c>
      <c r="G113" s="168"/>
      <c r="H113" s="168">
        <f>H114</f>
        <v>113.2</v>
      </c>
      <c r="I113" s="168"/>
      <c r="J113" s="497">
        <f t="shared" si="41"/>
        <v>113.2</v>
      </c>
      <c r="K113" s="575">
        <f t="shared" si="24"/>
        <v>1</v>
      </c>
      <c r="L113" s="168"/>
      <c r="M113" s="580"/>
      <c r="N113" s="161"/>
    </row>
    <row r="114" spans="1:14" s="188" customFormat="1" ht="31.5" x14ac:dyDescent="0.25">
      <c r="A114" s="278" t="s">
        <v>54</v>
      </c>
      <c r="B114" s="1" t="s">
        <v>31</v>
      </c>
      <c r="C114" s="4" t="s">
        <v>98</v>
      </c>
      <c r="D114" s="326" t="s">
        <v>617</v>
      </c>
      <c r="E114" s="309">
        <v>240</v>
      </c>
      <c r="F114" s="168">
        <f>'ведом. 2023-2025'!AD571+'ведом. 2023-2025'!AD1018</f>
        <v>113.2</v>
      </c>
      <c r="G114" s="327"/>
      <c r="H114" s="168">
        <f>'ведом. 2023-2025'!AE571+'ведом. 2023-2025'!AE1018</f>
        <v>113.2</v>
      </c>
      <c r="I114" s="168"/>
      <c r="J114" s="497">
        <f>'ведом. 2023-2025'!AF571+'ведом. 2023-2025'!AF1018</f>
        <v>113.2</v>
      </c>
      <c r="K114" s="575">
        <f t="shared" si="24"/>
        <v>1</v>
      </c>
      <c r="L114" s="168"/>
      <c r="M114" s="580"/>
      <c r="N114" s="161"/>
    </row>
    <row r="115" spans="1:14" s="145" customFormat="1" ht="31.5" x14ac:dyDescent="0.25">
      <c r="A115" s="280" t="s">
        <v>291</v>
      </c>
      <c r="B115" s="209" t="s">
        <v>31</v>
      </c>
      <c r="C115" s="4" t="s">
        <v>98</v>
      </c>
      <c r="D115" s="163" t="s">
        <v>102</v>
      </c>
      <c r="E115" s="352"/>
      <c r="F115" s="168">
        <f>F116</f>
        <v>9859.8999999999978</v>
      </c>
      <c r="G115" s="327"/>
      <c r="H115" s="168">
        <f>H116</f>
        <v>9859.8999999999978</v>
      </c>
      <c r="I115" s="168"/>
      <c r="J115" s="497">
        <f t="shared" ref="J115" si="42">J116</f>
        <v>9844.5</v>
      </c>
      <c r="K115" s="575">
        <f t="shared" si="24"/>
        <v>0.99843811803365168</v>
      </c>
      <c r="L115" s="168"/>
      <c r="M115" s="580"/>
      <c r="N115" s="161"/>
    </row>
    <row r="116" spans="1:14" s="145" customFormat="1" x14ac:dyDescent="0.25">
      <c r="A116" s="302" t="s">
        <v>289</v>
      </c>
      <c r="B116" s="209" t="s">
        <v>31</v>
      </c>
      <c r="C116" s="4" t="s">
        <v>98</v>
      </c>
      <c r="D116" s="163" t="s">
        <v>290</v>
      </c>
      <c r="E116" s="352"/>
      <c r="F116" s="168">
        <f>F117+F122+F125+F128</f>
        <v>9859.8999999999978</v>
      </c>
      <c r="G116" s="327"/>
      <c r="H116" s="168">
        <f>H117+H122+H125+H128</f>
        <v>9859.8999999999978</v>
      </c>
      <c r="I116" s="168"/>
      <c r="J116" s="497">
        <f>J117+J122+J125+J128</f>
        <v>9844.5</v>
      </c>
      <c r="K116" s="575">
        <f t="shared" si="24"/>
        <v>0.99843811803365168</v>
      </c>
      <c r="L116" s="168"/>
      <c r="M116" s="580"/>
      <c r="N116" s="161"/>
    </row>
    <row r="117" spans="1:14" s="145" customFormat="1" x14ac:dyDescent="0.25">
      <c r="A117" s="401" t="s">
        <v>292</v>
      </c>
      <c r="B117" s="209" t="s">
        <v>31</v>
      </c>
      <c r="C117" s="4" t="s">
        <v>98</v>
      </c>
      <c r="D117" s="163" t="s">
        <v>293</v>
      </c>
      <c r="E117" s="352"/>
      <c r="F117" s="168">
        <f>F118+F120</f>
        <v>1002.5</v>
      </c>
      <c r="G117" s="327"/>
      <c r="H117" s="168">
        <f>H118+H120</f>
        <v>1002.5</v>
      </c>
      <c r="I117" s="168"/>
      <c r="J117" s="497">
        <f t="shared" ref="J117" si="43">J118</f>
        <v>996</v>
      </c>
      <c r="K117" s="575">
        <f t="shared" si="24"/>
        <v>0.99351620947630925</v>
      </c>
      <c r="L117" s="168"/>
      <c r="M117" s="580"/>
      <c r="N117" s="161"/>
    </row>
    <row r="118" spans="1:14" s="145" customFormat="1" x14ac:dyDescent="0.25">
      <c r="A118" s="401" t="s">
        <v>123</v>
      </c>
      <c r="B118" s="209" t="s">
        <v>31</v>
      </c>
      <c r="C118" s="4" t="s">
        <v>98</v>
      </c>
      <c r="D118" s="163" t="s">
        <v>293</v>
      </c>
      <c r="E118" s="352">
        <v>200</v>
      </c>
      <c r="F118" s="168">
        <f>F119</f>
        <v>1002.4</v>
      </c>
      <c r="G118" s="327"/>
      <c r="H118" s="168">
        <f>H119</f>
        <v>1002.4</v>
      </c>
      <c r="I118" s="168"/>
      <c r="J118" s="497">
        <f>J119</f>
        <v>996</v>
      </c>
      <c r="K118" s="575">
        <f t="shared" si="24"/>
        <v>0.99361532322426183</v>
      </c>
      <c r="L118" s="168"/>
      <c r="M118" s="580"/>
      <c r="N118" s="161"/>
    </row>
    <row r="119" spans="1:14" s="145" customFormat="1" ht="31.5" x14ac:dyDescent="0.25">
      <c r="A119" s="401" t="s">
        <v>54</v>
      </c>
      <c r="B119" s="209" t="s">
        <v>31</v>
      </c>
      <c r="C119" s="4" t="s">
        <v>98</v>
      </c>
      <c r="D119" s="163" t="s">
        <v>293</v>
      </c>
      <c r="E119" s="352">
        <v>240</v>
      </c>
      <c r="F119" s="168">
        <f>'ведом. 2023-2025'!AD1023</f>
        <v>1002.4</v>
      </c>
      <c r="G119" s="327"/>
      <c r="H119" s="168">
        <f>'ведом. 2023-2025'!AE1023</f>
        <v>1002.4</v>
      </c>
      <c r="I119" s="168"/>
      <c r="J119" s="497">
        <f>'ведом. 2023-2025'!AF1023</f>
        <v>996</v>
      </c>
      <c r="K119" s="575">
        <f t="shared" si="24"/>
        <v>0.99361532322426183</v>
      </c>
      <c r="L119" s="168"/>
      <c r="M119" s="580"/>
      <c r="N119" s="161"/>
    </row>
    <row r="120" spans="1:14" s="188" customFormat="1" x14ac:dyDescent="0.25">
      <c r="A120" s="278" t="s">
        <v>44</v>
      </c>
      <c r="B120" s="209" t="s">
        <v>31</v>
      </c>
      <c r="C120" s="4" t="s">
        <v>98</v>
      </c>
      <c r="D120" s="163" t="s">
        <v>293</v>
      </c>
      <c r="E120" s="352">
        <v>800</v>
      </c>
      <c r="F120" s="168">
        <f>F121</f>
        <v>0.1</v>
      </c>
      <c r="G120" s="168"/>
      <c r="H120" s="168">
        <f>H121</f>
        <v>0.1</v>
      </c>
      <c r="I120" s="168"/>
      <c r="J120" s="497">
        <f t="shared" ref="J120" si="44">J121</f>
        <v>0</v>
      </c>
      <c r="K120" s="575">
        <f t="shared" si="24"/>
        <v>0</v>
      </c>
      <c r="L120" s="168"/>
      <c r="M120" s="580"/>
      <c r="N120" s="161"/>
    </row>
    <row r="121" spans="1:14" s="188" customFormat="1" x14ac:dyDescent="0.25">
      <c r="A121" s="278" t="s">
        <v>60</v>
      </c>
      <c r="B121" s="209" t="s">
        <v>31</v>
      </c>
      <c r="C121" s="4" t="s">
        <v>98</v>
      </c>
      <c r="D121" s="163" t="s">
        <v>293</v>
      </c>
      <c r="E121" s="352">
        <v>850</v>
      </c>
      <c r="F121" s="168">
        <v>0.1</v>
      </c>
      <c r="G121" s="327"/>
      <c r="H121" s="168">
        <f>'ведом. 2023-2025'!AE1025</f>
        <v>0.1</v>
      </c>
      <c r="I121" s="168"/>
      <c r="J121" s="497">
        <f>'ведом. 2023-2025'!AF1025</f>
        <v>0</v>
      </c>
      <c r="K121" s="575">
        <f t="shared" si="24"/>
        <v>0</v>
      </c>
      <c r="L121" s="168"/>
      <c r="M121" s="580"/>
      <c r="N121" s="161"/>
    </row>
    <row r="122" spans="1:14" s="145" customFormat="1" ht="31.5" x14ac:dyDescent="0.25">
      <c r="A122" s="401" t="s">
        <v>294</v>
      </c>
      <c r="B122" s="209" t="s">
        <v>31</v>
      </c>
      <c r="C122" s="4" t="s">
        <v>98</v>
      </c>
      <c r="D122" s="163" t="s">
        <v>295</v>
      </c>
      <c r="E122" s="352"/>
      <c r="F122" s="168">
        <f>F123</f>
        <v>2237.8000000000002</v>
      </c>
      <c r="G122" s="327"/>
      <c r="H122" s="168">
        <f>H123</f>
        <v>2237.8000000000002</v>
      </c>
      <c r="I122" s="168"/>
      <c r="J122" s="497">
        <f>J123</f>
        <v>2237.6999999999998</v>
      </c>
      <c r="K122" s="575">
        <f t="shared" si="24"/>
        <v>0.99995531325408871</v>
      </c>
      <c r="L122" s="168"/>
      <c r="M122" s="580"/>
      <c r="N122" s="161"/>
    </row>
    <row r="123" spans="1:14" s="145" customFormat="1" ht="47.25" x14ac:dyDescent="0.25">
      <c r="A123" s="401" t="s">
        <v>43</v>
      </c>
      <c r="B123" s="209" t="s">
        <v>31</v>
      </c>
      <c r="C123" s="4" t="s">
        <v>98</v>
      </c>
      <c r="D123" s="163" t="s">
        <v>295</v>
      </c>
      <c r="E123" s="352">
        <v>100</v>
      </c>
      <c r="F123" s="168">
        <f>F124</f>
        <v>2237.8000000000002</v>
      </c>
      <c r="G123" s="327"/>
      <c r="H123" s="168">
        <f>H124</f>
        <v>2237.8000000000002</v>
      </c>
      <c r="I123" s="168"/>
      <c r="J123" s="497">
        <f>J124</f>
        <v>2237.6999999999998</v>
      </c>
      <c r="K123" s="575">
        <f t="shared" si="24"/>
        <v>0.99995531325408871</v>
      </c>
      <c r="L123" s="168"/>
      <c r="M123" s="580"/>
      <c r="N123" s="161"/>
    </row>
    <row r="124" spans="1:14" s="145" customFormat="1" x14ac:dyDescent="0.25">
      <c r="A124" s="401" t="s">
        <v>99</v>
      </c>
      <c r="B124" s="209" t="s">
        <v>31</v>
      </c>
      <c r="C124" s="4" t="s">
        <v>98</v>
      </c>
      <c r="D124" s="163" t="s">
        <v>295</v>
      </c>
      <c r="E124" s="352">
        <v>120</v>
      </c>
      <c r="F124" s="168">
        <f>'ведом. 2023-2025'!AD1028</f>
        <v>2237.8000000000002</v>
      </c>
      <c r="G124" s="327"/>
      <c r="H124" s="168">
        <f>'ведом. 2023-2025'!AE1028</f>
        <v>2237.8000000000002</v>
      </c>
      <c r="I124" s="168"/>
      <c r="J124" s="497">
        <f>'ведом. 2023-2025'!AF1028</f>
        <v>2237.6999999999998</v>
      </c>
      <c r="K124" s="575">
        <f t="shared" si="24"/>
        <v>0.99995531325408871</v>
      </c>
      <c r="L124" s="168"/>
      <c r="M124" s="580"/>
      <c r="N124" s="161"/>
    </row>
    <row r="125" spans="1:14" s="145" customFormat="1" ht="31.5" x14ac:dyDescent="0.25">
      <c r="A125" s="401" t="s">
        <v>297</v>
      </c>
      <c r="B125" s="209" t="s">
        <v>31</v>
      </c>
      <c r="C125" s="4" t="s">
        <v>98</v>
      </c>
      <c r="D125" s="163" t="s">
        <v>296</v>
      </c>
      <c r="E125" s="352"/>
      <c r="F125" s="168">
        <f>F126</f>
        <v>3668.1</v>
      </c>
      <c r="G125" s="327"/>
      <c r="H125" s="168">
        <f>H126</f>
        <v>3668.1</v>
      </c>
      <c r="I125" s="168"/>
      <c r="J125" s="497">
        <f>J126</f>
        <v>3663.5</v>
      </c>
      <c r="K125" s="575">
        <f t="shared" si="24"/>
        <v>0.99874594476704559</v>
      </c>
      <c r="L125" s="168"/>
      <c r="M125" s="580"/>
      <c r="N125" s="161"/>
    </row>
    <row r="126" spans="1:14" s="145" customFormat="1" ht="47.25" x14ac:dyDescent="0.25">
      <c r="A126" s="401" t="s">
        <v>43</v>
      </c>
      <c r="B126" s="209" t="s">
        <v>31</v>
      </c>
      <c r="C126" s="4" t="s">
        <v>98</v>
      </c>
      <c r="D126" s="163" t="s">
        <v>296</v>
      </c>
      <c r="E126" s="352">
        <v>100</v>
      </c>
      <c r="F126" s="168">
        <f>F127</f>
        <v>3668.1</v>
      </c>
      <c r="G126" s="327"/>
      <c r="H126" s="168">
        <f>H127</f>
        <v>3668.1</v>
      </c>
      <c r="I126" s="168"/>
      <c r="J126" s="497">
        <f>J127</f>
        <v>3663.5</v>
      </c>
      <c r="K126" s="575">
        <f t="shared" si="24"/>
        <v>0.99874594476704559</v>
      </c>
      <c r="L126" s="168"/>
      <c r="M126" s="580"/>
      <c r="N126" s="161"/>
    </row>
    <row r="127" spans="1:14" s="145" customFormat="1" x14ac:dyDescent="0.25">
      <c r="A127" s="401" t="s">
        <v>99</v>
      </c>
      <c r="B127" s="209" t="s">
        <v>31</v>
      </c>
      <c r="C127" s="4" t="s">
        <v>98</v>
      </c>
      <c r="D127" s="163" t="s">
        <v>296</v>
      </c>
      <c r="E127" s="352">
        <v>120</v>
      </c>
      <c r="F127" s="168">
        <f>'ведом. 2023-2025'!AD1031</f>
        <v>3668.1</v>
      </c>
      <c r="G127" s="327"/>
      <c r="H127" s="168">
        <f>'ведом. 2023-2025'!AE1031</f>
        <v>3668.1</v>
      </c>
      <c r="I127" s="168"/>
      <c r="J127" s="497">
        <f>'ведом. 2023-2025'!AF1031</f>
        <v>3663.5</v>
      </c>
      <c r="K127" s="575">
        <f t="shared" si="24"/>
        <v>0.99874594476704559</v>
      </c>
      <c r="L127" s="168"/>
      <c r="M127" s="580"/>
      <c r="N127" s="161"/>
    </row>
    <row r="128" spans="1:14" s="188" customFormat="1" ht="31.5" x14ac:dyDescent="0.25">
      <c r="A128" s="278" t="s">
        <v>446</v>
      </c>
      <c r="B128" s="209" t="s">
        <v>31</v>
      </c>
      <c r="C128" s="4" t="s">
        <v>98</v>
      </c>
      <c r="D128" s="163" t="s">
        <v>447</v>
      </c>
      <c r="E128" s="352"/>
      <c r="F128" s="168">
        <f>F129</f>
        <v>2951.4999999999991</v>
      </c>
      <c r="G128" s="327"/>
      <c r="H128" s="168">
        <f>H129</f>
        <v>2951.4999999999991</v>
      </c>
      <c r="I128" s="168"/>
      <c r="J128" s="497">
        <f t="shared" ref="J128" si="45">J129</f>
        <v>2947.3</v>
      </c>
      <c r="K128" s="575">
        <f t="shared" si="24"/>
        <v>0.99857699474843342</v>
      </c>
      <c r="L128" s="168"/>
      <c r="M128" s="580"/>
      <c r="N128" s="161"/>
    </row>
    <row r="129" spans="1:14" s="188" customFormat="1" ht="47.25" x14ac:dyDescent="0.25">
      <c r="A129" s="278" t="s">
        <v>43</v>
      </c>
      <c r="B129" s="209" t="s">
        <v>31</v>
      </c>
      <c r="C129" s="4" t="s">
        <v>98</v>
      </c>
      <c r="D129" s="163" t="s">
        <v>447</v>
      </c>
      <c r="E129" s="352">
        <v>100</v>
      </c>
      <c r="F129" s="168">
        <f>F130</f>
        <v>2951.4999999999991</v>
      </c>
      <c r="G129" s="327"/>
      <c r="H129" s="168">
        <f>H130</f>
        <v>2951.4999999999991</v>
      </c>
      <c r="I129" s="168"/>
      <c r="J129" s="497">
        <f t="shared" ref="J129" si="46">J130</f>
        <v>2947.3</v>
      </c>
      <c r="K129" s="575">
        <f t="shared" si="24"/>
        <v>0.99857699474843342</v>
      </c>
      <c r="L129" s="168"/>
      <c r="M129" s="580"/>
      <c r="N129" s="161"/>
    </row>
    <row r="130" spans="1:14" s="188" customFormat="1" x14ac:dyDescent="0.25">
      <c r="A130" s="278" t="s">
        <v>99</v>
      </c>
      <c r="B130" s="209" t="s">
        <v>31</v>
      </c>
      <c r="C130" s="4" t="s">
        <v>98</v>
      </c>
      <c r="D130" s="163" t="s">
        <v>447</v>
      </c>
      <c r="E130" s="352">
        <v>120</v>
      </c>
      <c r="F130" s="168">
        <f>'ведом. 2023-2025'!AD1034</f>
        <v>2951.4999999999991</v>
      </c>
      <c r="G130" s="327"/>
      <c r="H130" s="168">
        <f>'ведом. 2023-2025'!AE1034</f>
        <v>2951.4999999999991</v>
      </c>
      <c r="I130" s="168"/>
      <c r="J130" s="497">
        <f>'ведом. 2023-2025'!AF1034</f>
        <v>2947.3</v>
      </c>
      <c r="K130" s="575">
        <f t="shared" si="24"/>
        <v>0.99857699474843342</v>
      </c>
      <c r="L130" s="168"/>
      <c r="M130" s="580"/>
      <c r="N130" s="161"/>
    </row>
    <row r="131" spans="1:14" s="188" customFormat="1" x14ac:dyDescent="0.25">
      <c r="A131" s="297" t="s">
        <v>354</v>
      </c>
      <c r="B131" s="1" t="s">
        <v>31</v>
      </c>
      <c r="C131" s="4" t="s">
        <v>98</v>
      </c>
      <c r="D131" s="326" t="s">
        <v>140</v>
      </c>
      <c r="E131" s="352"/>
      <c r="F131" s="168">
        <f>F132</f>
        <v>0</v>
      </c>
      <c r="G131" s="168"/>
      <c r="H131" s="168">
        <f t="shared" ref="H131:J131" si="47">H132</f>
        <v>159.1</v>
      </c>
      <c r="I131" s="168"/>
      <c r="J131" s="497">
        <f t="shared" si="47"/>
        <v>159.1</v>
      </c>
      <c r="K131" s="575">
        <f t="shared" si="24"/>
        <v>1</v>
      </c>
      <c r="L131" s="168"/>
      <c r="M131" s="580"/>
      <c r="N131" s="161"/>
    </row>
    <row r="132" spans="1:14" s="188" customFormat="1" ht="31.5" x14ac:dyDescent="0.25">
      <c r="A132" s="284" t="s">
        <v>798</v>
      </c>
      <c r="B132" s="1" t="s">
        <v>31</v>
      </c>
      <c r="C132" s="4" t="s">
        <v>98</v>
      </c>
      <c r="D132" s="326" t="s">
        <v>799</v>
      </c>
      <c r="E132" s="322"/>
      <c r="F132" s="168">
        <f>F133</f>
        <v>0</v>
      </c>
      <c r="G132" s="168"/>
      <c r="H132" s="168">
        <f t="shared" ref="H132:J133" si="48">H133</f>
        <v>159.1</v>
      </c>
      <c r="I132" s="168"/>
      <c r="J132" s="497">
        <f t="shared" si="48"/>
        <v>159.1</v>
      </c>
      <c r="K132" s="575">
        <f t="shared" si="24"/>
        <v>1</v>
      </c>
      <c r="L132" s="168"/>
      <c r="M132" s="580"/>
      <c r="N132" s="161"/>
    </row>
    <row r="133" spans="1:14" s="188" customFormat="1" ht="47.25" x14ac:dyDescent="0.25">
      <c r="A133" s="278" t="s">
        <v>43</v>
      </c>
      <c r="B133" s="1" t="s">
        <v>31</v>
      </c>
      <c r="C133" s="4" t="s">
        <v>98</v>
      </c>
      <c r="D133" s="326" t="s">
        <v>799</v>
      </c>
      <c r="E133" s="311">
        <v>100</v>
      </c>
      <c r="F133" s="168">
        <f>F134</f>
        <v>0</v>
      </c>
      <c r="G133" s="168"/>
      <c r="H133" s="168">
        <f t="shared" si="48"/>
        <v>159.1</v>
      </c>
      <c r="I133" s="168"/>
      <c r="J133" s="497">
        <f t="shared" si="48"/>
        <v>159.1</v>
      </c>
      <c r="K133" s="575">
        <f t="shared" si="24"/>
        <v>1</v>
      </c>
      <c r="L133" s="168"/>
      <c r="M133" s="580"/>
      <c r="N133" s="161"/>
    </row>
    <row r="134" spans="1:14" s="188" customFormat="1" x14ac:dyDescent="0.25">
      <c r="A134" s="278" t="s">
        <v>99</v>
      </c>
      <c r="B134" s="1" t="s">
        <v>31</v>
      </c>
      <c r="C134" s="4" t="s">
        <v>98</v>
      </c>
      <c r="D134" s="326" t="s">
        <v>799</v>
      </c>
      <c r="E134" s="311">
        <v>120</v>
      </c>
      <c r="F134" s="168">
        <f>'ведом. 2023-2025'!AD575</f>
        <v>0</v>
      </c>
      <c r="G134" s="327"/>
      <c r="H134" s="168">
        <f>'ведом. 2023-2025'!AE575</f>
        <v>159.1</v>
      </c>
      <c r="I134" s="168"/>
      <c r="J134" s="497">
        <f>'ведом. 2023-2025'!AF575</f>
        <v>159.1</v>
      </c>
      <c r="K134" s="575">
        <f t="shared" si="24"/>
        <v>1</v>
      </c>
      <c r="L134" s="168"/>
      <c r="M134" s="580"/>
      <c r="N134" s="161"/>
    </row>
    <row r="135" spans="1:14" s="188" customFormat="1" x14ac:dyDescent="0.25">
      <c r="A135" s="278" t="s">
        <v>45</v>
      </c>
      <c r="B135" s="1" t="s">
        <v>31</v>
      </c>
      <c r="C135" s="4" t="s">
        <v>8</v>
      </c>
      <c r="D135" s="326"/>
      <c r="E135" s="309"/>
      <c r="F135" s="168">
        <f>F142+F143</f>
        <v>89.4</v>
      </c>
      <c r="G135" s="168"/>
      <c r="H135" s="168">
        <f>H142+H143</f>
        <v>89.4</v>
      </c>
      <c r="I135" s="168"/>
      <c r="J135" s="497">
        <f t="shared" ref="J135" si="49">J142+J143</f>
        <v>88.5</v>
      </c>
      <c r="K135" s="575">
        <f t="shared" si="24"/>
        <v>0.98993288590604023</v>
      </c>
      <c r="L135" s="168"/>
      <c r="M135" s="580"/>
      <c r="N135" s="161"/>
    </row>
    <row r="136" spans="1:14" s="188" customFormat="1" x14ac:dyDescent="0.25">
      <c r="A136" s="284" t="s">
        <v>193</v>
      </c>
      <c r="B136" s="1" t="s">
        <v>31</v>
      </c>
      <c r="C136" s="4" t="s">
        <v>8</v>
      </c>
      <c r="D136" s="326" t="s">
        <v>115</v>
      </c>
      <c r="E136" s="311"/>
      <c r="F136" s="168">
        <f t="shared" ref="F136:H141" si="50">F137</f>
        <v>4.3999999999999986</v>
      </c>
      <c r="G136" s="168"/>
      <c r="H136" s="168">
        <f t="shared" si="50"/>
        <v>4.3999999999999986</v>
      </c>
      <c r="I136" s="168"/>
      <c r="J136" s="497">
        <f t="shared" ref="J136" si="51">J137</f>
        <v>4.4000000000000004</v>
      </c>
      <c r="K136" s="575">
        <f t="shared" si="24"/>
        <v>1.0000000000000004</v>
      </c>
      <c r="L136" s="168"/>
      <c r="M136" s="580"/>
      <c r="N136" s="161"/>
    </row>
    <row r="137" spans="1:14" s="188" customFormat="1" x14ac:dyDescent="0.25">
      <c r="A137" s="284" t="s">
        <v>198</v>
      </c>
      <c r="B137" s="1" t="s">
        <v>31</v>
      </c>
      <c r="C137" s="4" t="s">
        <v>8</v>
      </c>
      <c r="D137" s="326" t="s">
        <v>199</v>
      </c>
      <c r="E137" s="309"/>
      <c r="F137" s="168">
        <f t="shared" si="50"/>
        <v>4.3999999999999986</v>
      </c>
      <c r="G137" s="168"/>
      <c r="H137" s="168">
        <f t="shared" si="50"/>
        <v>4.3999999999999986</v>
      </c>
      <c r="I137" s="168"/>
      <c r="J137" s="497">
        <f t="shared" ref="J137" si="52">J138</f>
        <v>4.4000000000000004</v>
      </c>
      <c r="K137" s="575">
        <f t="shared" si="24"/>
        <v>1.0000000000000004</v>
      </c>
      <c r="L137" s="168"/>
      <c r="M137" s="580"/>
      <c r="N137" s="161"/>
    </row>
    <row r="138" spans="1:14" s="188" customFormat="1" ht="31.5" x14ac:dyDescent="0.25">
      <c r="A138" s="284" t="s">
        <v>200</v>
      </c>
      <c r="B138" s="1" t="s">
        <v>31</v>
      </c>
      <c r="C138" s="4" t="s">
        <v>8</v>
      </c>
      <c r="D138" s="326" t="s">
        <v>201</v>
      </c>
      <c r="E138" s="309"/>
      <c r="F138" s="168">
        <f t="shared" si="50"/>
        <v>4.3999999999999986</v>
      </c>
      <c r="G138" s="168"/>
      <c r="H138" s="168">
        <f t="shared" si="50"/>
        <v>4.3999999999999986</v>
      </c>
      <c r="I138" s="168"/>
      <c r="J138" s="497">
        <f t="shared" ref="J138" si="53">J139</f>
        <v>4.4000000000000004</v>
      </c>
      <c r="K138" s="575">
        <f t="shared" si="24"/>
        <v>1.0000000000000004</v>
      </c>
      <c r="L138" s="168"/>
      <c r="M138" s="580"/>
      <c r="N138" s="161"/>
    </row>
    <row r="139" spans="1:14" s="188" customFormat="1" x14ac:dyDescent="0.25">
      <c r="A139" s="284" t="s">
        <v>204</v>
      </c>
      <c r="B139" s="1" t="s">
        <v>31</v>
      </c>
      <c r="C139" s="4" t="s">
        <v>8</v>
      </c>
      <c r="D139" s="326" t="s">
        <v>205</v>
      </c>
      <c r="E139" s="309"/>
      <c r="F139" s="168">
        <f t="shared" si="50"/>
        <v>4.3999999999999986</v>
      </c>
      <c r="G139" s="168"/>
      <c r="H139" s="168">
        <f t="shared" si="50"/>
        <v>4.3999999999999986</v>
      </c>
      <c r="I139" s="168"/>
      <c r="J139" s="497">
        <f t="shared" ref="J139" si="54">J140</f>
        <v>4.4000000000000004</v>
      </c>
      <c r="K139" s="575">
        <f t="shared" si="24"/>
        <v>1.0000000000000004</v>
      </c>
      <c r="L139" s="168"/>
      <c r="M139" s="580"/>
      <c r="N139" s="161"/>
    </row>
    <row r="140" spans="1:14" s="188" customFormat="1" ht="31.5" x14ac:dyDescent="0.25">
      <c r="A140" s="278" t="s">
        <v>206</v>
      </c>
      <c r="B140" s="1" t="s">
        <v>31</v>
      </c>
      <c r="C140" s="4" t="s">
        <v>8</v>
      </c>
      <c r="D140" s="326" t="s">
        <v>207</v>
      </c>
      <c r="E140" s="309"/>
      <c r="F140" s="168">
        <f t="shared" si="50"/>
        <v>4.3999999999999986</v>
      </c>
      <c r="G140" s="168"/>
      <c r="H140" s="168">
        <f t="shared" si="50"/>
        <v>4.3999999999999986</v>
      </c>
      <c r="I140" s="168"/>
      <c r="J140" s="497">
        <f t="shared" ref="J140:J141" si="55">J141</f>
        <v>4.4000000000000004</v>
      </c>
      <c r="K140" s="575">
        <f t="shared" si="24"/>
        <v>1.0000000000000004</v>
      </c>
      <c r="L140" s="168"/>
      <c r="M140" s="580"/>
      <c r="N140" s="161"/>
    </row>
    <row r="141" spans="1:14" s="188" customFormat="1" x14ac:dyDescent="0.25">
      <c r="A141" s="278" t="s">
        <v>123</v>
      </c>
      <c r="B141" s="1" t="s">
        <v>31</v>
      </c>
      <c r="C141" s="4" t="s">
        <v>8</v>
      </c>
      <c r="D141" s="326" t="s">
        <v>207</v>
      </c>
      <c r="E141" s="309">
        <v>200</v>
      </c>
      <c r="F141" s="168">
        <f t="shared" si="50"/>
        <v>4.3999999999999986</v>
      </c>
      <c r="G141" s="168"/>
      <c r="H141" s="168">
        <f t="shared" si="50"/>
        <v>4.3999999999999986</v>
      </c>
      <c r="I141" s="168"/>
      <c r="J141" s="497">
        <f t="shared" si="55"/>
        <v>4.4000000000000004</v>
      </c>
      <c r="K141" s="575">
        <f t="shared" si="24"/>
        <v>1.0000000000000004</v>
      </c>
      <c r="L141" s="168"/>
      <c r="M141" s="580"/>
      <c r="N141" s="161"/>
    </row>
    <row r="142" spans="1:14" s="188" customFormat="1" ht="31.5" x14ac:dyDescent="0.25">
      <c r="A142" s="278" t="s">
        <v>54</v>
      </c>
      <c r="B142" s="1" t="s">
        <v>31</v>
      </c>
      <c r="C142" s="4" t="s">
        <v>8</v>
      </c>
      <c r="D142" s="326" t="s">
        <v>207</v>
      </c>
      <c r="E142" s="309">
        <v>240</v>
      </c>
      <c r="F142" s="168">
        <f>'ведом. 2023-2025'!AD82</f>
        <v>4.3999999999999986</v>
      </c>
      <c r="G142" s="168"/>
      <c r="H142" s="168">
        <f>'ведом. 2023-2025'!AE82</f>
        <v>4.3999999999999986</v>
      </c>
      <c r="I142" s="168"/>
      <c r="J142" s="497">
        <f>'ведом. 2023-2025'!AF82</f>
        <v>4.4000000000000004</v>
      </c>
      <c r="K142" s="575">
        <f t="shared" si="24"/>
        <v>1.0000000000000004</v>
      </c>
      <c r="L142" s="168"/>
      <c r="M142" s="580"/>
      <c r="N142" s="161"/>
    </row>
    <row r="143" spans="1:14" s="188" customFormat="1" ht="33.6" customHeight="1" x14ac:dyDescent="0.25">
      <c r="A143" s="278" t="s">
        <v>315</v>
      </c>
      <c r="B143" s="1" t="s">
        <v>31</v>
      </c>
      <c r="C143" s="4" t="s">
        <v>8</v>
      </c>
      <c r="D143" s="326" t="s">
        <v>134</v>
      </c>
      <c r="E143" s="309"/>
      <c r="F143" s="168">
        <f>F144</f>
        <v>85</v>
      </c>
      <c r="G143" s="168"/>
      <c r="H143" s="168">
        <f>H144</f>
        <v>85</v>
      </c>
      <c r="I143" s="168"/>
      <c r="J143" s="497">
        <f t="shared" ref="J143" si="56">J144</f>
        <v>84.1</v>
      </c>
      <c r="K143" s="575">
        <f t="shared" ref="K143:K206" si="57">J143/H143</f>
        <v>0.98941176470588232</v>
      </c>
      <c r="L143" s="168"/>
      <c r="M143" s="580"/>
      <c r="N143" s="161"/>
    </row>
    <row r="144" spans="1:14" s="188" customFormat="1" ht="47.25" x14ac:dyDescent="0.25">
      <c r="A144" s="295" t="s">
        <v>594</v>
      </c>
      <c r="B144" s="1" t="s">
        <v>31</v>
      </c>
      <c r="C144" s="4" t="s">
        <v>8</v>
      </c>
      <c r="D144" s="326" t="s">
        <v>317</v>
      </c>
      <c r="E144" s="309"/>
      <c r="F144" s="168">
        <f>F145</f>
        <v>85</v>
      </c>
      <c r="G144" s="168"/>
      <c r="H144" s="168">
        <f>H145</f>
        <v>85</v>
      </c>
      <c r="I144" s="168"/>
      <c r="J144" s="497">
        <f t="shared" ref="J144:J147" si="58">J145</f>
        <v>84.1</v>
      </c>
      <c r="K144" s="575">
        <f t="shared" si="57"/>
        <v>0.98941176470588232</v>
      </c>
      <c r="L144" s="168"/>
      <c r="M144" s="580"/>
      <c r="N144" s="161"/>
    </row>
    <row r="145" spans="1:14" s="188" customFormat="1" ht="31.5" x14ac:dyDescent="0.25">
      <c r="A145" s="278" t="s">
        <v>697</v>
      </c>
      <c r="B145" s="1" t="s">
        <v>31</v>
      </c>
      <c r="C145" s="4" t="s">
        <v>8</v>
      </c>
      <c r="D145" s="326" t="s">
        <v>322</v>
      </c>
      <c r="E145" s="309"/>
      <c r="F145" s="168">
        <f>F146</f>
        <v>85</v>
      </c>
      <c r="G145" s="168"/>
      <c r="H145" s="168">
        <f>H146</f>
        <v>85</v>
      </c>
      <c r="I145" s="168"/>
      <c r="J145" s="497">
        <f t="shared" si="58"/>
        <v>84.1</v>
      </c>
      <c r="K145" s="575">
        <f t="shared" si="57"/>
        <v>0.98941176470588232</v>
      </c>
      <c r="L145" s="168"/>
      <c r="M145" s="580"/>
      <c r="N145" s="161"/>
    </row>
    <row r="146" spans="1:14" s="188" customFormat="1" ht="47.25" x14ac:dyDescent="0.25">
      <c r="A146" s="302" t="s">
        <v>379</v>
      </c>
      <c r="B146" s="1" t="s">
        <v>31</v>
      </c>
      <c r="C146" s="4" t="s">
        <v>8</v>
      </c>
      <c r="D146" s="326" t="s">
        <v>323</v>
      </c>
      <c r="E146" s="309"/>
      <c r="F146" s="168">
        <f>F147</f>
        <v>85</v>
      </c>
      <c r="G146" s="168"/>
      <c r="H146" s="168">
        <f>H147</f>
        <v>85</v>
      </c>
      <c r="I146" s="168"/>
      <c r="J146" s="497">
        <f t="shared" si="58"/>
        <v>84.1</v>
      </c>
      <c r="K146" s="575">
        <f t="shared" si="57"/>
        <v>0.98941176470588232</v>
      </c>
      <c r="L146" s="168"/>
      <c r="M146" s="580"/>
      <c r="N146" s="161"/>
    </row>
    <row r="147" spans="1:14" s="188" customFormat="1" x14ac:dyDescent="0.25">
      <c r="A147" s="278" t="s">
        <v>123</v>
      </c>
      <c r="B147" s="1" t="s">
        <v>31</v>
      </c>
      <c r="C147" s="4" t="s">
        <v>8</v>
      </c>
      <c r="D147" s="326" t="s">
        <v>323</v>
      </c>
      <c r="E147" s="309">
        <v>200</v>
      </c>
      <c r="F147" s="168">
        <f>F148</f>
        <v>85</v>
      </c>
      <c r="G147" s="168"/>
      <c r="H147" s="168">
        <f>H148</f>
        <v>85</v>
      </c>
      <c r="I147" s="168"/>
      <c r="J147" s="497">
        <f t="shared" si="58"/>
        <v>84.1</v>
      </c>
      <c r="K147" s="575">
        <f t="shared" si="57"/>
        <v>0.98941176470588232</v>
      </c>
      <c r="L147" s="168"/>
      <c r="M147" s="580"/>
      <c r="N147" s="161"/>
    </row>
    <row r="148" spans="1:14" s="188" customFormat="1" ht="31.5" x14ac:dyDescent="0.25">
      <c r="A148" s="278" t="s">
        <v>54</v>
      </c>
      <c r="B148" s="1" t="s">
        <v>31</v>
      </c>
      <c r="C148" s="4" t="s">
        <v>8</v>
      </c>
      <c r="D148" s="326" t="s">
        <v>323</v>
      </c>
      <c r="E148" s="309">
        <v>240</v>
      </c>
      <c r="F148" s="168">
        <f>'ведом. 2023-2025'!AD88</f>
        <v>85</v>
      </c>
      <c r="G148" s="327"/>
      <c r="H148" s="168">
        <f>'ведом. 2023-2025'!AE88</f>
        <v>85</v>
      </c>
      <c r="I148" s="168"/>
      <c r="J148" s="497">
        <f>'ведом. 2023-2025'!AF88</f>
        <v>84.1</v>
      </c>
      <c r="K148" s="575">
        <f t="shared" si="57"/>
        <v>0.98941176470588232</v>
      </c>
      <c r="L148" s="168"/>
      <c r="M148" s="580"/>
      <c r="N148" s="161"/>
    </row>
    <row r="149" spans="1:14" s="145" customFormat="1" x14ac:dyDescent="0.25">
      <c r="A149" s="401" t="s">
        <v>2</v>
      </c>
      <c r="B149" s="209" t="s">
        <v>31</v>
      </c>
      <c r="C149" s="4">
        <v>11</v>
      </c>
      <c r="D149" s="347"/>
      <c r="E149" s="352"/>
      <c r="F149" s="168">
        <f>F150</f>
        <v>3451.1</v>
      </c>
      <c r="G149" s="327"/>
      <c r="H149" s="168">
        <f>H150</f>
        <v>3451.1</v>
      </c>
      <c r="I149" s="168"/>
      <c r="J149" s="497">
        <f>J150</f>
        <v>0</v>
      </c>
      <c r="K149" s="575">
        <f t="shared" si="57"/>
        <v>0</v>
      </c>
      <c r="L149" s="168"/>
      <c r="M149" s="580"/>
      <c r="N149" s="161"/>
    </row>
    <row r="150" spans="1:14" s="145" customFormat="1" x14ac:dyDescent="0.25">
      <c r="A150" s="401" t="s">
        <v>354</v>
      </c>
      <c r="B150" s="209" t="s">
        <v>31</v>
      </c>
      <c r="C150" s="4">
        <v>11</v>
      </c>
      <c r="D150" s="33" t="s">
        <v>140</v>
      </c>
      <c r="E150" s="352"/>
      <c r="F150" s="168">
        <f>F154+F151</f>
        <v>3451.1</v>
      </c>
      <c r="G150" s="168"/>
      <c r="H150" s="168">
        <f>H154+H151</f>
        <v>3451.1</v>
      </c>
      <c r="I150" s="168"/>
      <c r="J150" s="497">
        <f t="shared" ref="J150" si="59">J154</f>
        <v>0</v>
      </c>
      <c r="K150" s="575">
        <f t="shared" si="57"/>
        <v>0</v>
      </c>
      <c r="L150" s="168"/>
      <c r="M150" s="580"/>
      <c r="N150" s="161"/>
    </row>
    <row r="151" spans="1:14" s="188" customFormat="1" x14ac:dyDescent="0.25">
      <c r="A151" s="283" t="s">
        <v>791</v>
      </c>
      <c r="B151" s="1" t="s">
        <v>31</v>
      </c>
      <c r="C151" s="4">
        <v>11</v>
      </c>
      <c r="D151" s="326" t="s">
        <v>792</v>
      </c>
      <c r="E151" s="309"/>
      <c r="F151" s="168">
        <f>F152</f>
        <v>2451.1</v>
      </c>
      <c r="G151" s="168"/>
      <c r="H151" s="168">
        <f>H152</f>
        <v>2451.1</v>
      </c>
      <c r="I151" s="168"/>
      <c r="J151" s="497">
        <f t="shared" ref="J151:J152" si="60">J152</f>
        <v>0</v>
      </c>
      <c r="K151" s="575">
        <f t="shared" si="57"/>
        <v>0</v>
      </c>
      <c r="L151" s="168"/>
      <c r="M151" s="580"/>
      <c r="N151" s="161"/>
    </row>
    <row r="152" spans="1:14" s="188" customFormat="1" x14ac:dyDescent="0.25">
      <c r="A152" s="278" t="s">
        <v>44</v>
      </c>
      <c r="B152" s="1" t="s">
        <v>31</v>
      </c>
      <c r="C152" s="4">
        <v>11</v>
      </c>
      <c r="D152" s="326" t="s">
        <v>792</v>
      </c>
      <c r="E152" s="309">
        <v>800</v>
      </c>
      <c r="F152" s="168">
        <f>F153</f>
        <v>2451.1</v>
      </c>
      <c r="G152" s="168"/>
      <c r="H152" s="168">
        <f>H153</f>
        <v>2451.1</v>
      </c>
      <c r="I152" s="168"/>
      <c r="J152" s="497">
        <f t="shared" si="60"/>
        <v>0</v>
      </c>
      <c r="K152" s="575">
        <f t="shared" si="57"/>
        <v>0</v>
      </c>
      <c r="L152" s="168"/>
      <c r="M152" s="580"/>
      <c r="N152" s="161"/>
    </row>
    <row r="153" spans="1:14" s="188" customFormat="1" x14ac:dyDescent="0.25">
      <c r="A153" s="278" t="s">
        <v>139</v>
      </c>
      <c r="B153" s="1" t="s">
        <v>31</v>
      </c>
      <c r="C153" s="4">
        <v>11</v>
      </c>
      <c r="D153" s="326" t="s">
        <v>792</v>
      </c>
      <c r="E153" s="309">
        <v>870</v>
      </c>
      <c r="F153" s="168">
        <f>'ведом. 2023-2025'!AD93</f>
        <v>2451.1</v>
      </c>
      <c r="G153" s="327"/>
      <c r="H153" s="168">
        <f>'ведом. 2023-2025'!AE93</f>
        <v>2451.1</v>
      </c>
      <c r="I153" s="168"/>
      <c r="J153" s="497">
        <f>'ведом. 2023-2025'!AF93</f>
        <v>0</v>
      </c>
      <c r="K153" s="575">
        <f t="shared" si="57"/>
        <v>0</v>
      </c>
      <c r="L153" s="168"/>
      <c r="M153" s="580"/>
      <c r="N153" s="161"/>
    </row>
    <row r="154" spans="1:14" s="145" customFormat="1" ht="31.5" x14ac:dyDescent="0.25">
      <c r="A154" s="302" t="s">
        <v>347</v>
      </c>
      <c r="B154" s="209" t="s">
        <v>31</v>
      </c>
      <c r="C154" s="4">
        <v>11</v>
      </c>
      <c r="D154" s="163" t="s">
        <v>348</v>
      </c>
      <c r="E154" s="352"/>
      <c r="F154" s="168">
        <f>F155</f>
        <v>1000</v>
      </c>
      <c r="G154" s="327"/>
      <c r="H154" s="168">
        <f>H155</f>
        <v>1000</v>
      </c>
      <c r="I154" s="168"/>
      <c r="J154" s="497">
        <f>J155</f>
        <v>0</v>
      </c>
      <c r="K154" s="575">
        <f t="shared" si="57"/>
        <v>0</v>
      </c>
      <c r="L154" s="168"/>
      <c r="M154" s="580"/>
      <c r="N154" s="161"/>
    </row>
    <row r="155" spans="1:14" s="145" customFormat="1" x14ac:dyDescent="0.25">
      <c r="A155" s="401" t="s">
        <v>44</v>
      </c>
      <c r="B155" s="209" t="s">
        <v>31</v>
      </c>
      <c r="C155" s="4">
        <v>11</v>
      </c>
      <c r="D155" s="163" t="s">
        <v>348</v>
      </c>
      <c r="E155" s="352">
        <v>800</v>
      </c>
      <c r="F155" s="168">
        <f>F156</f>
        <v>1000</v>
      </c>
      <c r="G155" s="327"/>
      <c r="H155" s="168">
        <f>H156</f>
        <v>1000</v>
      </c>
      <c r="I155" s="168"/>
      <c r="J155" s="497">
        <f>J156</f>
        <v>0</v>
      </c>
      <c r="K155" s="575">
        <f t="shared" si="57"/>
        <v>0</v>
      </c>
      <c r="L155" s="168"/>
      <c r="M155" s="580"/>
      <c r="N155" s="161"/>
    </row>
    <row r="156" spans="1:14" s="145" customFormat="1" x14ac:dyDescent="0.25">
      <c r="A156" s="401" t="s">
        <v>139</v>
      </c>
      <c r="B156" s="209" t="s">
        <v>31</v>
      </c>
      <c r="C156" s="4">
        <v>11</v>
      </c>
      <c r="D156" s="163" t="s">
        <v>348</v>
      </c>
      <c r="E156" s="352">
        <v>870</v>
      </c>
      <c r="F156" s="168">
        <f>'ведом. 2023-2025'!AD96</f>
        <v>1000</v>
      </c>
      <c r="G156" s="327"/>
      <c r="H156" s="168">
        <f>'ведом. 2023-2025'!AE96</f>
        <v>1000</v>
      </c>
      <c r="I156" s="168"/>
      <c r="J156" s="497">
        <f>'ведом. 2023-2025'!AF96</f>
        <v>0</v>
      </c>
      <c r="K156" s="575">
        <f t="shared" si="57"/>
        <v>0</v>
      </c>
      <c r="L156" s="168"/>
      <c r="M156" s="580"/>
      <c r="N156" s="161"/>
    </row>
    <row r="157" spans="1:14" s="145" customFormat="1" x14ac:dyDescent="0.25">
      <c r="A157" s="401" t="s">
        <v>15</v>
      </c>
      <c r="B157" s="209" t="s">
        <v>31</v>
      </c>
      <c r="C157" s="4">
        <v>13</v>
      </c>
      <c r="D157" s="347"/>
      <c r="E157" s="352"/>
      <c r="F157" s="168">
        <f>F158+F219+F225+F236</f>
        <v>200195</v>
      </c>
      <c r="G157" s="168">
        <f>G158+G219+G225+G236</f>
        <v>1031.2</v>
      </c>
      <c r="H157" s="168">
        <f>H158+H219+H225+H236</f>
        <v>352109.1</v>
      </c>
      <c r="I157" s="168">
        <f>I158+I219+I225+I236</f>
        <v>2945.2</v>
      </c>
      <c r="J157" s="497">
        <f>J158+J219+J225+J236</f>
        <v>199932.4</v>
      </c>
      <c r="K157" s="575">
        <f t="shared" si="57"/>
        <v>0.56781378271677729</v>
      </c>
      <c r="L157" s="168">
        <f>L158+L219+L225+L236</f>
        <v>2914.3</v>
      </c>
      <c r="M157" s="580">
        <f t="shared" ref="M157:M173" si="61">L157/I157</f>
        <v>0.98950835257367931</v>
      </c>
      <c r="N157" s="161"/>
    </row>
    <row r="158" spans="1:14" s="145" customFormat="1" x14ac:dyDescent="0.25">
      <c r="A158" s="280" t="s">
        <v>193</v>
      </c>
      <c r="B158" s="209" t="s">
        <v>31</v>
      </c>
      <c r="C158" s="4">
        <v>13</v>
      </c>
      <c r="D158" s="163" t="s">
        <v>115</v>
      </c>
      <c r="E158" s="352"/>
      <c r="F158" s="168">
        <f t="shared" ref="F158:J158" si="62">F159+F187</f>
        <v>150965.79999999999</v>
      </c>
      <c r="G158" s="327">
        <f t="shared" si="62"/>
        <v>1031</v>
      </c>
      <c r="H158" s="168">
        <f t="shared" ref="H158:I158" si="63">H159+H187</f>
        <v>150965.79999999999</v>
      </c>
      <c r="I158" s="327">
        <f t="shared" si="63"/>
        <v>1031</v>
      </c>
      <c r="J158" s="497">
        <f t="shared" si="62"/>
        <v>150612.29999999999</v>
      </c>
      <c r="K158" s="575">
        <f t="shared" si="57"/>
        <v>0.99765841005048828</v>
      </c>
      <c r="L158" s="168">
        <f>L159+L187</f>
        <v>1000.3000000000001</v>
      </c>
      <c r="M158" s="580">
        <f t="shared" si="61"/>
        <v>0.97022308438409322</v>
      </c>
      <c r="N158" s="161"/>
    </row>
    <row r="159" spans="1:14" s="145" customFormat="1" x14ac:dyDescent="0.25">
      <c r="A159" s="280" t="s">
        <v>611</v>
      </c>
      <c r="B159" s="209" t="s">
        <v>31</v>
      </c>
      <c r="C159" s="4">
        <v>13</v>
      </c>
      <c r="D159" s="163" t="s">
        <v>116</v>
      </c>
      <c r="E159" s="352"/>
      <c r="F159" s="168">
        <f t="shared" ref="F159:J159" si="64">F160+F168+F174</f>
        <v>37170.299999999996</v>
      </c>
      <c r="G159" s="327">
        <f t="shared" si="64"/>
        <v>1031</v>
      </c>
      <c r="H159" s="168">
        <f t="shared" ref="H159:I159" si="65">H160+H168+H174</f>
        <v>37170.299999999996</v>
      </c>
      <c r="I159" s="327">
        <f t="shared" si="65"/>
        <v>1031</v>
      </c>
      <c r="J159" s="497">
        <f t="shared" si="64"/>
        <v>36968.5</v>
      </c>
      <c r="K159" s="575">
        <f t="shared" si="57"/>
        <v>0.9945709343212189</v>
      </c>
      <c r="L159" s="168">
        <f>L160+L168+L174</f>
        <v>1000.3000000000001</v>
      </c>
      <c r="M159" s="580">
        <f t="shared" si="61"/>
        <v>0.97022308438409322</v>
      </c>
      <c r="N159" s="161"/>
    </row>
    <row r="160" spans="1:14" s="145" customFormat="1" ht="31.5" x14ac:dyDescent="0.25">
      <c r="A160" s="281" t="s">
        <v>189</v>
      </c>
      <c r="B160" s="209" t="s">
        <v>31</v>
      </c>
      <c r="C160" s="4">
        <v>13</v>
      </c>
      <c r="D160" s="163" t="s">
        <v>190</v>
      </c>
      <c r="E160" s="352"/>
      <c r="F160" s="168">
        <f>F161</f>
        <v>13418.199999999999</v>
      </c>
      <c r="G160" s="327"/>
      <c r="H160" s="168">
        <f>H161</f>
        <v>13418.199999999999</v>
      </c>
      <c r="I160" s="168"/>
      <c r="J160" s="497">
        <f>J161</f>
        <v>13276.400000000001</v>
      </c>
      <c r="K160" s="575">
        <f t="shared" si="57"/>
        <v>0.98943226364191939</v>
      </c>
      <c r="L160" s="168"/>
      <c r="M160" s="580"/>
      <c r="N160" s="161"/>
    </row>
    <row r="161" spans="1:14" s="145" customFormat="1" ht="31.5" x14ac:dyDescent="0.25">
      <c r="A161" s="302" t="s">
        <v>191</v>
      </c>
      <c r="B161" s="209" t="s">
        <v>31</v>
      </c>
      <c r="C161" s="4">
        <v>13</v>
      </c>
      <c r="D161" s="163" t="s">
        <v>192</v>
      </c>
      <c r="E161" s="351"/>
      <c r="F161" s="168">
        <f>F162+F166+F164</f>
        <v>13418.199999999999</v>
      </c>
      <c r="G161" s="327"/>
      <c r="H161" s="168">
        <f>H162+H166+H164</f>
        <v>13418.199999999999</v>
      </c>
      <c r="I161" s="168"/>
      <c r="J161" s="497">
        <f>J162+J166+J164</f>
        <v>13276.400000000001</v>
      </c>
      <c r="K161" s="575">
        <f t="shared" si="57"/>
        <v>0.98943226364191939</v>
      </c>
      <c r="L161" s="168"/>
      <c r="M161" s="580"/>
      <c r="N161" s="161"/>
    </row>
    <row r="162" spans="1:14" s="145" customFormat="1" x14ac:dyDescent="0.25">
      <c r="A162" s="401" t="s">
        <v>123</v>
      </c>
      <c r="B162" s="209" t="s">
        <v>31</v>
      </c>
      <c r="C162" s="4">
        <v>13</v>
      </c>
      <c r="D162" s="163" t="s">
        <v>192</v>
      </c>
      <c r="E162" s="352">
        <v>200</v>
      </c>
      <c r="F162" s="168">
        <f>F163</f>
        <v>1559.8</v>
      </c>
      <c r="G162" s="327"/>
      <c r="H162" s="168">
        <f>H163</f>
        <v>1559.8</v>
      </c>
      <c r="I162" s="168"/>
      <c r="J162" s="497">
        <f>J163</f>
        <v>1424.7</v>
      </c>
      <c r="K162" s="575">
        <f t="shared" si="57"/>
        <v>0.91338633158097193</v>
      </c>
      <c r="L162" s="168"/>
      <c r="M162" s="580"/>
      <c r="N162" s="161"/>
    </row>
    <row r="163" spans="1:14" s="145" customFormat="1" ht="31.5" x14ac:dyDescent="0.25">
      <c r="A163" s="401" t="s">
        <v>54</v>
      </c>
      <c r="B163" s="209" t="s">
        <v>31</v>
      </c>
      <c r="C163" s="4">
        <v>13</v>
      </c>
      <c r="D163" s="163" t="s">
        <v>192</v>
      </c>
      <c r="E163" s="352">
        <v>240</v>
      </c>
      <c r="F163" s="168">
        <f>'ведом. 2023-2025'!AD103+'ведом. 2023-2025'!AD592</f>
        <v>1559.8</v>
      </c>
      <c r="G163" s="327"/>
      <c r="H163" s="168">
        <f>'ведом. 2023-2025'!AE103+'ведом. 2023-2025'!AE592</f>
        <v>1559.8</v>
      </c>
      <c r="I163" s="168"/>
      <c r="J163" s="497">
        <f>'ведом. 2023-2025'!AF103+'ведом. 2023-2025'!AF592</f>
        <v>1424.7</v>
      </c>
      <c r="K163" s="575">
        <f t="shared" si="57"/>
        <v>0.91338633158097193</v>
      </c>
      <c r="L163" s="168"/>
      <c r="M163" s="580"/>
      <c r="N163" s="161"/>
    </row>
    <row r="164" spans="1:14" s="188" customFormat="1" x14ac:dyDescent="0.25">
      <c r="A164" s="278" t="s">
        <v>100</v>
      </c>
      <c r="B164" s="209" t="s">
        <v>31</v>
      </c>
      <c r="C164" s="4">
        <v>13</v>
      </c>
      <c r="D164" s="163" t="s">
        <v>192</v>
      </c>
      <c r="E164" s="352">
        <v>300</v>
      </c>
      <c r="F164" s="168">
        <f>F165</f>
        <v>2186.5</v>
      </c>
      <c r="G164" s="327"/>
      <c r="H164" s="168">
        <f>H165</f>
        <v>2186.5</v>
      </c>
      <c r="I164" s="168"/>
      <c r="J164" s="497">
        <f>J165</f>
        <v>2179.8000000000002</v>
      </c>
      <c r="K164" s="575">
        <f t="shared" si="57"/>
        <v>0.99693574205351021</v>
      </c>
      <c r="L164" s="168"/>
      <c r="M164" s="580"/>
      <c r="N164" s="161"/>
    </row>
    <row r="165" spans="1:14" s="188" customFormat="1" x14ac:dyDescent="0.25">
      <c r="A165" s="278" t="s">
        <v>464</v>
      </c>
      <c r="B165" s="209" t="s">
        <v>31</v>
      </c>
      <c r="C165" s="4">
        <v>13</v>
      </c>
      <c r="D165" s="163" t="s">
        <v>192</v>
      </c>
      <c r="E165" s="352">
        <v>360</v>
      </c>
      <c r="F165" s="168">
        <f>'ведом. 2023-2025'!AD105</f>
        <v>2186.5</v>
      </c>
      <c r="G165" s="327"/>
      <c r="H165" s="168">
        <f>'ведом. 2023-2025'!AE105</f>
        <v>2186.5</v>
      </c>
      <c r="I165" s="168"/>
      <c r="J165" s="497">
        <f>'ведом. 2023-2025'!AF105</f>
        <v>2179.8000000000002</v>
      </c>
      <c r="K165" s="575">
        <f t="shared" si="57"/>
        <v>0.99693574205351021</v>
      </c>
      <c r="L165" s="168"/>
      <c r="M165" s="580"/>
      <c r="N165" s="161"/>
    </row>
    <row r="166" spans="1:14" s="188" customFormat="1" ht="31.5" x14ac:dyDescent="0.25">
      <c r="A166" s="401" t="s">
        <v>62</v>
      </c>
      <c r="B166" s="209" t="s">
        <v>31</v>
      </c>
      <c r="C166" s="4">
        <v>13</v>
      </c>
      <c r="D166" s="163" t="s">
        <v>192</v>
      </c>
      <c r="E166" s="352">
        <v>600</v>
      </c>
      <c r="F166" s="168">
        <f>F167</f>
        <v>9671.9</v>
      </c>
      <c r="G166" s="327"/>
      <c r="H166" s="168">
        <f>H167</f>
        <v>9671.9</v>
      </c>
      <c r="I166" s="168"/>
      <c r="J166" s="497">
        <f>J167</f>
        <v>9671.9</v>
      </c>
      <c r="K166" s="575">
        <f t="shared" si="57"/>
        <v>1</v>
      </c>
      <c r="L166" s="168"/>
      <c r="M166" s="580"/>
      <c r="N166" s="161"/>
    </row>
    <row r="167" spans="1:14" s="188" customFormat="1" x14ac:dyDescent="0.25">
      <c r="A167" s="401" t="s">
        <v>63</v>
      </c>
      <c r="B167" s="209" t="s">
        <v>31</v>
      </c>
      <c r="C167" s="4">
        <v>13</v>
      </c>
      <c r="D167" s="163" t="s">
        <v>192</v>
      </c>
      <c r="E167" s="352">
        <v>610</v>
      </c>
      <c r="F167" s="168">
        <f>'ведом. 2023-2025'!AD107</f>
        <v>9671.9</v>
      </c>
      <c r="G167" s="327"/>
      <c r="H167" s="168">
        <f>'ведом. 2023-2025'!AE107</f>
        <v>9671.9</v>
      </c>
      <c r="I167" s="168"/>
      <c r="J167" s="497">
        <f>'ведом. 2023-2025'!AF107</f>
        <v>9671.9</v>
      </c>
      <c r="K167" s="575">
        <f t="shared" si="57"/>
        <v>1</v>
      </c>
      <c r="L167" s="168"/>
      <c r="M167" s="580"/>
      <c r="N167" s="161"/>
    </row>
    <row r="168" spans="1:14" s="145" customFormat="1" ht="31.5" x14ac:dyDescent="0.25">
      <c r="A168" s="281" t="s">
        <v>194</v>
      </c>
      <c r="B168" s="209" t="s">
        <v>31</v>
      </c>
      <c r="C168" s="4">
        <v>13</v>
      </c>
      <c r="D168" s="163" t="s">
        <v>195</v>
      </c>
      <c r="E168" s="353"/>
      <c r="F168" s="168">
        <f t="shared" ref="F168:J168" si="66">F169</f>
        <v>1031</v>
      </c>
      <c r="G168" s="327">
        <f t="shared" si="66"/>
        <v>1031</v>
      </c>
      <c r="H168" s="168">
        <f t="shared" si="66"/>
        <v>1031</v>
      </c>
      <c r="I168" s="327">
        <f t="shared" si="66"/>
        <v>1031</v>
      </c>
      <c r="J168" s="497">
        <f t="shared" si="66"/>
        <v>1000.3000000000001</v>
      </c>
      <c r="K168" s="575">
        <f t="shared" si="57"/>
        <v>0.97022308438409322</v>
      </c>
      <c r="L168" s="168">
        <f>L169</f>
        <v>1000.3000000000001</v>
      </c>
      <c r="M168" s="580">
        <f t="shared" si="61"/>
        <v>0.97022308438409322</v>
      </c>
      <c r="N168" s="161"/>
    </row>
    <row r="169" spans="1:14" s="145" customFormat="1" ht="31.5" x14ac:dyDescent="0.25">
      <c r="A169" s="281" t="s">
        <v>145</v>
      </c>
      <c r="B169" s="209" t="s">
        <v>31</v>
      </c>
      <c r="C169" s="4">
        <v>13</v>
      </c>
      <c r="D169" s="163" t="s">
        <v>196</v>
      </c>
      <c r="E169" s="353"/>
      <c r="F169" s="168">
        <f t="shared" ref="F169:J169" si="67">F170+F172</f>
        <v>1031</v>
      </c>
      <c r="G169" s="327">
        <f t="shared" si="67"/>
        <v>1031</v>
      </c>
      <c r="H169" s="168">
        <f t="shared" ref="H169:I169" si="68">H170+H172</f>
        <v>1031</v>
      </c>
      <c r="I169" s="327">
        <f t="shared" si="68"/>
        <v>1031</v>
      </c>
      <c r="J169" s="497">
        <f t="shared" si="67"/>
        <v>1000.3000000000001</v>
      </c>
      <c r="K169" s="575">
        <f t="shared" si="57"/>
        <v>0.97022308438409322</v>
      </c>
      <c r="L169" s="168">
        <f>L170+L172</f>
        <v>1000.3000000000001</v>
      </c>
      <c r="M169" s="580">
        <f t="shared" si="61"/>
        <v>0.97022308438409322</v>
      </c>
      <c r="N169" s="161"/>
    </row>
    <row r="170" spans="1:14" s="183" customFormat="1" ht="47.25" x14ac:dyDescent="0.25">
      <c r="A170" s="401" t="s">
        <v>43</v>
      </c>
      <c r="B170" s="209" t="s">
        <v>31</v>
      </c>
      <c r="C170" s="4">
        <v>13</v>
      </c>
      <c r="D170" s="163" t="s">
        <v>196</v>
      </c>
      <c r="E170" s="353">
        <v>100</v>
      </c>
      <c r="F170" s="168">
        <f t="shared" ref="F170:J170" si="69">F171</f>
        <v>988.7</v>
      </c>
      <c r="G170" s="327">
        <f t="shared" si="69"/>
        <v>988.7</v>
      </c>
      <c r="H170" s="168">
        <f t="shared" si="69"/>
        <v>988.7</v>
      </c>
      <c r="I170" s="327">
        <f t="shared" si="69"/>
        <v>988.7</v>
      </c>
      <c r="J170" s="497">
        <f t="shared" si="69"/>
        <v>988.7</v>
      </c>
      <c r="K170" s="575">
        <f t="shared" si="57"/>
        <v>1</v>
      </c>
      <c r="L170" s="168">
        <f>L171</f>
        <v>988.7</v>
      </c>
      <c r="M170" s="580">
        <f t="shared" si="61"/>
        <v>1</v>
      </c>
      <c r="N170" s="161"/>
    </row>
    <row r="171" spans="1:14" s="145" customFormat="1" x14ac:dyDescent="0.25">
      <c r="A171" s="401" t="s">
        <v>99</v>
      </c>
      <c r="B171" s="209" t="s">
        <v>31</v>
      </c>
      <c r="C171" s="4">
        <v>13</v>
      </c>
      <c r="D171" s="163" t="s">
        <v>196</v>
      </c>
      <c r="E171" s="353">
        <v>120</v>
      </c>
      <c r="F171" s="168">
        <f>'ведом. 2023-2025'!AD596</f>
        <v>988.7</v>
      </c>
      <c r="G171" s="327">
        <f>F171</f>
        <v>988.7</v>
      </c>
      <c r="H171" s="168">
        <f>'ведом. 2023-2025'!AE596</f>
        <v>988.7</v>
      </c>
      <c r="I171" s="327">
        <f>H171</f>
        <v>988.7</v>
      </c>
      <c r="J171" s="497">
        <f>'ведом. 2023-2025'!AF596</f>
        <v>988.7</v>
      </c>
      <c r="K171" s="575">
        <f t="shared" si="57"/>
        <v>1</v>
      </c>
      <c r="L171" s="168">
        <f>J171</f>
        <v>988.7</v>
      </c>
      <c r="M171" s="580">
        <f t="shared" si="61"/>
        <v>1</v>
      </c>
      <c r="N171" s="161"/>
    </row>
    <row r="172" spans="1:14" s="145" customFormat="1" x14ac:dyDescent="0.25">
      <c r="A172" s="401" t="s">
        <v>123</v>
      </c>
      <c r="B172" s="209" t="s">
        <v>31</v>
      </c>
      <c r="C172" s="4">
        <v>13</v>
      </c>
      <c r="D172" s="163" t="s">
        <v>196</v>
      </c>
      <c r="E172" s="353">
        <v>200</v>
      </c>
      <c r="F172" s="168">
        <f t="shared" ref="F172:J172" si="70">F173</f>
        <v>42.3</v>
      </c>
      <c r="G172" s="327">
        <f t="shared" si="70"/>
        <v>42.3</v>
      </c>
      <c r="H172" s="168">
        <f t="shared" si="70"/>
        <v>42.3</v>
      </c>
      <c r="I172" s="327">
        <f t="shared" si="70"/>
        <v>42.3</v>
      </c>
      <c r="J172" s="497">
        <f t="shared" si="70"/>
        <v>11.6</v>
      </c>
      <c r="K172" s="575">
        <f t="shared" si="57"/>
        <v>0.27423167848699764</v>
      </c>
      <c r="L172" s="168">
        <f>L173</f>
        <v>11.6</v>
      </c>
      <c r="M172" s="580">
        <f t="shared" si="61"/>
        <v>0.27423167848699764</v>
      </c>
      <c r="N172" s="161"/>
    </row>
    <row r="173" spans="1:14" s="145" customFormat="1" ht="31.5" x14ac:dyDescent="0.25">
      <c r="A173" s="401" t="s">
        <v>54</v>
      </c>
      <c r="B173" s="209" t="s">
        <v>31</v>
      </c>
      <c r="C173" s="4">
        <v>13</v>
      </c>
      <c r="D173" s="163" t="s">
        <v>196</v>
      </c>
      <c r="E173" s="353">
        <v>240</v>
      </c>
      <c r="F173" s="168">
        <f>'ведом. 2023-2025'!AD598</f>
        <v>42.3</v>
      </c>
      <c r="G173" s="327">
        <f>F173</f>
        <v>42.3</v>
      </c>
      <c r="H173" s="168">
        <f>'ведом. 2023-2025'!AE598</f>
        <v>42.3</v>
      </c>
      <c r="I173" s="327">
        <f>H173</f>
        <v>42.3</v>
      </c>
      <c r="J173" s="497">
        <f>'ведом. 2023-2025'!AF598</f>
        <v>11.6</v>
      </c>
      <c r="K173" s="575">
        <f t="shared" si="57"/>
        <v>0.27423167848699764</v>
      </c>
      <c r="L173" s="168">
        <f>J173</f>
        <v>11.6</v>
      </c>
      <c r="M173" s="580">
        <f t="shared" si="61"/>
        <v>0.27423167848699764</v>
      </c>
      <c r="N173" s="161"/>
    </row>
    <row r="174" spans="1:14" s="145" customFormat="1" ht="31.5" x14ac:dyDescent="0.25">
      <c r="A174" s="280" t="s">
        <v>349</v>
      </c>
      <c r="B174" s="209" t="s">
        <v>31</v>
      </c>
      <c r="C174" s="4">
        <v>13</v>
      </c>
      <c r="D174" s="163" t="s">
        <v>520</v>
      </c>
      <c r="E174" s="352"/>
      <c r="F174" s="168">
        <f>F175</f>
        <v>22721.1</v>
      </c>
      <c r="G174" s="327"/>
      <c r="H174" s="168">
        <f>H175</f>
        <v>22721.1</v>
      </c>
      <c r="I174" s="168"/>
      <c r="J174" s="497">
        <f>J175</f>
        <v>22691.8</v>
      </c>
      <c r="K174" s="575">
        <f t="shared" si="57"/>
        <v>0.99871044975815437</v>
      </c>
      <c r="L174" s="168"/>
      <c r="M174" s="580"/>
      <c r="N174" s="161"/>
    </row>
    <row r="175" spans="1:14" s="145" customFormat="1" x14ac:dyDescent="0.25">
      <c r="A175" s="280" t="s">
        <v>352</v>
      </c>
      <c r="B175" s="209" t="s">
        <v>31</v>
      </c>
      <c r="C175" s="4">
        <v>13</v>
      </c>
      <c r="D175" s="163" t="s">
        <v>521</v>
      </c>
      <c r="E175" s="352"/>
      <c r="F175" s="168">
        <f>F176+F181+F184</f>
        <v>22721.1</v>
      </c>
      <c r="G175" s="327"/>
      <c r="H175" s="168">
        <f>H176+H181+H184</f>
        <v>22721.1</v>
      </c>
      <c r="I175" s="168"/>
      <c r="J175" s="497">
        <f>J176+J181+J184</f>
        <v>22691.8</v>
      </c>
      <c r="K175" s="575">
        <f t="shared" si="57"/>
        <v>0.99871044975815437</v>
      </c>
      <c r="L175" s="168"/>
      <c r="M175" s="580"/>
      <c r="N175" s="161"/>
    </row>
    <row r="176" spans="1:14" s="145" customFormat="1" ht="31.5" x14ac:dyDescent="0.25">
      <c r="A176" s="280" t="s">
        <v>215</v>
      </c>
      <c r="B176" s="209" t="s">
        <v>31</v>
      </c>
      <c r="C176" s="4">
        <v>13</v>
      </c>
      <c r="D176" s="163" t="s">
        <v>522</v>
      </c>
      <c r="E176" s="352"/>
      <c r="F176" s="168">
        <f>F177+F179</f>
        <v>1496</v>
      </c>
      <c r="G176" s="168"/>
      <c r="H176" s="168">
        <f>H177+H179</f>
        <v>1496</v>
      </c>
      <c r="I176" s="168"/>
      <c r="J176" s="497">
        <f t="shared" ref="J176" si="71">J177+J179</f>
        <v>1466.7</v>
      </c>
      <c r="K176" s="575">
        <f t="shared" si="57"/>
        <v>0.98041443850267385</v>
      </c>
      <c r="L176" s="168"/>
      <c r="M176" s="580"/>
      <c r="N176" s="161"/>
    </row>
    <row r="177" spans="1:14" s="145" customFormat="1" x14ac:dyDescent="0.25">
      <c r="A177" s="401" t="s">
        <v>123</v>
      </c>
      <c r="B177" s="209" t="s">
        <v>31</v>
      </c>
      <c r="C177" s="4">
        <v>13</v>
      </c>
      <c r="D177" s="163" t="s">
        <v>522</v>
      </c>
      <c r="E177" s="352">
        <v>200</v>
      </c>
      <c r="F177" s="168">
        <f>F178</f>
        <v>1495.4</v>
      </c>
      <c r="G177" s="327"/>
      <c r="H177" s="168">
        <f>H178</f>
        <v>1495.4</v>
      </c>
      <c r="I177" s="168"/>
      <c r="J177" s="497">
        <f>J178</f>
        <v>1466.2</v>
      </c>
      <c r="K177" s="575">
        <f t="shared" si="57"/>
        <v>0.98047345191921886</v>
      </c>
      <c r="L177" s="168"/>
      <c r="M177" s="580"/>
      <c r="N177" s="161"/>
    </row>
    <row r="178" spans="1:14" s="145" customFormat="1" ht="31.5" x14ac:dyDescent="0.25">
      <c r="A178" s="401" t="s">
        <v>54</v>
      </c>
      <c r="B178" s="209" t="s">
        <v>31</v>
      </c>
      <c r="C178" s="4">
        <v>13</v>
      </c>
      <c r="D178" s="163" t="s">
        <v>522</v>
      </c>
      <c r="E178" s="352">
        <v>240</v>
      </c>
      <c r="F178" s="168">
        <f>'ведом. 2023-2025'!AD603</f>
        <v>1495.4</v>
      </c>
      <c r="G178" s="327"/>
      <c r="H178" s="168">
        <f>'ведом. 2023-2025'!AE603</f>
        <v>1495.4</v>
      </c>
      <c r="I178" s="168"/>
      <c r="J178" s="497">
        <f>'ведом. 2023-2025'!AF603</f>
        <v>1466.2</v>
      </c>
      <c r="K178" s="575">
        <f t="shared" si="57"/>
        <v>0.98047345191921886</v>
      </c>
      <c r="L178" s="168"/>
      <c r="M178" s="580"/>
      <c r="N178" s="161"/>
    </row>
    <row r="179" spans="1:14" s="188" customFormat="1" x14ac:dyDescent="0.25">
      <c r="A179" s="401" t="s">
        <v>123</v>
      </c>
      <c r="B179" s="209" t="s">
        <v>31</v>
      </c>
      <c r="C179" s="4">
        <v>13</v>
      </c>
      <c r="D179" s="163" t="s">
        <v>522</v>
      </c>
      <c r="E179" s="352">
        <v>800</v>
      </c>
      <c r="F179" s="168">
        <f>F180</f>
        <v>0.6</v>
      </c>
      <c r="G179" s="168"/>
      <c r="H179" s="168">
        <f>H180</f>
        <v>0.6</v>
      </c>
      <c r="I179" s="168"/>
      <c r="J179" s="497">
        <f t="shared" ref="J179" si="72">J180</f>
        <v>0.5</v>
      </c>
      <c r="K179" s="575">
        <f t="shared" si="57"/>
        <v>0.83333333333333337</v>
      </c>
      <c r="L179" s="168"/>
      <c r="M179" s="580"/>
      <c r="N179" s="161"/>
    </row>
    <row r="180" spans="1:14" s="188" customFormat="1" ht="31.5" x14ac:dyDescent="0.25">
      <c r="A180" s="401" t="s">
        <v>54</v>
      </c>
      <c r="B180" s="209" t="s">
        <v>31</v>
      </c>
      <c r="C180" s="4">
        <v>13</v>
      </c>
      <c r="D180" s="163" t="s">
        <v>522</v>
      </c>
      <c r="E180" s="352">
        <v>850</v>
      </c>
      <c r="F180" s="168">
        <f>'ведом. 2023-2025'!AD605</f>
        <v>0.6</v>
      </c>
      <c r="G180" s="327"/>
      <c r="H180" s="168">
        <f>'ведом. 2023-2025'!AE605</f>
        <v>0.6</v>
      </c>
      <c r="I180" s="168"/>
      <c r="J180" s="497">
        <f>'ведом. 2023-2025'!AF605</f>
        <v>0.5</v>
      </c>
      <c r="K180" s="575">
        <f t="shared" si="57"/>
        <v>0.83333333333333337</v>
      </c>
      <c r="L180" s="168"/>
      <c r="M180" s="580"/>
      <c r="N180" s="161"/>
    </row>
    <row r="181" spans="1:14" s="145" customFormat="1" ht="31.5" x14ac:dyDescent="0.25">
      <c r="A181" s="401" t="s">
        <v>216</v>
      </c>
      <c r="B181" s="209" t="s">
        <v>31</v>
      </c>
      <c r="C181" s="4">
        <v>13</v>
      </c>
      <c r="D181" s="33" t="str">
        <f>D182</f>
        <v>12 1 04 00132</v>
      </c>
      <c r="E181" s="352"/>
      <c r="F181" s="168">
        <f>F182</f>
        <v>7289.7</v>
      </c>
      <c r="G181" s="327"/>
      <c r="H181" s="168">
        <f>H182</f>
        <v>7289.7</v>
      </c>
      <c r="I181" s="168"/>
      <c r="J181" s="497">
        <f t="shared" ref="J181" si="73">J182</f>
        <v>7289.7</v>
      </c>
      <c r="K181" s="575">
        <f t="shared" si="57"/>
        <v>1</v>
      </c>
      <c r="L181" s="168"/>
      <c r="M181" s="580"/>
      <c r="N181" s="161"/>
    </row>
    <row r="182" spans="1:14" s="145" customFormat="1" ht="47.25" x14ac:dyDescent="0.25">
      <c r="A182" s="401" t="s">
        <v>43</v>
      </c>
      <c r="B182" s="209" t="s">
        <v>31</v>
      </c>
      <c r="C182" s="4">
        <v>13</v>
      </c>
      <c r="D182" s="33" t="str">
        <f>D183</f>
        <v>12 1 04 00132</v>
      </c>
      <c r="E182" s="352">
        <v>100</v>
      </c>
      <c r="F182" s="168">
        <f>F183</f>
        <v>7289.7</v>
      </c>
      <c r="G182" s="327"/>
      <c r="H182" s="168">
        <f>H183</f>
        <v>7289.7</v>
      </c>
      <c r="I182" s="168"/>
      <c r="J182" s="497">
        <f>J183</f>
        <v>7289.7</v>
      </c>
      <c r="K182" s="575">
        <f t="shared" si="57"/>
        <v>1</v>
      </c>
      <c r="L182" s="168"/>
      <c r="M182" s="580"/>
      <c r="N182" s="161"/>
    </row>
    <row r="183" spans="1:14" s="145" customFormat="1" x14ac:dyDescent="0.25">
      <c r="A183" s="401" t="s">
        <v>99</v>
      </c>
      <c r="B183" s="209" t="s">
        <v>31</v>
      </c>
      <c r="C183" s="4">
        <v>13</v>
      </c>
      <c r="D183" s="163" t="s">
        <v>523</v>
      </c>
      <c r="E183" s="352">
        <v>120</v>
      </c>
      <c r="F183" s="168">
        <f>'ведом. 2023-2025'!AD608</f>
        <v>7289.7</v>
      </c>
      <c r="G183" s="327"/>
      <c r="H183" s="168">
        <f>'ведом. 2023-2025'!AE608</f>
        <v>7289.7</v>
      </c>
      <c r="I183" s="168"/>
      <c r="J183" s="497">
        <f>'ведом. 2023-2025'!AF608</f>
        <v>7289.7</v>
      </c>
      <c r="K183" s="575">
        <f t="shared" si="57"/>
        <v>1</v>
      </c>
      <c r="L183" s="168"/>
      <c r="M183" s="580"/>
      <c r="N183" s="161"/>
    </row>
    <row r="184" spans="1:14" s="145" customFormat="1" ht="31.5" x14ac:dyDescent="0.25">
      <c r="A184" s="401" t="s">
        <v>217</v>
      </c>
      <c r="B184" s="209" t="s">
        <v>31</v>
      </c>
      <c r="C184" s="4">
        <v>13</v>
      </c>
      <c r="D184" s="33" t="str">
        <f>D185</f>
        <v>12 1 04 00133</v>
      </c>
      <c r="E184" s="352"/>
      <c r="F184" s="168">
        <f>F185</f>
        <v>13935.4</v>
      </c>
      <c r="G184" s="327"/>
      <c r="H184" s="168">
        <f>H185</f>
        <v>13935.4</v>
      </c>
      <c r="I184" s="168"/>
      <c r="J184" s="497">
        <f>J185</f>
        <v>13935.4</v>
      </c>
      <c r="K184" s="575">
        <f t="shared" si="57"/>
        <v>1</v>
      </c>
      <c r="L184" s="168"/>
      <c r="M184" s="580"/>
      <c r="N184" s="161"/>
    </row>
    <row r="185" spans="1:14" s="145" customFormat="1" ht="47.25" x14ac:dyDescent="0.25">
      <c r="A185" s="401" t="s">
        <v>43</v>
      </c>
      <c r="B185" s="209" t="s">
        <v>31</v>
      </c>
      <c r="C185" s="4">
        <v>13</v>
      </c>
      <c r="D185" s="33" t="str">
        <f>D186</f>
        <v>12 1 04 00133</v>
      </c>
      <c r="E185" s="352">
        <v>100</v>
      </c>
      <c r="F185" s="168">
        <f>F186</f>
        <v>13935.4</v>
      </c>
      <c r="G185" s="327"/>
      <c r="H185" s="168">
        <f>H186</f>
        <v>13935.4</v>
      </c>
      <c r="I185" s="168"/>
      <c r="J185" s="497">
        <f>J186</f>
        <v>13935.4</v>
      </c>
      <c r="K185" s="575">
        <f t="shared" si="57"/>
        <v>1</v>
      </c>
      <c r="L185" s="168"/>
      <c r="M185" s="580"/>
      <c r="N185" s="161"/>
    </row>
    <row r="186" spans="1:14" s="145" customFormat="1" x14ac:dyDescent="0.25">
      <c r="A186" s="401" t="s">
        <v>99</v>
      </c>
      <c r="B186" s="209" t="s">
        <v>31</v>
      </c>
      <c r="C186" s="4">
        <v>13</v>
      </c>
      <c r="D186" s="163" t="s">
        <v>524</v>
      </c>
      <c r="E186" s="352">
        <v>120</v>
      </c>
      <c r="F186" s="168">
        <f>'ведом. 2023-2025'!AD611</f>
        <v>13935.4</v>
      </c>
      <c r="G186" s="327"/>
      <c r="H186" s="168">
        <f>'ведом. 2023-2025'!AE611</f>
        <v>13935.4</v>
      </c>
      <c r="I186" s="168"/>
      <c r="J186" s="497">
        <f>'ведом. 2023-2025'!AF611</f>
        <v>13935.4</v>
      </c>
      <c r="K186" s="575">
        <f t="shared" si="57"/>
        <v>1</v>
      </c>
      <c r="L186" s="168"/>
      <c r="M186" s="580"/>
      <c r="N186" s="161"/>
    </row>
    <row r="187" spans="1:14" s="145" customFormat="1" x14ac:dyDescent="0.25">
      <c r="A187" s="280" t="s">
        <v>198</v>
      </c>
      <c r="B187" s="209" t="s">
        <v>31</v>
      </c>
      <c r="C187" s="4">
        <v>13</v>
      </c>
      <c r="D187" s="306" t="s">
        <v>199</v>
      </c>
      <c r="E187" s="352"/>
      <c r="F187" s="168">
        <f>F188+F215</f>
        <v>113795.5</v>
      </c>
      <c r="G187" s="168"/>
      <c r="H187" s="168">
        <f>H188+H215</f>
        <v>113795.5</v>
      </c>
      <c r="I187" s="168"/>
      <c r="J187" s="497">
        <f t="shared" ref="J187" si="74">J188+J215</f>
        <v>113643.79999999999</v>
      </c>
      <c r="K187" s="575">
        <f t="shared" si="57"/>
        <v>0.99866690686362802</v>
      </c>
      <c r="L187" s="168"/>
      <c r="M187" s="580"/>
      <c r="N187" s="161"/>
    </row>
    <row r="188" spans="1:14" s="145" customFormat="1" ht="31.5" x14ac:dyDescent="0.25">
      <c r="A188" s="280" t="s">
        <v>200</v>
      </c>
      <c r="B188" s="209" t="s">
        <v>31</v>
      </c>
      <c r="C188" s="4">
        <v>13</v>
      </c>
      <c r="D188" s="306" t="s">
        <v>201</v>
      </c>
      <c r="E188" s="352"/>
      <c r="F188" s="168">
        <f>F189+F197+F200+F192</f>
        <v>113747.8</v>
      </c>
      <c r="G188" s="168"/>
      <c r="H188" s="168">
        <f>H189+H197+H200+H192</f>
        <v>113747.8</v>
      </c>
      <c r="I188" s="168"/>
      <c r="J188" s="497">
        <f t="shared" ref="J188" si="75">J189+J197+J200+J192</f>
        <v>113605.49999999999</v>
      </c>
      <c r="K188" s="575">
        <f t="shared" si="57"/>
        <v>0.99874898679359059</v>
      </c>
      <c r="L188" s="168"/>
      <c r="M188" s="580"/>
      <c r="N188" s="161"/>
    </row>
    <row r="189" spans="1:14" s="145" customFormat="1" x14ac:dyDescent="0.25">
      <c r="A189" s="302" t="s">
        <v>232</v>
      </c>
      <c r="B189" s="209" t="s">
        <v>31</v>
      </c>
      <c r="C189" s="4">
        <v>13</v>
      </c>
      <c r="D189" s="306" t="s">
        <v>233</v>
      </c>
      <c r="E189" s="352"/>
      <c r="F189" s="168">
        <f>F190</f>
        <v>144.19999999999999</v>
      </c>
      <c r="G189" s="327"/>
      <c r="H189" s="168">
        <f>H190</f>
        <v>144.19999999999999</v>
      </c>
      <c r="I189" s="168"/>
      <c r="J189" s="497">
        <f>J190</f>
        <v>144.19999999999999</v>
      </c>
      <c r="K189" s="575">
        <f t="shared" si="57"/>
        <v>1</v>
      </c>
      <c r="L189" s="168"/>
      <c r="M189" s="580"/>
      <c r="N189" s="161"/>
    </row>
    <row r="190" spans="1:14" s="145" customFormat="1" x14ac:dyDescent="0.25">
      <c r="A190" s="401" t="s">
        <v>44</v>
      </c>
      <c r="B190" s="209" t="s">
        <v>31</v>
      </c>
      <c r="C190" s="4">
        <v>13</v>
      </c>
      <c r="D190" s="306" t="s">
        <v>233</v>
      </c>
      <c r="E190" s="352">
        <v>800</v>
      </c>
      <c r="F190" s="168">
        <f>F191</f>
        <v>144.19999999999999</v>
      </c>
      <c r="G190" s="327"/>
      <c r="H190" s="168">
        <f>H191</f>
        <v>144.19999999999999</v>
      </c>
      <c r="I190" s="168"/>
      <c r="J190" s="497">
        <f>J191</f>
        <v>144.19999999999999</v>
      </c>
      <c r="K190" s="575">
        <f t="shared" si="57"/>
        <v>1</v>
      </c>
      <c r="L190" s="168"/>
      <c r="M190" s="580"/>
      <c r="N190" s="161"/>
    </row>
    <row r="191" spans="1:14" s="145" customFormat="1" x14ac:dyDescent="0.25">
      <c r="A191" s="401" t="s">
        <v>60</v>
      </c>
      <c r="B191" s="209" t="s">
        <v>31</v>
      </c>
      <c r="C191" s="4">
        <v>13</v>
      </c>
      <c r="D191" s="306" t="s">
        <v>233</v>
      </c>
      <c r="E191" s="352">
        <v>850</v>
      </c>
      <c r="F191" s="168">
        <f>'ведом. 2023-2025'!AD112</f>
        <v>144.19999999999999</v>
      </c>
      <c r="G191" s="327"/>
      <c r="H191" s="168">
        <f>'ведом. 2023-2025'!AE112</f>
        <v>144.19999999999999</v>
      </c>
      <c r="I191" s="168"/>
      <c r="J191" s="497">
        <f>'ведом. 2023-2025'!AF112</f>
        <v>144.19999999999999</v>
      </c>
      <c r="K191" s="575">
        <f t="shared" si="57"/>
        <v>1</v>
      </c>
      <c r="L191" s="168"/>
      <c r="M191" s="580"/>
      <c r="N191" s="161"/>
    </row>
    <row r="192" spans="1:14" s="188" customFormat="1" ht="31.5" x14ac:dyDescent="0.25">
      <c r="A192" s="283" t="s">
        <v>645</v>
      </c>
      <c r="B192" s="209" t="s">
        <v>31</v>
      </c>
      <c r="C192" s="4">
        <v>13</v>
      </c>
      <c r="D192" s="306" t="s">
        <v>644</v>
      </c>
      <c r="E192" s="352"/>
      <c r="F192" s="168">
        <f>F193+F195</f>
        <v>12211.5</v>
      </c>
      <c r="G192" s="327"/>
      <c r="H192" s="168">
        <f>H193+H195</f>
        <v>12211.5</v>
      </c>
      <c r="I192" s="168"/>
      <c r="J192" s="497">
        <f t="shared" ref="J192" si="76">J193+J195</f>
        <v>12150.9</v>
      </c>
      <c r="K192" s="575">
        <f t="shared" si="57"/>
        <v>0.99503746468492815</v>
      </c>
      <c r="L192" s="168"/>
      <c r="M192" s="580"/>
      <c r="N192" s="161"/>
    </row>
    <row r="193" spans="1:14" s="188" customFormat="1" ht="47.25" x14ac:dyDescent="0.25">
      <c r="A193" s="278" t="s">
        <v>43</v>
      </c>
      <c r="B193" s="209" t="s">
        <v>31</v>
      </c>
      <c r="C193" s="4">
        <v>13</v>
      </c>
      <c r="D193" s="306" t="s">
        <v>644</v>
      </c>
      <c r="E193" s="354" t="s">
        <v>129</v>
      </c>
      <c r="F193" s="168">
        <f>F194</f>
        <v>11578.2</v>
      </c>
      <c r="G193" s="327"/>
      <c r="H193" s="168">
        <f>H194</f>
        <v>11578.2</v>
      </c>
      <c r="I193" s="168"/>
      <c r="J193" s="497">
        <f t="shared" ref="J193" si="77">J194</f>
        <v>11577.3</v>
      </c>
      <c r="K193" s="575">
        <f t="shared" si="57"/>
        <v>0.99992226771000658</v>
      </c>
      <c r="L193" s="168"/>
      <c r="M193" s="580"/>
      <c r="N193" s="161"/>
    </row>
    <row r="194" spans="1:14" s="188" customFormat="1" x14ac:dyDescent="0.25">
      <c r="A194" s="278" t="s">
        <v>70</v>
      </c>
      <c r="B194" s="209" t="s">
        <v>31</v>
      </c>
      <c r="C194" s="4">
        <v>13</v>
      </c>
      <c r="D194" s="306" t="s">
        <v>644</v>
      </c>
      <c r="E194" s="354" t="s">
        <v>130</v>
      </c>
      <c r="F194" s="168">
        <f>'ведом. 2023-2025'!AD115</f>
        <v>11578.2</v>
      </c>
      <c r="G194" s="327"/>
      <c r="H194" s="168">
        <f>'ведом. 2023-2025'!AE115</f>
        <v>11578.2</v>
      </c>
      <c r="I194" s="168"/>
      <c r="J194" s="497">
        <f>'ведом. 2023-2025'!AF115</f>
        <v>11577.3</v>
      </c>
      <c r="K194" s="575">
        <f t="shared" si="57"/>
        <v>0.99992226771000658</v>
      </c>
      <c r="L194" s="168"/>
      <c r="M194" s="580"/>
      <c r="N194" s="161"/>
    </row>
    <row r="195" spans="1:14" s="188" customFormat="1" x14ac:dyDescent="0.25">
      <c r="A195" s="278" t="s">
        <v>123</v>
      </c>
      <c r="B195" s="209" t="s">
        <v>31</v>
      </c>
      <c r="C195" s="4">
        <v>13</v>
      </c>
      <c r="D195" s="306" t="s">
        <v>644</v>
      </c>
      <c r="E195" s="354" t="s">
        <v>39</v>
      </c>
      <c r="F195" s="168">
        <f>F196</f>
        <v>633.29999999999995</v>
      </c>
      <c r="G195" s="327"/>
      <c r="H195" s="168">
        <f>H196</f>
        <v>633.29999999999995</v>
      </c>
      <c r="I195" s="168"/>
      <c r="J195" s="497">
        <f t="shared" ref="J195" si="78">J196</f>
        <v>573.6</v>
      </c>
      <c r="K195" s="575">
        <f t="shared" si="57"/>
        <v>0.90573188062529619</v>
      </c>
      <c r="L195" s="168"/>
      <c r="M195" s="580"/>
      <c r="N195" s="161"/>
    </row>
    <row r="196" spans="1:14" s="188" customFormat="1" ht="31.5" x14ac:dyDescent="0.25">
      <c r="A196" s="278" t="s">
        <v>54</v>
      </c>
      <c r="B196" s="209" t="s">
        <v>31</v>
      </c>
      <c r="C196" s="4">
        <v>13</v>
      </c>
      <c r="D196" s="306" t="s">
        <v>644</v>
      </c>
      <c r="E196" s="354" t="s">
        <v>67</v>
      </c>
      <c r="F196" s="168">
        <f>'ведом. 2023-2025'!AD117</f>
        <v>633.29999999999995</v>
      </c>
      <c r="G196" s="327"/>
      <c r="H196" s="168">
        <f>'ведом. 2023-2025'!AE117</f>
        <v>633.29999999999995</v>
      </c>
      <c r="I196" s="168"/>
      <c r="J196" s="497">
        <f>'ведом. 2023-2025'!AF117</f>
        <v>573.6</v>
      </c>
      <c r="K196" s="575">
        <f t="shared" si="57"/>
        <v>0.90573188062529619</v>
      </c>
      <c r="L196" s="168"/>
      <c r="M196" s="580"/>
      <c r="N196" s="161"/>
    </row>
    <row r="197" spans="1:14" s="145" customFormat="1" ht="31.5" x14ac:dyDescent="0.25">
      <c r="A197" s="302" t="s">
        <v>226</v>
      </c>
      <c r="B197" s="11" t="s">
        <v>31</v>
      </c>
      <c r="C197" s="207">
        <v>13</v>
      </c>
      <c r="D197" s="306" t="s">
        <v>227</v>
      </c>
      <c r="E197" s="351"/>
      <c r="F197" s="168">
        <f>F198</f>
        <v>23220.5</v>
      </c>
      <c r="G197" s="327"/>
      <c r="H197" s="168">
        <f>H198</f>
        <v>23220.5</v>
      </c>
      <c r="I197" s="168"/>
      <c r="J197" s="497">
        <f>J198</f>
        <v>23220.5</v>
      </c>
      <c r="K197" s="575">
        <f t="shared" si="57"/>
        <v>1</v>
      </c>
      <c r="L197" s="168"/>
      <c r="M197" s="580"/>
      <c r="N197" s="161"/>
    </row>
    <row r="198" spans="1:14" s="145" customFormat="1" ht="31.5" x14ac:dyDescent="0.25">
      <c r="A198" s="401" t="s">
        <v>62</v>
      </c>
      <c r="B198" s="11" t="s">
        <v>31</v>
      </c>
      <c r="C198" s="207">
        <v>13</v>
      </c>
      <c r="D198" s="306" t="s">
        <v>227</v>
      </c>
      <c r="E198" s="355">
        <v>600</v>
      </c>
      <c r="F198" s="168">
        <f>F199</f>
        <v>23220.5</v>
      </c>
      <c r="G198" s="327"/>
      <c r="H198" s="168">
        <f>H199</f>
        <v>23220.5</v>
      </c>
      <c r="I198" s="168"/>
      <c r="J198" s="497">
        <f>J199</f>
        <v>23220.5</v>
      </c>
      <c r="K198" s="575">
        <f t="shared" si="57"/>
        <v>1</v>
      </c>
      <c r="L198" s="168"/>
      <c r="M198" s="580"/>
      <c r="N198" s="161"/>
    </row>
    <row r="199" spans="1:14" s="145" customFormat="1" x14ac:dyDescent="0.25">
      <c r="A199" s="401" t="s">
        <v>63</v>
      </c>
      <c r="B199" s="11" t="s">
        <v>31</v>
      </c>
      <c r="C199" s="207">
        <v>13</v>
      </c>
      <c r="D199" s="306" t="s">
        <v>227</v>
      </c>
      <c r="E199" s="355">
        <v>610</v>
      </c>
      <c r="F199" s="168">
        <f>'ведом. 2023-2025'!AD646</f>
        <v>23220.5</v>
      </c>
      <c r="G199" s="327"/>
      <c r="H199" s="168">
        <f>'ведом. 2023-2025'!AE646</f>
        <v>23220.5</v>
      </c>
      <c r="I199" s="168"/>
      <c r="J199" s="497">
        <f>'ведом. 2023-2025'!AF646</f>
        <v>23220.5</v>
      </c>
      <c r="K199" s="575">
        <f t="shared" si="57"/>
        <v>1</v>
      </c>
      <c r="L199" s="168"/>
      <c r="M199" s="580"/>
      <c r="N199" s="161"/>
    </row>
    <row r="200" spans="1:14" s="145" customFormat="1" ht="31.5" x14ac:dyDescent="0.25">
      <c r="A200" s="302" t="s">
        <v>212</v>
      </c>
      <c r="B200" s="209" t="s">
        <v>31</v>
      </c>
      <c r="C200" s="4">
        <v>13</v>
      </c>
      <c r="D200" s="306" t="s">
        <v>213</v>
      </c>
      <c r="E200" s="352"/>
      <c r="F200" s="168">
        <f>F201+F208</f>
        <v>78171.600000000006</v>
      </c>
      <c r="G200" s="327"/>
      <c r="H200" s="168">
        <f>H201+H208</f>
        <v>78171.600000000006</v>
      </c>
      <c r="I200" s="168"/>
      <c r="J200" s="497">
        <f t="shared" ref="J200" si="79">J201+J208</f>
        <v>78089.899999999994</v>
      </c>
      <c r="K200" s="575">
        <f t="shared" si="57"/>
        <v>0.99895486340307715</v>
      </c>
      <c r="L200" s="168"/>
      <c r="M200" s="580"/>
      <c r="N200" s="161"/>
    </row>
    <row r="201" spans="1:14" s="145" customFormat="1" ht="47.25" x14ac:dyDescent="0.25">
      <c r="A201" s="401" t="s">
        <v>228</v>
      </c>
      <c r="B201" s="209" t="s">
        <v>31</v>
      </c>
      <c r="C201" s="4">
        <v>13</v>
      </c>
      <c r="D201" s="306" t="s">
        <v>229</v>
      </c>
      <c r="E201" s="354"/>
      <c r="F201" s="168">
        <f>F202+F204+F206</f>
        <v>65230</v>
      </c>
      <c r="G201" s="327"/>
      <c r="H201" s="168">
        <f>H202+H204+H206</f>
        <v>65230</v>
      </c>
      <c r="I201" s="168"/>
      <c r="J201" s="497">
        <f>J202+J204+J206</f>
        <v>65197.9</v>
      </c>
      <c r="K201" s="575">
        <f t="shared" si="57"/>
        <v>0.99950789514027294</v>
      </c>
      <c r="L201" s="168"/>
      <c r="M201" s="580"/>
      <c r="N201" s="161"/>
    </row>
    <row r="202" spans="1:14" s="145" customFormat="1" ht="47.25" x14ac:dyDescent="0.25">
      <c r="A202" s="401" t="s">
        <v>43</v>
      </c>
      <c r="B202" s="209" t="s">
        <v>31</v>
      </c>
      <c r="C202" s="4">
        <v>13</v>
      </c>
      <c r="D202" s="306" t="s">
        <v>229</v>
      </c>
      <c r="E202" s="354" t="s">
        <v>129</v>
      </c>
      <c r="F202" s="168">
        <f>F203</f>
        <v>64779</v>
      </c>
      <c r="G202" s="327"/>
      <c r="H202" s="168">
        <f>H203</f>
        <v>64774.1</v>
      </c>
      <c r="I202" s="168"/>
      <c r="J202" s="497">
        <f>'ведом. 2023-2025'!AF120</f>
        <v>64742</v>
      </c>
      <c r="K202" s="575">
        <f t="shared" si="57"/>
        <v>0.99950443155520496</v>
      </c>
      <c r="L202" s="168"/>
      <c r="M202" s="580"/>
      <c r="N202" s="161"/>
    </row>
    <row r="203" spans="1:14" s="145" customFormat="1" x14ac:dyDescent="0.25">
      <c r="A203" s="401" t="s">
        <v>70</v>
      </c>
      <c r="B203" s="209" t="s">
        <v>31</v>
      </c>
      <c r="C203" s="4">
        <v>13</v>
      </c>
      <c r="D203" s="306" t="s">
        <v>229</v>
      </c>
      <c r="E203" s="354" t="s">
        <v>130</v>
      </c>
      <c r="F203" s="168">
        <f>'ведом. 2023-2025'!AD121</f>
        <v>64779</v>
      </c>
      <c r="G203" s="327"/>
      <c r="H203" s="168">
        <f>'ведом. 2023-2025'!AE121</f>
        <v>64774.1</v>
      </c>
      <c r="I203" s="168"/>
      <c r="J203" s="497">
        <f>'ведом. 2023-2025'!AF121</f>
        <v>64742</v>
      </c>
      <c r="K203" s="575">
        <f t="shared" si="57"/>
        <v>0.99950443155520496</v>
      </c>
      <c r="L203" s="168"/>
      <c r="M203" s="580"/>
      <c r="N203" s="161"/>
    </row>
    <row r="204" spans="1:14" s="145" customFormat="1" x14ac:dyDescent="0.25">
      <c r="A204" s="401" t="s">
        <v>123</v>
      </c>
      <c r="B204" s="209" t="s">
        <v>31</v>
      </c>
      <c r="C204" s="4">
        <v>13</v>
      </c>
      <c r="D204" s="306" t="s">
        <v>229</v>
      </c>
      <c r="E204" s="354" t="s">
        <v>39</v>
      </c>
      <c r="F204" s="168">
        <f>F205</f>
        <v>448.8</v>
      </c>
      <c r="G204" s="327"/>
      <c r="H204" s="168">
        <f>H205</f>
        <v>448.8</v>
      </c>
      <c r="I204" s="168"/>
      <c r="J204" s="497">
        <f>'ведом. 2023-2025'!AF122</f>
        <v>448.8</v>
      </c>
      <c r="K204" s="575">
        <f t="shared" si="57"/>
        <v>1</v>
      </c>
      <c r="L204" s="168"/>
      <c r="M204" s="580"/>
      <c r="N204" s="161"/>
    </row>
    <row r="205" spans="1:14" s="145" customFormat="1" ht="31.5" x14ac:dyDescent="0.25">
      <c r="A205" s="401" t="s">
        <v>54</v>
      </c>
      <c r="B205" s="209" t="s">
        <v>31</v>
      </c>
      <c r="C205" s="4">
        <v>13</v>
      </c>
      <c r="D205" s="306" t="s">
        <v>229</v>
      </c>
      <c r="E205" s="354" t="s">
        <v>67</v>
      </c>
      <c r="F205" s="168">
        <f>'ведом. 2023-2025'!AD123</f>
        <v>448.8</v>
      </c>
      <c r="G205" s="327"/>
      <c r="H205" s="168">
        <f>'ведом. 2023-2025'!AE123</f>
        <v>448.8</v>
      </c>
      <c r="I205" s="168"/>
      <c r="J205" s="497">
        <f>'ведом. 2023-2025'!AF123</f>
        <v>448.8</v>
      </c>
      <c r="K205" s="575">
        <f t="shared" si="57"/>
        <v>1</v>
      </c>
      <c r="L205" s="168"/>
      <c r="M205" s="580"/>
      <c r="N205" s="161"/>
    </row>
    <row r="206" spans="1:14" s="188" customFormat="1" x14ac:dyDescent="0.25">
      <c r="A206" s="278" t="s">
        <v>44</v>
      </c>
      <c r="B206" s="209" t="s">
        <v>31</v>
      </c>
      <c r="C206" s="4">
        <v>13</v>
      </c>
      <c r="D206" s="306" t="s">
        <v>229</v>
      </c>
      <c r="E206" s="354" t="s">
        <v>373</v>
      </c>
      <c r="F206" s="168">
        <f>F207</f>
        <v>2.2000000000000002</v>
      </c>
      <c r="G206" s="168"/>
      <c r="H206" s="168">
        <f>H207</f>
        <v>7.1</v>
      </c>
      <c r="I206" s="168"/>
      <c r="J206" s="497">
        <f t="shared" ref="J206" si="80">J207</f>
        <v>7.1</v>
      </c>
      <c r="K206" s="575">
        <f t="shared" si="57"/>
        <v>1</v>
      </c>
      <c r="L206" s="168"/>
      <c r="M206" s="580"/>
      <c r="N206" s="161"/>
    </row>
    <row r="207" spans="1:14" s="188" customFormat="1" x14ac:dyDescent="0.25">
      <c r="A207" s="278" t="s">
        <v>60</v>
      </c>
      <c r="B207" s="209" t="s">
        <v>31</v>
      </c>
      <c r="C207" s="4">
        <v>13</v>
      </c>
      <c r="D207" s="306" t="s">
        <v>229</v>
      </c>
      <c r="E207" s="354" t="s">
        <v>472</v>
      </c>
      <c r="F207" s="168">
        <f>'ведом. 2023-2025'!AD125</f>
        <v>2.2000000000000002</v>
      </c>
      <c r="G207" s="327"/>
      <c r="H207" s="168">
        <f>'ведом. 2023-2025'!AE125</f>
        <v>7.1</v>
      </c>
      <c r="I207" s="168"/>
      <c r="J207" s="497">
        <f>'ведом. 2023-2025'!AF125</f>
        <v>7.1</v>
      </c>
      <c r="K207" s="575">
        <f t="shared" ref="K207:K270" si="81">J207/H207</f>
        <v>1</v>
      </c>
      <c r="L207" s="168"/>
      <c r="M207" s="580"/>
      <c r="N207" s="161"/>
    </row>
    <row r="208" spans="1:14" s="188" customFormat="1" ht="47.25" x14ac:dyDescent="0.25">
      <c r="A208" s="401" t="s">
        <v>419</v>
      </c>
      <c r="B208" s="209" t="s">
        <v>31</v>
      </c>
      <c r="C208" s="4">
        <v>13</v>
      </c>
      <c r="D208" s="306" t="s">
        <v>420</v>
      </c>
      <c r="E208" s="354"/>
      <c r="F208" s="168">
        <f>F209+F211+F213</f>
        <v>12941.6</v>
      </c>
      <c r="G208" s="327"/>
      <c r="H208" s="168">
        <f>H209+H211+H213</f>
        <v>12941.6</v>
      </c>
      <c r="I208" s="168"/>
      <c r="J208" s="497">
        <f>J209+J211+J213</f>
        <v>12892</v>
      </c>
      <c r="K208" s="575">
        <f t="shared" si="81"/>
        <v>0.99616739815787847</v>
      </c>
      <c r="L208" s="168"/>
      <c r="M208" s="580"/>
      <c r="N208" s="161"/>
    </row>
    <row r="209" spans="1:14" s="188" customFormat="1" ht="47.25" x14ac:dyDescent="0.25">
      <c r="A209" s="401" t="s">
        <v>43</v>
      </c>
      <c r="B209" s="209" t="s">
        <v>31</v>
      </c>
      <c r="C209" s="4">
        <v>13</v>
      </c>
      <c r="D209" s="306" t="s">
        <v>420</v>
      </c>
      <c r="E209" s="354" t="s">
        <v>129</v>
      </c>
      <c r="F209" s="168">
        <f>F210</f>
        <v>12334.7</v>
      </c>
      <c r="G209" s="327"/>
      <c r="H209" s="168">
        <f>H210</f>
        <v>12334.7</v>
      </c>
      <c r="I209" s="168"/>
      <c r="J209" s="497">
        <f>J210</f>
        <v>12333.4</v>
      </c>
      <c r="K209" s="575">
        <f t="shared" si="81"/>
        <v>0.9998946062733588</v>
      </c>
      <c r="L209" s="168"/>
      <c r="M209" s="580"/>
      <c r="N209" s="161"/>
    </row>
    <row r="210" spans="1:14" s="188" customFormat="1" x14ac:dyDescent="0.25">
      <c r="A210" s="401" t="s">
        <v>70</v>
      </c>
      <c r="B210" s="209" t="s">
        <v>31</v>
      </c>
      <c r="C210" s="4">
        <v>13</v>
      </c>
      <c r="D210" s="306" t="s">
        <v>420</v>
      </c>
      <c r="E210" s="354" t="s">
        <v>130</v>
      </c>
      <c r="F210" s="168">
        <f>'ведом. 2023-2025'!AD128</f>
        <v>12334.7</v>
      </c>
      <c r="G210" s="327"/>
      <c r="H210" s="168">
        <f>'ведом. 2023-2025'!AE128</f>
        <v>12334.7</v>
      </c>
      <c r="I210" s="168"/>
      <c r="J210" s="497">
        <f>'ведом. 2023-2025'!AF128</f>
        <v>12333.4</v>
      </c>
      <c r="K210" s="575">
        <f t="shared" si="81"/>
        <v>0.9998946062733588</v>
      </c>
      <c r="L210" s="168"/>
      <c r="M210" s="580"/>
      <c r="N210" s="161"/>
    </row>
    <row r="211" spans="1:14" s="188" customFormat="1" x14ac:dyDescent="0.25">
      <c r="A211" s="401" t="s">
        <v>123</v>
      </c>
      <c r="B211" s="209" t="s">
        <v>31</v>
      </c>
      <c r="C211" s="4">
        <v>13</v>
      </c>
      <c r="D211" s="306" t="s">
        <v>420</v>
      </c>
      <c r="E211" s="354" t="s">
        <v>39</v>
      </c>
      <c r="F211" s="168">
        <f>F212</f>
        <v>556.9</v>
      </c>
      <c r="G211" s="327"/>
      <c r="H211" s="168">
        <f>H212</f>
        <v>556.9</v>
      </c>
      <c r="I211" s="168"/>
      <c r="J211" s="497">
        <f>J212</f>
        <v>508.6</v>
      </c>
      <c r="K211" s="575">
        <f t="shared" si="81"/>
        <v>0.91326988687376554</v>
      </c>
      <c r="L211" s="168"/>
      <c r="M211" s="580"/>
      <c r="N211" s="161"/>
    </row>
    <row r="212" spans="1:14" s="188" customFormat="1" ht="31.5" x14ac:dyDescent="0.25">
      <c r="A212" s="401" t="s">
        <v>54</v>
      </c>
      <c r="B212" s="209" t="s">
        <v>31</v>
      </c>
      <c r="C212" s="4">
        <v>13</v>
      </c>
      <c r="D212" s="306" t="s">
        <v>420</v>
      </c>
      <c r="E212" s="354" t="s">
        <v>67</v>
      </c>
      <c r="F212" s="168">
        <f>'ведом. 2023-2025'!AD130</f>
        <v>556.9</v>
      </c>
      <c r="G212" s="327"/>
      <c r="H212" s="168">
        <f>'ведом. 2023-2025'!AE130</f>
        <v>556.9</v>
      </c>
      <c r="I212" s="168"/>
      <c r="J212" s="497">
        <f>'ведом. 2023-2025'!AF130</f>
        <v>508.6</v>
      </c>
      <c r="K212" s="575">
        <f t="shared" si="81"/>
        <v>0.91326988687376554</v>
      </c>
      <c r="L212" s="168"/>
      <c r="M212" s="580"/>
      <c r="N212" s="161"/>
    </row>
    <row r="213" spans="1:14" s="188" customFormat="1" x14ac:dyDescent="0.25">
      <c r="A213" s="278" t="s">
        <v>44</v>
      </c>
      <c r="B213" s="209" t="s">
        <v>31</v>
      </c>
      <c r="C213" s="4">
        <v>13</v>
      </c>
      <c r="D213" s="306" t="s">
        <v>420</v>
      </c>
      <c r="E213" s="354" t="s">
        <v>373</v>
      </c>
      <c r="F213" s="168">
        <f>F214</f>
        <v>50</v>
      </c>
      <c r="G213" s="168"/>
      <c r="H213" s="168">
        <f>H214</f>
        <v>50</v>
      </c>
      <c r="I213" s="168"/>
      <c r="J213" s="497">
        <f t="shared" ref="J213" si="82">J214</f>
        <v>50</v>
      </c>
      <c r="K213" s="575">
        <f t="shared" si="81"/>
        <v>1</v>
      </c>
      <c r="L213" s="168"/>
      <c r="M213" s="580"/>
      <c r="N213" s="161"/>
    </row>
    <row r="214" spans="1:14" s="188" customFormat="1" x14ac:dyDescent="0.25">
      <c r="A214" s="278" t="s">
        <v>60</v>
      </c>
      <c r="B214" s="209" t="s">
        <v>31</v>
      </c>
      <c r="C214" s="4">
        <v>13</v>
      </c>
      <c r="D214" s="306" t="s">
        <v>420</v>
      </c>
      <c r="E214" s="354" t="s">
        <v>472</v>
      </c>
      <c r="F214" s="168">
        <f>'ведом. 2023-2025'!AD132</f>
        <v>50</v>
      </c>
      <c r="G214" s="327"/>
      <c r="H214" s="168">
        <f>'ведом. 2023-2025'!AE132</f>
        <v>50</v>
      </c>
      <c r="I214" s="168"/>
      <c r="J214" s="497">
        <f>'ведом. 2023-2025'!AF132</f>
        <v>50</v>
      </c>
      <c r="K214" s="575">
        <f t="shared" si="81"/>
        <v>1</v>
      </c>
      <c r="L214" s="168"/>
      <c r="M214" s="580"/>
      <c r="N214" s="161"/>
    </row>
    <row r="215" spans="1:14" s="188" customFormat="1" ht="31.5" x14ac:dyDescent="0.25">
      <c r="A215" s="278" t="s">
        <v>615</v>
      </c>
      <c r="B215" s="1" t="s">
        <v>31</v>
      </c>
      <c r="C215" s="4">
        <v>13</v>
      </c>
      <c r="D215" s="338" t="s">
        <v>616</v>
      </c>
      <c r="E215" s="309"/>
      <c r="F215" s="168">
        <f>F216</f>
        <v>47.7</v>
      </c>
      <c r="G215" s="168"/>
      <c r="H215" s="168">
        <f>H216</f>
        <v>47.7</v>
      </c>
      <c r="I215" s="168"/>
      <c r="J215" s="497">
        <f t="shared" ref="J215" si="83">J216</f>
        <v>38.299999999999997</v>
      </c>
      <c r="K215" s="575">
        <f t="shared" si="81"/>
        <v>0.80293501048218019</v>
      </c>
      <c r="L215" s="168"/>
      <c r="M215" s="580"/>
      <c r="N215" s="161"/>
    </row>
    <row r="216" spans="1:14" s="188" customFormat="1" ht="78.75" x14ac:dyDescent="0.25">
      <c r="A216" s="278" t="s">
        <v>449</v>
      </c>
      <c r="B216" s="1" t="s">
        <v>31</v>
      </c>
      <c r="C216" s="4">
        <v>13</v>
      </c>
      <c r="D216" s="326" t="s">
        <v>617</v>
      </c>
      <c r="E216" s="309"/>
      <c r="F216" s="168">
        <f>F217</f>
        <v>47.7</v>
      </c>
      <c r="G216" s="168"/>
      <c r="H216" s="168">
        <f>H217</f>
        <v>47.7</v>
      </c>
      <c r="I216" s="168"/>
      <c r="J216" s="497">
        <f t="shared" ref="J216" si="84">J217</f>
        <v>38.299999999999997</v>
      </c>
      <c r="K216" s="575">
        <f t="shared" si="81"/>
        <v>0.80293501048218019</v>
      </c>
      <c r="L216" s="168"/>
      <c r="M216" s="580"/>
      <c r="N216" s="161"/>
    </row>
    <row r="217" spans="1:14" s="188" customFormat="1" x14ac:dyDescent="0.25">
      <c r="A217" s="278" t="s">
        <v>123</v>
      </c>
      <c r="B217" s="1" t="s">
        <v>31</v>
      </c>
      <c r="C217" s="4">
        <v>13</v>
      </c>
      <c r="D217" s="326" t="s">
        <v>617</v>
      </c>
      <c r="E217" s="309">
        <v>200</v>
      </c>
      <c r="F217" s="168">
        <f>F218</f>
        <v>47.7</v>
      </c>
      <c r="G217" s="168"/>
      <c r="H217" s="168">
        <f>H218</f>
        <v>47.7</v>
      </c>
      <c r="I217" s="168"/>
      <c r="J217" s="497">
        <f t="shared" ref="J217" si="85">J218</f>
        <v>38.299999999999997</v>
      </c>
      <c r="K217" s="575">
        <f t="shared" si="81"/>
        <v>0.80293501048218019</v>
      </c>
      <c r="L217" s="168"/>
      <c r="M217" s="580"/>
      <c r="N217" s="161"/>
    </row>
    <row r="218" spans="1:14" s="188" customFormat="1" ht="31.5" x14ac:dyDescent="0.25">
      <c r="A218" s="278" t="s">
        <v>54</v>
      </c>
      <c r="B218" s="1" t="s">
        <v>31</v>
      </c>
      <c r="C218" s="4">
        <v>13</v>
      </c>
      <c r="D218" s="326" t="s">
        <v>617</v>
      </c>
      <c r="E218" s="309">
        <v>240</v>
      </c>
      <c r="F218" s="168">
        <f>'ведом. 2023-2025'!AD136+'ведом. 2023-2025'!AD616</f>
        <v>47.7</v>
      </c>
      <c r="G218" s="327"/>
      <c r="H218" s="168">
        <f>'ведом. 2023-2025'!AE136+'ведом. 2023-2025'!AE616</f>
        <v>47.7</v>
      </c>
      <c r="I218" s="168"/>
      <c r="J218" s="497">
        <f>'ведом. 2023-2025'!AF136+'ведом. 2023-2025'!AF616</f>
        <v>38.299999999999997</v>
      </c>
      <c r="K218" s="575">
        <f t="shared" si="81"/>
        <v>0.80293501048218019</v>
      </c>
      <c r="L218" s="168"/>
      <c r="M218" s="580"/>
      <c r="N218" s="161"/>
    </row>
    <row r="219" spans="1:14" s="145" customFormat="1" ht="31.5" x14ac:dyDescent="0.25">
      <c r="A219" s="280" t="s">
        <v>315</v>
      </c>
      <c r="B219" s="209" t="s">
        <v>31</v>
      </c>
      <c r="C219" s="4">
        <v>13</v>
      </c>
      <c r="D219" s="163" t="s">
        <v>134</v>
      </c>
      <c r="E219" s="352"/>
      <c r="F219" s="168">
        <f t="shared" ref="F219:J219" si="86">F220</f>
        <v>0.20000000000000018</v>
      </c>
      <c r="G219" s="327">
        <f t="shared" si="86"/>
        <v>0.20000000000000018</v>
      </c>
      <c r="H219" s="168">
        <f t="shared" si="86"/>
        <v>0.20000000000000018</v>
      </c>
      <c r="I219" s="327">
        <f t="shared" si="86"/>
        <v>0.20000000000000018</v>
      </c>
      <c r="J219" s="497">
        <f t="shared" si="86"/>
        <v>0</v>
      </c>
      <c r="K219" s="575">
        <f t="shared" si="81"/>
        <v>0</v>
      </c>
      <c r="L219" s="168"/>
      <c r="M219" s="580"/>
      <c r="N219" s="161"/>
    </row>
    <row r="220" spans="1:14" s="145" customFormat="1" x14ac:dyDescent="0.25">
      <c r="A220" s="280" t="s">
        <v>50</v>
      </c>
      <c r="B220" s="209" t="s">
        <v>31</v>
      </c>
      <c r="C220" s="4">
        <v>13</v>
      </c>
      <c r="D220" s="163" t="s">
        <v>502</v>
      </c>
      <c r="E220" s="352"/>
      <c r="F220" s="168">
        <f>F221</f>
        <v>0.20000000000000018</v>
      </c>
      <c r="G220" s="327">
        <f t="shared" ref="G220:J220" si="87">G221</f>
        <v>0.20000000000000018</v>
      </c>
      <c r="H220" s="168">
        <f>H221</f>
        <v>0.20000000000000018</v>
      </c>
      <c r="I220" s="327">
        <f t="shared" si="87"/>
        <v>0.20000000000000018</v>
      </c>
      <c r="J220" s="497">
        <f t="shared" si="87"/>
        <v>0</v>
      </c>
      <c r="K220" s="575">
        <f t="shared" si="81"/>
        <v>0</v>
      </c>
      <c r="L220" s="168"/>
      <c r="M220" s="580"/>
      <c r="N220" s="161"/>
    </row>
    <row r="221" spans="1:14" s="145" customFormat="1" ht="31.5" x14ac:dyDescent="0.25">
      <c r="A221" s="296" t="s">
        <v>329</v>
      </c>
      <c r="B221" s="209" t="s">
        <v>31</v>
      </c>
      <c r="C221" s="4">
        <v>13</v>
      </c>
      <c r="D221" s="163" t="s">
        <v>511</v>
      </c>
      <c r="E221" s="352"/>
      <c r="F221" s="168">
        <f t="shared" ref="F221:I223" si="88">F222</f>
        <v>0.20000000000000018</v>
      </c>
      <c r="G221" s="327">
        <f t="shared" si="88"/>
        <v>0.20000000000000018</v>
      </c>
      <c r="H221" s="168">
        <f t="shared" si="88"/>
        <v>0.20000000000000018</v>
      </c>
      <c r="I221" s="327">
        <f t="shared" si="88"/>
        <v>0.20000000000000018</v>
      </c>
      <c r="J221" s="497">
        <f>'ведом. 2023-2025'!AF139</f>
        <v>0</v>
      </c>
      <c r="K221" s="575">
        <f t="shared" si="81"/>
        <v>0</v>
      </c>
      <c r="L221" s="168"/>
      <c r="M221" s="580"/>
      <c r="N221" s="161"/>
    </row>
    <row r="222" spans="1:14" s="145" customFormat="1" ht="31.5" x14ac:dyDescent="0.25">
      <c r="A222" s="295" t="s">
        <v>513</v>
      </c>
      <c r="B222" s="209" t="s">
        <v>31</v>
      </c>
      <c r="C222" s="4">
        <v>13</v>
      </c>
      <c r="D222" s="163" t="s">
        <v>512</v>
      </c>
      <c r="E222" s="352"/>
      <c r="F222" s="168">
        <f t="shared" si="88"/>
        <v>0.20000000000000018</v>
      </c>
      <c r="G222" s="327">
        <f t="shared" si="88"/>
        <v>0.20000000000000018</v>
      </c>
      <c r="H222" s="168">
        <f t="shared" si="88"/>
        <v>0.20000000000000018</v>
      </c>
      <c r="I222" s="327">
        <f t="shared" si="88"/>
        <v>0.20000000000000018</v>
      </c>
      <c r="J222" s="497">
        <f>'ведом. 2023-2025'!AF140</f>
        <v>0</v>
      </c>
      <c r="K222" s="575">
        <f t="shared" si="81"/>
        <v>0</v>
      </c>
      <c r="L222" s="168"/>
      <c r="M222" s="580"/>
      <c r="N222" s="161"/>
    </row>
    <row r="223" spans="1:14" s="145" customFormat="1" x14ac:dyDescent="0.25">
      <c r="A223" s="401" t="s">
        <v>123</v>
      </c>
      <c r="B223" s="209" t="s">
        <v>31</v>
      </c>
      <c r="C223" s="4">
        <v>13</v>
      </c>
      <c r="D223" s="163" t="s">
        <v>512</v>
      </c>
      <c r="E223" s="352">
        <v>200</v>
      </c>
      <c r="F223" s="168">
        <f t="shared" si="88"/>
        <v>0.20000000000000018</v>
      </c>
      <c r="G223" s="327">
        <f t="shared" si="88"/>
        <v>0.20000000000000018</v>
      </c>
      <c r="H223" s="168">
        <f t="shared" si="88"/>
        <v>0.20000000000000018</v>
      </c>
      <c r="I223" s="327">
        <f t="shared" si="88"/>
        <v>0.20000000000000018</v>
      </c>
      <c r="J223" s="497">
        <f>'ведом. 2023-2025'!AF141</f>
        <v>0</v>
      </c>
      <c r="K223" s="575">
        <f t="shared" si="81"/>
        <v>0</v>
      </c>
      <c r="L223" s="168"/>
      <c r="M223" s="580"/>
      <c r="N223" s="161"/>
    </row>
    <row r="224" spans="1:14" s="145" customFormat="1" ht="31.5" x14ac:dyDescent="0.25">
      <c r="A224" s="401" t="s">
        <v>54</v>
      </c>
      <c r="B224" s="209" t="s">
        <v>31</v>
      </c>
      <c r="C224" s="4">
        <v>13</v>
      </c>
      <c r="D224" s="163" t="s">
        <v>512</v>
      </c>
      <c r="E224" s="352">
        <v>240</v>
      </c>
      <c r="F224" s="168">
        <f>'ведом. 2023-2025'!AD142</f>
        <v>0.20000000000000018</v>
      </c>
      <c r="G224" s="327">
        <f>F224</f>
        <v>0.20000000000000018</v>
      </c>
      <c r="H224" s="168">
        <f>'ведом. 2023-2025'!AE142</f>
        <v>0.20000000000000018</v>
      </c>
      <c r="I224" s="327">
        <f>H224</f>
        <v>0.20000000000000018</v>
      </c>
      <c r="J224" s="497">
        <f>'ведом. 2023-2025'!AF142</f>
        <v>0</v>
      </c>
      <c r="K224" s="575">
        <f t="shared" si="81"/>
        <v>0</v>
      </c>
      <c r="L224" s="168"/>
      <c r="M224" s="580"/>
      <c r="N224" s="161"/>
    </row>
    <row r="225" spans="1:14" s="145" customFormat="1" x14ac:dyDescent="0.25">
      <c r="A225" s="280" t="s">
        <v>245</v>
      </c>
      <c r="B225" s="209" t="s">
        <v>31</v>
      </c>
      <c r="C225" s="4">
        <v>13</v>
      </c>
      <c r="D225" s="163" t="s">
        <v>246</v>
      </c>
      <c r="E225" s="352"/>
      <c r="F225" s="168">
        <f t="shared" ref="F225:G225" si="89">F226+F231</f>
        <v>42112.1</v>
      </c>
      <c r="G225" s="168">
        <f t="shared" si="89"/>
        <v>0</v>
      </c>
      <c r="H225" s="168">
        <f>H226+H231</f>
        <v>44026.1</v>
      </c>
      <c r="I225" s="168">
        <f t="shared" ref="I225:J225" si="90">I226+I231</f>
        <v>1914</v>
      </c>
      <c r="J225" s="497">
        <f t="shared" si="90"/>
        <v>44026.1</v>
      </c>
      <c r="K225" s="575">
        <f t="shared" si="81"/>
        <v>1</v>
      </c>
      <c r="L225" s="168">
        <f t="shared" ref="L225" si="91">L226+L231</f>
        <v>1914</v>
      </c>
      <c r="M225" s="580">
        <f t="shared" ref="M225:M257" si="92">L225/I225</f>
        <v>1</v>
      </c>
      <c r="N225" s="161"/>
    </row>
    <row r="226" spans="1:14" s="145" customFormat="1" ht="47.25" x14ac:dyDescent="0.25">
      <c r="A226" s="280" t="s">
        <v>618</v>
      </c>
      <c r="B226" s="209" t="s">
        <v>31</v>
      </c>
      <c r="C226" s="4">
        <v>13</v>
      </c>
      <c r="D226" s="163" t="s">
        <v>247</v>
      </c>
      <c r="E226" s="352"/>
      <c r="F226" s="168">
        <f>F227</f>
        <v>0</v>
      </c>
      <c r="G226" s="327"/>
      <c r="H226" s="168">
        <f>H227</f>
        <v>2015</v>
      </c>
      <c r="I226" s="168">
        <f t="shared" ref="I226:J226" si="93">I227</f>
        <v>1914</v>
      </c>
      <c r="J226" s="497">
        <f t="shared" si="93"/>
        <v>2015</v>
      </c>
      <c r="K226" s="575">
        <f t="shared" si="81"/>
        <v>1</v>
      </c>
      <c r="L226" s="168">
        <f>L227</f>
        <v>1914</v>
      </c>
      <c r="M226" s="580">
        <f t="shared" si="92"/>
        <v>1</v>
      </c>
      <c r="N226" s="161"/>
    </row>
    <row r="227" spans="1:14" s="188" customFormat="1" ht="47.25" x14ac:dyDescent="0.25">
      <c r="A227" s="278" t="s">
        <v>432</v>
      </c>
      <c r="B227" s="1" t="s">
        <v>31</v>
      </c>
      <c r="C227" s="4">
        <v>13</v>
      </c>
      <c r="D227" s="163" t="s">
        <v>801</v>
      </c>
      <c r="E227" s="336"/>
      <c r="F227" s="168">
        <f t="shared" ref="F227:J229" si="94">F228</f>
        <v>0</v>
      </c>
      <c r="G227" s="327"/>
      <c r="H227" s="168">
        <f t="shared" si="94"/>
        <v>2015</v>
      </c>
      <c r="I227" s="168">
        <f t="shared" si="94"/>
        <v>1914</v>
      </c>
      <c r="J227" s="497">
        <f t="shared" si="94"/>
        <v>2015</v>
      </c>
      <c r="K227" s="575">
        <f t="shared" si="81"/>
        <v>1</v>
      </c>
      <c r="L227" s="168">
        <f>L228</f>
        <v>1914</v>
      </c>
      <c r="M227" s="580">
        <f t="shared" si="92"/>
        <v>1</v>
      </c>
      <c r="N227" s="161"/>
    </row>
    <row r="228" spans="1:14" s="188" customFormat="1" ht="31.5" x14ac:dyDescent="0.25">
      <c r="A228" s="278" t="s">
        <v>800</v>
      </c>
      <c r="B228" s="1" t="s">
        <v>31</v>
      </c>
      <c r="C228" s="4">
        <v>13</v>
      </c>
      <c r="D228" s="163" t="s">
        <v>803</v>
      </c>
      <c r="E228" s="336"/>
      <c r="F228" s="168">
        <f t="shared" si="94"/>
        <v>0</v>
      </c>
      <c r="G228" s="327"/>
      <c r="H228" s="168">
        <f t="shared" si="94"/>
        <v>2015</v>
      </c>
      <c r="I228" s="168">
        <f t="shared" si="94"/>
        <v>1914</v>
      </c>
      <c r="J228" s="497">
        <f t="shared" si="94"/>
        <v>2015</v>
      </c>
      <c r="K228" s="575">
        <f t="shared" si="81"/>
        <v>1</v>
      </c>
      <c r="L228" s="168">
        <f>L229</f>
        <v>1914</v>
      </c>
      <c r="M228" s="580">
        <f t="shared" si="92"/>
        <v>1</v>
      </c>
      <c r="N228" s="161"/>
    </row>
    <row r="229" spans="1:14" s="188" customFormat="1" ht="31.5" x14ac:dyDescent="0.25">
      <c r="A229" s="278" t="s">
        <v>802</v>
      </c>
      <c r="B229" s="1" t="s">
        <v>31</v>
      </c>
      <c r="C229" s="4">
        <v>13</v>
      </c>
      <c r="D229" s="163" t="s">
        <v>803</v>
      </c>
      <c r="E229" s="336">
        <v>600</v>
      </c>
      <c r="F229" s="168">
        <f t="shared" si="94"/>
        <v>0</v>
      </c>
      <c r="G229" s="327"/>
      <c r="H229" s="168">
        <f t="shared" si="94"/>
        <v>2015</v>
      </c>
      <c r="I229" s="168">
        <f t="shared" si="94"/>
        <v>1914</v>
      </c>
      <c r="J229" s="497">
        <f t="shared" si="94"/>
        <v>2015</v>
      </c>
      <c r="K229" s="575">
        <f t="shared" si="81"/>
        <v>1</v>
      </c>
      <c r="L229" s="168">
        <f>L230</f>
        <v>1914</v>
      </c>
      <c r="M229" s="580">
        <f t="shared" si="92"/>
        <v>1</v>
      </c>
      <c r="N229" s="161"/>
    </row>
    <row r="230" spans="1:14" s="188" customFormat="1" x14ac:dyDescent="0.25">
      <c r="A230" s="278" t="s">
        <v>63</v>
      </c>
      <c r="B230" s="1" t="s">
        <v>31</v>
      </c>
      <c r="C230" s="4">
        <v>13</v>
      </c>
      <c r="D230" s="163" t="s">
        <v>803</v>
      </c>
      <c r="E230" s="336">
        <v>610</v>
      </c>
      <c r="F230" s="168">
        <f>'ведом. 2023-2025'!AD148</f>
        <v>0</v>
      </c>
      <c r="G230" s="327"/>
      <c r="H230" s="168">
        <f>'ведом. 2023-2025'!AE148</f>
        <v>2015</v>
      </c>
      <c r="I230" s="168">
        <v>1914</v>
      </c>
      <c r="J230" s="497">
        <f>'ведом. 2023-2025'!AF148</f>
        <v>2015</v>
      </c>
      <c r="K230" s="575">
        <f t="shared" si="81"/>
        <v>1</v>
      </c>
      <c r="L230" s="168">
        <v>1914</v>
      </c>
      <c r="M230" s="580">
        <f t="shared" si="92"/>
        <v>1</v>
      </c>
      <c r="N230" s="161"/>
    </row>
    <row r="231" spans="1:14" s="188" customFormat="1" x14ac:dyDescent="0.25">
      <c r="A231" s="337" t="s">
        <v>50</v>
      </c>
      <c r="B231" s="209" t="s">
        <v>31</v>
      </c>
      <c r="C231" s="4">
        <v>13</v>
      </c>
      <c r="D231" s="163" t="s">
        <v>619</v>
      </c>
      <c r="E231" s="352"/>
      <c r="F231" s="168">
        <f>F232</f>
        <v>42112.1</v>
      </c>
      <c r="G231" s="327"/>
      <c r="H231" s="168">
        <f>H232</f>
        <v>42011.1</v>
      </c>
      <c r="I231" s="168"/>
      <c r="J231" s="497">
        <f>J232</f>
        <v>42011.1</v>
      </c>
      <c r="K231" s="575">
        <f t="shared" si="81"/>
        <v>1</v>
      </c>
      <c r="L231" s="168"/>
      <c r="M231" s="580"/>
      <c r="N231" s="161"/>
    </row>
    <row r="232" spans="1:14" s="188" customFormat="1" ht="31.5" x14ac:dyDescent="0.25">
      <c r="A232" s="337" t="s">
        <v>349</v>
      </c>
      <c r="B232" s="209" t="s">
        <v>31</v>
      </c>
      <c r="C232" s="4">
        <v>13</v>
      </c>
      <c r="D232" s="163" t="s">
        <v>620</v>
      </c>
      <c r="E232" s="352"/>
      <c r="F232" s="168">
        <f>F233</f>
        <v>42112.1</v>
      </c>
      <c r="G232" s="327"/>
      <c r="H232" s="168">
        <f>H233</f>
        <v>42011.1</v>
      </c>
      <c r="I232" s="168"/>
      <c r="J232" s="497">
        <f t="shared" ref="J232" si="95">J233</f>
        <v>42011.1</v>
      </c>
      <c r="K232" s="575">
        <f t="shared" si="81"/>
        <v>1</v>
      </c>
      <c r="L232" s="168"/>
      <c r="M232" s="580"/>
      <c r="N232" s="161"/>
    </row>
    <row r="233" spans="1:14" s="188" customFormat="1" ht="31.5" x14ac:dyDescent="0.25">
      <c r="A233" s="337" t="s">
        <v>248</v>
      </c>
      <c r="B233" s="209" t="s">
        <v>31</v>
      </c>
      <c r="C233" s="4">
        <v>13</v>
      </c>
      <c r="D233" s="163" t="s">
        <v>621</v>
      </c>
      <c r="E233" s="352"/>
      <c r="F233" s="168">
        <f>F234</f>
        <v>42112.1</v>
      </c>
      <c r="G233" s="327"/>
      <c r="H233" s="168">
        <f>H234</f>
        <v>42011.1</v>
      </c>
      <c r="I233" s="168"/>
      <c r="J233" s="497">
        <f t="shared" ref="J233" si="96">J234</f>
        <v>42011.1</v>
      </c>
      <c r="K233" s="575">
        <f t="shared" si="81"/>
        <v>1</v>
      </c>
      <c r="L233" s="168"/>
      <c r="M233" s="580"/>
      <c r="N233" s="161"/>
    </row>
    <row r="234" spans="1:14" s="188" customFormat="1" ht="31.5" x14ac:dyDescent="0.25">
      <c r="A234" s="278" t="s">
        <v>62</v>
      </c>
      <c r="B234" s="209" t="s">
        <v>31</v>
      </c>
      <c r="C234" s="4">
        <v>13</v>
      </c>
      <c r="D234" s="163" t="s">
        <v>621</v>
      </c>
      <c r="E234" s="352">
        <v>600</v>
      </c>
      <c r="F234" s="168">
        <f>F235</f>
        <v>42112.1</v>
      </c>
      <c r="G234" s="327"/>
      <c r="H234" s="168">
        <f>H235</f>
        <v>42011.1</v>
      </c>
      <c r="I234" s="168"/>
      <c r="J234" s="497">
        <f t="shared" ref="J234" si="97">J235</f>
        <v>42011.1</v>
      </c>
      <c r="K234" s="575">
        <f t="shared" si="81"/>
        <v>1</v>
      </c>
      <c r="L234" s="168"/>
      <c r="M234" s="580"/>
      <c r="N234" s="161"/>
    </row>
    <row r="235" spans="1:14" s="188" customFormat="1" x14ac:dyDescent="0.25">
      <c r="A235" s="278" t="s">
        <v>63</v>
      </c>
      <c r="B235" s="209" t="s">
        <v>31</v>
      </c>
      <c r="C235" s="4">
        <v>13</v>
      </c>
      <c r="D235" s="163" t="s">
        <v>621</v>
      </c>
      <c r="E235" s="352">
        <v>610</v>
      </c>
      <c r="F235" s="168">
        <f>'ведом. 2023-2025'!AD153</f>
        <v>42112.1</v>
      </c>
      <c r="G235" s="327"/>
      <c r="H235" s="168">
        <f>'ведом. 2023-2025'!AE153</f>
        <v>42011.1</v>
      </c>
      <c r="I235" s="168"/>
      <c r="J235" s="497">
        <f>'ведом. 2023-2025'!AF153</f>
        <v>42011.1</v>
      </c>
      <c r="K235" s="575">
        <f t="shared" si="81"/>
        <v>1</v>
      </c>
      <c r="L235" s="168"/>
      <c r="M235" s="580"/>
      <c r="N235" s="161"/>
    </row>
    <row r="236" spans="1:14" s="145" customFormat="1" x14ac:dyDescent="0.25">
      <c r="A236" s="280" t="s">
        <v>234</v>
      </c>
      <c r="B236" s="209" t="s">
        <v>31</v>
      </c>
      <c r="C236" s="4">
        <v>13</v>
      </c>
      <c r="D236" s="163" t="s">
        <v>140</v>
      </c>
      <c r="E236" s="354"/>
      <c r="F236" s="168">
        <f>F237+F240+F247</f>
        <v>7116.9000000000005</v>
      </c>
      <c r="G236" s="168"/>
      <c r="H236" s="168">
        <f t="shared" ref="H236:J236" si="98">H237+H240+H247</f>
        <v>157117</v>
      </c>
      <c r="I236" s="168"/>
      <c r="J236" s="497">
        <f t="shared" si="98"/>
        <v>5294</v>
      </c>
      <c r="K236" s="575">
        <f t="shared" si="81"/>
        <v>3.3694635208156978E-2</v>
      </c>
      <c r="L236" s="168"/>
      <c r="M236" s="580"/>
      <c r="N236" s="161"/>
    </row>
    <row r="237" spans="1:14" s="145" customFormat="1" x14ac:dyDescent="0.25">
      <c r="A237" s="302" t="s">
        <v>235</v>
      </c>
      <c r="B237" s="210" t="s">
        <v>31</v>
      </c>
      <c r="C237" s="204">
        <v>13</v>
      </c>
      <c r="D237" s="163" t="s">
        <v>236</v>
      </c>
      <c r="E237" s="353"/>
      <c r="F237" s="168">
        <f>F238</f>
        <v>5241.7</v>
      </c>
      <c r="G237" s="327"/>
      <c r="H237" s="168">
        <f>H238</f>
        <v>5241.7</v>
      </c>
      <c r="I237" s="168"/>
      <c r="J237" s="497">
        <f>J238</f>
        <v>5199</v>
      </c>
      <c r="K237" s="575">
        <f t="shared" si="81"/>
        <v>0.99185378789324075</v>
      </c>
      <c r="L237" s="168"/>
      <c r="M237" s="580"/>
      <c r="N237" s="161"/>
    </row>
    <row r="238" spans="1:14" s="145" customFormat="1" x14ac:dyDescent="0.25">
      <c r="A238" s="401" t="s">
        <v>44</v>
      </c>
      <c r="B238" s="210" t="s">
        <v>31</v>
      </c>
      <c r="C238" s="204">
        <v>13</v>
      </c>
      <c r="D238" s="163" t="s">
        <v>236</v>
      </c>
      <c r="E238" s="353">
        <v>800</v>
      </c>
      <c r="F238" s="168">
        <f>F239</f>
        <v>5241.7</v>
      </c>
      <c r="G238" s="327"/>
      <c r="H238" s="168">
        <f>H239</f>
        <v>5241.7</v>
      </c>
      <c r="I238" s="168"/>
      <c r="J238" s="497">
        <f>J239</f>
        <v>5199</v>
      </c>
      <c r="K238" s="575">
        <f t="shared" si="81"/>
        <v>0.99185378789324075</v>
      </c>
      <c r="L238" s="168"/>
      <c r="M238" s="580"/>
      <c r="N238" s="161"/>
    </row>
    <row r="239" spans="1:14" s="145" customFormat="1" x14ac:dyDescent="0.25">
      <c r="A239" s="401" t="s">
        <v>135</v>
      </c>
      <c r="B239" s="210" t="s">
        <v>31</v>
      </c>
      <c r="C239" s="204">
        <v>13</v>
      </c>
      <c r="D239" s="163" t="s">
        <v>236</v>
      </c>
      <c r="E239" s="353">
        <v>830</v>
      </c>
      <c r="F239" s="168">
        <f>'ведом. 2023-2025'!AD157+'ведом. 2023-2025'!AD829+'ведом. 2023-2025'!AD620</f>
        <v>5241.7</v>
      </c>
      <c r="G239" s="327"/>
      <c r="H239" s="168">
        <f>'ведом. 2023-2025'!AE157+'ведом. 2023-2025'!AE829+'ведом. 2023-2025'!AE620</f>
        <v>5241.7</v>
      </c>
      <c r="I239" s="168"/>
      <c r="J239" s="497">
        <f>'ведом. 2023-2025'!AF157+'ведом. 2023-2025'!AF829+'ведом. 2023-2025'!AF620</f>
        <v>5199</v>
      </c>
      <c r="K239" s="575">
        <f t="shared" si="81"/>
        <v>0.99185378789324075</v>
      </c>
      <c r="L239" s="168"/>
      <c r="M239" s="580"/>
      <c r="N239" s="161"/>
    </row>
    <row r="240" spans="1:14" s="188" customFormat="1" x14ac:dyDescent="0.25">
      <c r="A240" s="416" t="s">
        <v>470</v>
      </c>
      <c r="B240" s="210" t="s">
        <v>31</v>
      </c>
      <c r="C240" s="204">
        <v>13</v>
      </c>
      <c r="D240" s="291" t="s">
        <v>471</v>
      </c>
      <c r="E240" s="353"/>
      <c r="F240" s="168">
        <f>F244+F241</f>
        <v>1875.2000000000007</v>
      </c>
      <c r="G240" s="168"/>
      <c r="H240" s="168">
        <f>H244+H241</f>
        <v>1875.3000000000006</v>
      </c>
      <c r="I240" s="168"/>
      <c r="J240" s="497">
        <f t="shared" ref="J240" si="99">J244+J241</f>
        <v>95</v>
      </c>
      <c r="K240" s="575">
        <f t="shared" si="81"/>
        <v>5.0658561296859153E-2</v>
      </c>
      <c r="L240" s="168"/>
      <c r="M240" s="580"/>
      <c r="N240" s="161"/>
    </row>
    <row r="241" spans="1:14" s="188" customFormat="1" x14ac:dyDescent="0.25">
      <c r="A241" s="480" t="s">
        <v>735</v>
      </c>
      <c r="B241" s="8" t="s">
        <v>31</v>
      </c>
      <c r="C241" s="8">
        <v>13</v>
      </c>
      <c r="D241" s="489" t="s">
        <v>736</v>
      </c>
      <c r="E241" s="204"/>
      <c r="F241" s="168">
        <f>F242</f>
        <v>105</v>
      </c>
      <c r="G241" s="168"/>
      <c r="H241" s="168">
        <f>H242</f>
        <v>105</v>
      </c>
      <c r="I241" s="168"/>
      <c r="J241" s="497">
        <f t="shared" ref="J241" si="100">J242</f>
        <v>95</v>
      </c>
      <c r="K241" s="575">
        <f t="shared" si="81"/>
        <v>0.90476190476190477</v>
      </c>
      <c r="L241" s="168"/>
      <c r="M241" s="580"/>
      <c r="N241" s="161"/>
    </row>
    <row r="242" spans="1:14" s="188" customFormat="1" x14ac:dyDescent="0.25">
      <c r="A242" s="487" t="s">
        <v>44</v>
      </c>
      <c r="B242" s="8" t="s">
        <v>31</v>
      </c>
      <c r="C242" s="8">
        <v>13</v>
      </c>
      <c r="D242" s="489" t="s">
        <v>736</v>
      </c>
      <c r="E242" s="204">
        <v>800</v>
      </c>
      <c r="F242" s="168">
        <f>F243</f>
        <v>105</v>
      </c>
      <c r="G242" s="168"/>
      <c r="H242" s="168">
        <f>H243</f>
        <v>105</v>
      </c>
      <c r="I242" s="168"/>
      <c r="J242" s="497">
        <f t="shared" ref="J242" si="101">J243</f>
        <v>95</v>
      </c>
      <c r="K242" s="575">
        <f t="shared" si="81"/>
        <v>0.90476190476190477</v>
      </c>
      <c r="L242" s="168"/>
      <c r="M242" s="580"/>
      <c r="N242" s="161"/>
    </row>
    <row r="243" spans="1:14" s="188" customFormat="1" x14ac:dyDescent="0.25">
      <c r="A243" s="487" t="s">
        <v>60</v>
      </c>
      <c r="B243" s="8" t="s">
        <v>31</v>
      </c>
      <c r="C243" s="8">
        <v>13</v>
      </c>
      <c r="D243" s="489" t="s">
        <v>736</v>
      </c>
      <c r="E243" s="204">
        <v>850</v>
      </c>
      <c r="F243" s="168">
        <f>'ведом. 2023-2025'!AD161</f>
        <v>105</v>
      </c>
      <c r="G243" s="327"/>
      <c r="H243" s="168">
        <f>'ведом. 2023-2025'!AE161</f>
        <v>105</v>
      </c>
      <c r="I243" s="168"/>
      <c r="J243" s="497">
        <f>'ведом. 2023-2025'!AF161</f>
        <v>95</v>
      </c>
      <c r="K243" s="575">
        <f t="shared" si="81"/>
        <v>0.90476190476190477</v>
      </c>
      <c r="L243" s="168"/>
      <c r="M243" s="580"/>
      <c r="N243" s="161"/>
    </row>
    <row r="244" spans="1:14" s="216" customFormat="1" ht="31.5" x14ac:dyDescent="0.25">
      <c r="A244" s="278" t="s">
        <v>481</v>
      </c>
      <c r="B244" s="210" t="s">
        <v>31</v>
      </c>
      <c r="C244" s="204">
        <v>13</v>
      </c>
      <c r="D244" s="308" t="s">
        <v>482</v>
      </c>
      <c r="E244" s="353"/>
      <c r="F244" s="168">
        <f>F245</f>
        <v>1770.2000000000007</v>
      </c>
      <c r="G244" s="327"/>
      <c r="H244" s="168">
        <f>H245</f>
        <v>1770.3000000000006</v>
      </c>
      <c r="I244" s="168"/>
      <c r="J244" s="497">
        <f t="shared" ref="J244" si="102">J245</f>
        <v>0</v>
      </c>
      <c r="K244" s="575">
        <f t="shared" si="81"/>
        <v>0</v>
      </c>
      <c r="L244" s="168"/>
      <c r="M244" s="580"/>
      <c r="N244" s="215"/>
    </row>
    <row r="245" spans="1:14" s="216" customFormat="1" x14ac:dyDescent="0.25">
      <c r="A245" s="278" t="s">
        <v>44</v>
      </c>
      <c r="B245" s="210" t="s">
        <v>31</v>
      </c>
      <c r="C245" s="204">
        <v>13</v>
      </c>
      <c r="D245" s="308" t="s">
        <v>482</v>
      </c>
      <c r="E245" s="353">
        <v>800</v>
      </c>
      <c r="F245" s="168">
        <f>F246</f>
        <v>1770.2000000000007</v>
      </c>
      <c r="G245" s="327"/>
      <c r="H245" s="168">
        <f>H246</f>
        <v>1770.3000000000006</v>
      </c>
      <c r="I245" s="168"/>
      <c r="J245" s="497">
        <f t="shared" ref="J245" si="103">J246</f>
        <v>0</v>
      </c>
      <c r="K245" s="575">
        <f t="shared" si="81"/>
        <v>0</v>
      </c>
      <c r="L245" s="168"/>
      <c r="M245" s="580"/>
      <c r="N245" s="215"/>
    </row>
    <row r="246" spans="1:14" s="216" customFormat="1" x14ac:dyDescent="0.25">
      <c r="A246" s="278" t="s">
        <v>139</v>
      </c>
      <c r="B246" s="210" t="s">
        <v>31</v>
      </c>
      <c r="C246" s="204">
        <v>13</v>
      </c>
      <c r="D246" s="308" t="s">
        <v>482</v>
      </c>
      <c r="E246" s="353">
        <v>870</v>
      </c>
      <c r="F246" s="168">
        <f>'ведом. 2023-2025'!AD164</f>
        <v>1770.2000000000007</v>
      </c>
      <c r="G246" s="327"/>
      <c r="H246" s="168">
        <f>'ведом. 2023-2025'!AE164</f>
        <v>1770.3000000000006</v>
      </c>
      <c r="I246" s="168"/>
      <c r="J246" s="497">
        <f>'ведом. 2023-2025'!AF164</f>
        <v>0</v>
      </c>
      <c r="K246" s="575">
        <f t="shared" si="81"/>
        <v>0</v>
      </c>
      <c r="L246" s="168"/>
      <c r="M246" s="580"/>
      <c r="N246" s="215"/>
    </row>
    <row r="247" spans="1:14" s="216" customFormat="1" x14ac:dyDescent="0.25">
      <c r="A247" s="278" t="s">
        <v>804</v>
      </c>
      <c r="B247" s="8" t="s">
        <v>31</v>
      </c>
      <c r="C247" s="204">
        <v>13</v>
      </c>
      <c r="D247" s="429" t="s">
        <v>808</v>
      </c>
      <c r="E247" s="321"/>
      <c r="F247" s="168">
        <f>F248</f>
        <v>0</v>
      </c>
      <c r="G247" s="168"/>
      <c r="H247" s="168">
        <f t="shared" ref="H247:J247" si="104">H248</f>
        <v>150000</v>
      </c>
      <c r="I247" s="168"/>
      <c r="J247" s="497">
        <f t="shared" si="104"/>
        <v>0</v>
      </c>
      <c r="K247" s="575">
        <f t="shared" si="81"/>
        <v>0</v>
      </c>
      <c r="L247" s="168"/>
      <c r="M247" s="580"/>
      <c r="N247" s="215"/>
    </row>
    <row r="248" spans="1:14" s="216" customFormat="1" x14ac:dyDescent="0.25">
      <c r="A248" s="278" t="s">
        <v>123</v>
      </c>
      <c r="B248" s="8" t="s">
        <v>31</v>
      </c>
      <c r="C248" s="204">
        <v>13</v>
      </c>
      <c r="D248" s="429" t="s">
        <v>808</v>
      </c>
      <c r="E248" s="321">
        <v>200</v>
      </c>
      <c r="F248" s="168">
        <f>F249</f>
        <v>0</v>
      </c>
      <c r="G248" s="168"/>
      <c r="H248" s="168">
        <f t="shared" ref="H248:J248" si="105">H249</f>
        <v>150000</v>
      </c>
      <c r="I248" s="168"/>
      <c r="J248" s="497">
        <f t="shared" si="105"/>
        <v>0</v>
      </c>
      <c r="K248" s="575">
        <f t="shared" si="81"/>
        <v>0</v>
      </c>
      <c r="L248" s="168"/>
      <c r="M248" s="580"/>
      <c r="N248" s="215"/>
    </row>
    <row r="249" spans="1:14" s="216" customFormat="1" ht="31.5" x14ac:dyDescent="0.25">
      <c r="A249" s="278" t="s">
        <v>54</v>
      </c>
      <c r="B249" s="8" t="s">
        <v>31</v>
      </c>
      <c r="C249" s="204">
        <v>13</v>
      </c>
      <c r="D249" s="429" t="s">
        <v>808</v>
      </c>
      <c r="E249" s="321">
        <v>240</v>
      </c>
      <c r="F249" s="168">
        <f>'ведом. 2023-2025'!AD167</f>
        <v>0</v>
      </c>
      <c r="G249" s="327"/>
      <c r="H249" s="168">
        <f>'ведом. 2023-2025'!AE167</f>
        <v>150000</v>
      </c>
      <c r="I249" s="168"/>
      <c r="J249" s="497">
        <f>'ведом. 2023-2025'!AF167</f>
        <v>0</v>
      </c>
      <c r="K249" s="575">
        <f t="shared" si="81"/>
        <v>0</v>
      </c>
      <c r="L249" s="168"/>
      <c r="M249" s="580"/>
      <c r="N249" s="215"/>
    </row>
    <row r="250" spans="1:14" s="141" customFormat="1" x14ac:dyDescent="0.25">
      <c r="A250" s="417" t="s">
        <v>11</v>
      </c>
      <c r="B250" s="211" t="s">
        <v>32</v>
      </c>
      <c r="C250" s="206"/>
      <c r="D250" s="305"/>
      <c r="E250" s="356"/>
      <c r="F250" s="170">
        <f t="shared" ref="F250:J250" si="106">F251+F258</f>
        <v>4349.3</v>
      </c>
      <c r="G250" s="373">
        <f t="shared" si="106"/>
        <v>4067.3</v>
      </c>
      <c r="H250" s="170">
        <f t="shared" si="106"/>
        <v>4349.3</v>
      </c>
      <c r="I250" s="373">
        <f t="shared" ref="I250" si="107">I251+I258</f>
        <v>4067.3</v>
      </c>
      <c r="J250" s="505">
        <f t="shared" si="106"/>
        <v>4349.3</v>
      </c>
      <c r="K250" s="574">
        <f t="shared" si="81"/>
        <v>1</v>
      </c>
      <c r="L250" s="170">
        <f>L251+L258</f>
        <v>4067.3</v>
      </c>
      <c r="M250" s="581">
        <f t="shared" si="92"/>
        <v>1</v>
      </c>
      <c r="N250" s="548"/>
    </row>
    <row r="251" spans="1:14" s="145" customFormat="1" x14ac:dyDescent="0.25">
      <c r="A251" s="401" t="s">
        <v>12</v>
      </c>
      <c r="B251" s="209" t="s">
        <v>32</v>
      </c>
      <c r="C251" s="4" t="s">
        <v>7</v>
      </c>
      <c r="D251" s="33"/>
      <c r="E251" s="351"/>
      <c r="F251" s="168">
        <f t="shared" ref="F251:J256" si="108">F252</f>
        <v>4067.3</v>
      </c>
      <c r="G251" s="327">
        <f t="shared" si="108"/>
        <v>4067.3</v>
      </c>
      <c r="H251" s="168">
        <f t="shared" si="108"/>
        <v>4067.3</v>
      </c>
      <c r="I251" s="327">
        <f t="shared" si="108"/>
        <v>4067.3</v>
      </c>
      <c r="J251" s="497">
        <f t="shared" si="108"/>
        <v>4067.3</v>
      </c>
      <c r="K251" s="575">
        <f t="shared" si="81"/>
        <v>1</v>
      </c>
      <c r="L251" s="168">
        <f t="shared" ref="L251:L256" si="109">L252</f>
        <v>4067.3</v>
      </c>
      <c r="M251" s="580">
        <f t="shared" si="92"/>
        <v>1</v>
      </c>
      <c r="N251" s="161"/>
    </row>
    <row r="252" spans="1:14" s="145" customFormat="1" ht="31.5" x14ac:dyDescent="0.25">
      <c r="A252" s="280" t="s">
        <v>315</v>
      </c>
      <c r="B252" s="209" t="s">
        <v>32</v>
      </c>
      <c r="C252" s="4" t="s">
        <v>7</v>
      </c>
      <c r="D252" s="163" t="s">
        <v>134</v>
      </c>
      <c r="E252" s="351"/>
      <c r="F252" s="168">
        <f t="shared" si="108"/>
        <v>4067.3</v>
      </c>
      <c r="G252" s="327">
        <f t="shared" si="108"/>
        <v>4067.3</v>
      </c>
      <c r="H252" s="168">
        <f t="shared" si="108"/>
        <v>4067.3</v>
      </c>
      <c r="I252" s="327">
        <f t="shared" si="108"/>
        <v>4067.3</v>
      </c>
      <c r="J252" s="497">
        <f t="shared" si="108"/>
        <v>4067.3</v>
      </c>
      <c r="K252" s="575">
        <f t="shared" si="81"/>
        <v>1</v>
      </c>
      <c r="L252" s="168">
        <f t="shared" si="109"/>
        <v>4067.3</v>
      </c>
      <c r="M252" s="580">
        <f t="shared" si="92"/>
        <v>1</v>
      </c>
      <c r="N252" s="161"/>
    </row>
    <row r="253" spans="1:14" s="145" customFormat="1" x14ac:dyDescent="0.25">
      <c r="A253" s="280" t="s">
        <v>50</v>
      </c>
      <c r="B253" s="209" t="s">
        <v>32</v>
      </c>
      <c r="C253" s="4" t="s">
        <v>7</v>
      </c>
      <c r="D253" s="163" t="s">
        <v>502</v>
      </c>
      <c r="E253" s="351"/>
      <c r="F253" s="168">
        <f t="shared" ref="F253:J255" si="110">F254</f>
        <v>4067.3</v>
      </c>
      <c r="G253" s="327">
        <f t="shared" si="110"/>
        <v>4067.3</v>
      </c>
      <c r="H253" s="168">
        <f t="shared" si="110"/>
        <v>4067.3</v>
      </c>
      <c r="I253" s="327">
        <f t="shared" si="110"/>
        <v>4067.3</v>
      </c>
      <c r="J253" s="497">
        <f t="shared" si="110"/>
        <v>4067.3</v>
      </c>
      <c r="K253" s="575">
        <f t="shared" si="81"/>
        <v>1</v>
      </c>
      <c r="L253" s="168">
        <f t="shared" si="109"/>
        <v>4067.3</v>
      </c>
      <c r="M253" s="580">
        <f t="shared" si="92"/>
        <v>1</v>
      </c>
      <c r="N253" s="161"/>
    </row>
    <row r="254" spans="1:14" s="145" customFormat="1" x14ac:dyDescent="0.25">
      <c r="A254" s="302" t="s">
        <v>515</v>
      </c>
      <c r="B254" s="209" t="s">
        <v>32</v>
      </c>
      <c r="C254" s="4" t="s">
        <v>7</v>
      </c>
      <c r="D254" s="163" t="s">
        <v>503</v>
      </c>
      <c r="E254" s="351"/>
      <c r="F254" s="168">
        <f t="shared" si="110"/>
        <v>4067.3</v>
      </c>
      <c r="G254" s="327">
        <f t="shared" si="110"/>
        <v>4067.3</v>
      </c>
      <c r="H254" s="168">
        <f t="shared" si="110"/>
        <v>4067.3</v>
      </c>
      <c r="I254" s="327">
        <f t="shared" si="110"/>
        <v>4067.3</v>
      </c>
      <c r="J254" s="497">
        <f t="shared" si="110"/>
        <v>4067.3</v>
      </c>
      <c r="K254" s="575">
        <f t="shared" si="81"/>
        <v>1</v>
      </c>
      <c r="L254" s="168">
        <f t="shared" si="109"/>
        <v>4067.3</v>
      </c>
      <c r="M254" s="580">
        <f t="shared" si="92"/>
        <v>1</v>
      </c>
      <c r="N254" s="161"/>
    </row>
    <row r="255" spans="1:14" s="145" customFormat="1" ht="31.5" x14ac:dyDescent="0.25">
      <c r="A255" s="280" t="s">
        <v>514</v>
      </c>
      <c r="B255" s="209" t="s">
        <v>32</v>
      </c>
      <c r="C255" s="4" t="s">
        <v>7</v>
      </c>
      <c r="D255" s="163" t="s">
        <v>510</v>
      </c>
      <c r="E255" s="357"/>
      <c r="F255" s="168">
        <f>F256</f>
        <v>4067.3</v>
      </c>
      <c r="G255" s="168">
        <f t="shared" si="110"/>
        <v>4067.3</v>
      </c>
      <c r="H255" s="168">
        <f t="shared" si="110"/>
        <v>4067.3</v>
      </c>
      <c r="I255" s="168">
        <f t="shared" si="110"/>
        <v>4067.3</v>
      </c>
      <c r="J255" s="497">
        <f t="shared" si="110"/>
        <v>4067.3</v>
      </c>
      <c r="K255" s="575">
        <f t="shared" si="81"/>
        <v>1</v>
      </c>
      <c r="L255" s="168">
        <f t="shared" si="109"/>
        <v>4067.3</v>
      </c>
      <c r="M255" s="580">
        <f t="shared" si="92"/>
        <v>1</v>
      </c>
      <c r="N255" s="161"/>
    </row>
    <row r="256" spans="1:14" s="145" customFormat="1" ht="47.25" x14ac:dyDescent="0.25">
      <c r="A256" s="401" t="s">
        <v>43</v>
      </c>
      <c r="B256" s="209" t="s">
        <v>32</v>
      </c>
      <c r="C256" s="4" t="s">
        <v>7</v>
      </c>
      <c r="D256" s="163" t="s">
        <v>510</v>
      </c>
      <c r="E256" s="352">
        <v>100</v>
      </c>
      <c r="F256" s="168">
        <f t="shared" si="108"/>
        <v>4067.3</v>
      </c>
      <c r="G256" s="327">
        <f t="shared" si="108"/>
        <v>4067.3</v>
      </c>
      <c r="H256" s="168">
        <f t="shared" si="108"/>
        <v>4067.3</v>
      </c>
      <c r="I256" s="327">
        <f t="shared" si="108"/>
        <v>4067.3</v>
      </c>
      <c r="J256" s="497">
        <f t="shared" si="108"/>
        <v>4067.3</v>
      </c>
      <c r="K256" s="575">
        <f t="shared" si="81"/>
        <v>1</v>
      </c>
      <c r="L256" s="168">
        <f t="shared" si="109"/>
        <v>4067.3</v>
      </c>
      <c r="M256" s="580">
        <f t="shared" si="92"/>
        <v>1</v>
      </c>
      <c r="N256" s="161"/>
    </row>
    <row r="257" spans="1:14" s="145" customFormat="1" x14ac:dyDescent="0.25">
      <c r="A257" s="401" t="s">
        <v>99</v>
      </c>
      <c r="B257" s="209" t="s">
        <v>32</v>
      </c>
      <c r="C257" s="4" t="s">
        <v>7</v>
      </c>
      <c r="D257" s="163" t="s">
        <v>510</v>
      </c>
      <c r="E257" s="352">
        <v>120</v>
      </c>
      <c r="F257" s="168">
        <f>'ведом. 2023-2025'!AD175</f>
        <v>4067.3</v>
      </c>
      <c r="G257" s="327">
        <f>F257</f>
        <v>4067.3</v>
      </c>
      <c r="H257" s="168">
        <f>'ведом. 2023-2025'!AE175</f>
        <v>4067.3</v>
      </c>
      <c r="I257" s="327">
        <f>H257</f>
        <v>4067.3</v>
      </c>
      <c r="J257" s="497">
        <f>'ведом. 2023-2025'!AF175</f>
        <v>4067.3</v>
      </c>
      <c r="K257" s="575">
        <f t="shared" si="81"/>
        <v>1</v>
      </c>
      <c r="L257" s="168">
        <f>J257</f>
        <v>4067.3</v>
      </c>
      <c r="M257" s="580">
        <f t="shared" si="92"/>
        <v>1</v>
      </c>
      <c r="N257" s="161"/>
    </row>
    <row r="258" spans="1:14" s="145" customFormat="1" x14ac:dyDescent="0.25">
      <c r="A258" s="401" t="s">
        <v>49</v>
      </c>
      <c r="B258" s="209" t="s">
        <v>32</v>
      </c>
      <c r="C258" s="4" t="s">
        <v>51</v>
      </c>
      <c r="D258" s="33"/>
      <c r="E258" s="352"/>
      <c r="F258" s="168">
        <f t="shared" ref="F258:J263" si="111">F259</f>
        <v>282</v>
      </c>
      <c r="G258" s="327"/>
      <c r="H258" s="168">
        <f t="shared" si="111"/>
        <v>282</v>
      </c>
      <c r="I258" s="168"/>
      <c r="J258" s="497">
        <f t="shared" si="111"/>
        <v>282</v>
      </c>
      <c r="K258" s="575">
        <f t="shared" si="81"/>
        <v>1</v>
      </c>
      <c r="L258" s="168"/>
      <c r="M258" s="580"/>
      <c r="N258" s="161"/>
    </row>
    <row r="259" spans="1:14" s="145" customFormat="1" x14ac:dyDescent="0.25">
      <c r="A259" s="280" t="s">
        <v>193</v>
      </c>
      <c r="B259" s="209" t="s">
        <v>32</v>
      </c>
      <c r="C259" s="4" t="s">
        <v>51</v>
      </c>
      <c r="D259" s="163" t="s">
        <v>115</v>
      </c>
      <c r="E259" s="352"/>
      <c r="F259" s="168">
        <f t="shared" si="111"/>
        <v>282</v>
      </c>
      <c r="G259" s="327"/>
      <c r="H259" s="168">
        <f t="shared" si="111"/>
        <v>282</v>
      </c>
      <c r="I259" s="168"/>
      <c r="J259" s="497">
        <f t="shared" si="111"/>
        <v>282</v>
      </c>
      <c r="K259" s="575">
        <f t="shared" si="81"/>
        <v>1</v>
      </c>
      <c r="L259" s="168"/>
      <c r="M259" s="580"/>
      <c r="N259" s="161"/>
    </row>
    <row r="260" spans="1:14" s="145" customFormat="1" x14ac:dyDescent="0.25">
      <c r="A260" s="280" t="s">
        <v>198</v>
      </c>
      <c r="B260" s="209" t="s">
        <v>32</v>
      </c>
      <c r="C260" s="4" t="s">
        <v>51</v>
      </c>
      <c r="D260" s="163" t="s">
        <v>199</v>
      </c>
      <c r="E260" s="352"/>
      <c r="F260" s="168">
        <f t="shared" si="111"/>
        <v>282</v>
      </c>
      <c r="G260" s="327"/>
      <c r="H260" s="168">
        <f t="shared" si="111"/>
        <v>282</v>
      </c>
      <c r="I260" s="168"/>
      <c r="J260" s="497">
        <f t="shared" si="111"/>
        <v>282</v>
      </c>
      <c r="K260" s="575">
        <f t="shared" si="81"/>
        <v>1</v>
      </c>
      <c r="L260" s="168"/>
      <c r="M260" s="580"/>
      <c r="N260" s="161"/>
    </row>
    <row r="261" spans="1:14" s="145" customFormat="1" ht="31.5" x14ac:dyDescent="0.25">
      <c r="A261" s="280" t="s">
        <v>200</v>
      </c>
      <c r="B261" s="209" t="s">
        <v>32</v>
      </c>
      <c r="C261" s="4" t="s">
        <v>51</v>
      </c>
      <c r="D261" s="163" t="s">
        <v>201</v>
      </c>
      <c r="E261" s="352"/>
      <c r="F261" s="168">
        <f t="shared" si="111"/>
        <v>282</v>
      </c>
      <c r="G261" s="327"/>
      <c r="H261" s="168">
        <f t="shared" si="111"/>
        <v>282</v>
      </c>
      <c r="I261" s="168"/>
      <c r="J261" s="497">
        <f t="shared" si="111"/>
        <v>282</v>
      </c>
      <c r="K261" s="575">
        <f t="shared" si="81"/>
        <v>1</v>
      </c>
      <c r="L261" s="168"/>
      <c r="M261" s="580"/>
      <c r="N261" s="161"/>
    </row>
    <row r="262" spans="1:14" s="145" customFormat="1" x14ac:dyDescent="0.25">
      <c r="A262" s="302" t="s">
        <v>230</v>
      </c>
      <c r="B262" s="209" t="s">
        <v>32</v>
      </c>
      <c r="C262" s="4" t="s">
        <v>51</v>
      </c>
      <c r="D262" s="306" t="s">
        <v>231</v>
      </c>
      <c r="E262" s="356"/>
      <c r="F262" s="168">
        <f t="shared" si="111"/>
        <v>282</v>
      </c>
      <c r="G262" s="327"/>
      <c r="H262" s="168">
        <f t="shared" si="111"/>
        <v>282</v>
      </c>
      <c r="I262" s="168"/>
      <c r="J262" s="497">
        <f t="shared" si="111"/>
        <v>282</v>
      </c>
      <c r="K262" s="575">
        <f t="shared" si="81"/>
        <v>1</v>
      </c>
      <c r="L262" s="168"/>
      <c r="M262" s="580"/>
      <c r="N262" s="161"/>
    </row>
    <row r="263" spans="1:14" s="145" customFormat="1" x14ac:dyDescent="0.25">
      <c r="A263" s="401" t="s">
        <v>123</v>
      </c>
      <c r="B263" s="209" t="s">
        <v>32</v>
      </c>
      <c r="C263" s="4" t="s">
        <v>51</v>
      </c>
      <c r="D263" s="306" t="s">
        <v>231</v>
      </c>
      <c r="E263" s="358">
        <v>200</v>
      </c>
      <c r="F263" s="168">
        <f t="shared" si="111"/>
        <v>282</v>
      </c>
      <c r="G263" s="327"/>
      <c r="H263" s="168">
        <f t="shared" si="111"/>
        <v>282</v>
      </c>
      <c r="I263" s="168"/>
      <c r="J263" s="497">
        <f t="shared" si="111"/>
        <v>282</v>
      </c>
      <c r="K263" s="575">
        <f t="shared" si="81"/>
        <v>1</v>
      </c>
      <c r="L263" s="168"/>
      <c r="M263" s="580"/>
      <c r="N263" s="161"/>
    </row>
    <row r="264" spans="1:14" s="145" customFormat="1" ht="31.5" x14ac:dyDescent="0.25">
      <c r="A264" s="401" t="s">
        <v>54</v>
      </c>
      <c r="B264" s="209" t="s">
        <v>32</v>
      </c>
      <c r="C264" s="4" t="s">
        <v>51</v>
      </c>
      <c r="D264" s="306" t="s">
        <v>231</v>
      </c>
      <c r="E264" s="358">
        <v>240</v>
      </c>
      <c r="F264" s="168">
        <f>'ведом. 2023-2025'!AD182</f>
        <v>282</v>
      </c>
      <c r="G264" s="327"/>
      <c r="H264" s="168">
        <f>'ведом. 2023-2025'!AE182</f>
        <v>282</v>
      </c>
      <c r="I264" s="168"/>
      <c r="J264" s="497">
        <f>'ведом. 2023-2025'!AF182</f>
        <v>282</v>
      </c>
      <c r="K264" s="575">
        <f t="shared" si="81"/>
        <v>1</v>
      </c>
      <c r="L264" s="168"/>
      <c r="M264" s="580"/>
      <c r="N264" s="161"/>
    </row>
    <row r="265" spans="1:14" s="141" customFormat="1" x14ac:dyDescent="0.25">
      <c r="A265" s="417" t="s">
        <v>48</v>
      </c>
      <c r="B265" s="211" t="s">
        <v>7</v>
      </c>
      <c r="C265" s="206"/>
      <c r="D265" s="305"/>
      <c r="E265" s="356"/>
      <c r="F265" s="170">
        <f>F266+F277+F315</f>
        <v>41353.300000000003</v>
      </c>
      <c r="G265" s="373"/>
      <c r="H265" s="170">
        <f>H266+H277+H315</f>
        <v>41353.300000000003</v>
      </c>
      <c r="I265" s="170"/>
      <c r="J265" s="505">
        <f>J266+J277+J315</f>
        <v>39451.599999999999</v>
      </c>
      <c r="K265" s="574">
        <f t="shared" si="81"/>
        <v>0.95401334355420231</v>
      </c>
      <c r="L265" s="170"/>
      <c r="M265" s="581"/>
      <c r="N265" s="548"/>
    </row>
    <row r="266" spans="1:14" s="145" customFormat="1" x14ac:dyDescent="0.25">
      <c r="A266" s="278" t="s">
        <v>395</v>
      </c>
      <c r="B266" s="209" t="s">
        <v>7</v>
      </c>
      <c r="C266" s="4" t="s">
        <v>23</v>
      </c>
      <c r="D266" s="33"/>
      <c r="E266" s="351"/>
      <c r="F266" s="168">
        <f>F267</f>
        <v>1201.5</v>
      </c>
      <c r="G266" s="327"/>
      <c r="H266" s="168">
        <f>H267</f>
        <v>1201.5</v>
      </c>
      <c r="I266" s="168"/>
      <c r="J266" s="497">
        <f>J267</f>
        <v>1136.9000000000001</v>
      </c>
      <c r="K266" s="575">
        <f t="shared" si="81"/>
        <v>0.94623387432376205</v>
      </c>
      <c r="L266" s="168"/>
      <c r="M266" s="580"/>
      <c r="N266" s="161"/>
    </row>
    <row r="267" spans="1:14" s="145" customFormat="1" ht="31.5" x14ac:dyDescent="0.25">
      <c r="A267" s="284" t="s">
        <v>168</v>
      </c>
      <c r="B267" s="209" t="s">
        <v>7</v>
      </c>
      <c r="C267" s="4" t="s">
        <v>23</v>
      </c>
      <c r="D267" s="33" t="s">
        <v>105</v>
      </c>
      <c r="E267" s="351"/>
      <c r="F267" s="168">
        <f>F268</f>
        <v>1201.5</v>
      </c>
      <c r="G267" s="327"/>
      <c r="H267" s="168">
        <f>H268</f>
        <v>1201.5</v>
      </c>
      <c r="I267" s="168"/>
      <c r="J267" s="497">
        <f t="shared" ref="J267" si="112">J268</f>
        <v>1136.9000000000001</v>
      </c>
      <c r="K267" s="575">
        <f t="shared" si="81"/>
        <v>0.94623387432376205</v>
      </c>
      <c r="L267" s="168"/>
      <c r="M267" s="580"/>
      <c r="N267" s="161"/>
    </row>
    <row r="268" spans="1:14" s="145" customFormat="1" ht="31.5" x14ac:dyDescent="0.25">
      <c r="A268" s="284" t="s">
        <v>681</v>
      </c>
      <c r="B268" s="209" t="s">
        <v>7</v>
      </c>
      <c r="C268" s="4" t="s">
        <v>23</v>
      </c>
      <c r="D268" s="163" t="s">
        <v>106</v>
      </c>
      <c r="E268" s="351"/>
      <c r="F268" s="168">
        <f>F269+F273</f>
        <v>1201.5</v>
      </c>
      <c r="G268" s="327"/>
      <c r="H268" s="168">
        <f>H269+H273</f>
        <v>1201.5</v>
      </c>
      <c r="I268" s="168"/>
      <c r="J268" s="497">
        <f t="shared" ref="J268" si="113">J269+J273</f>
        <v>1136.9000000000001</v>
      </c>
      <c r="K268" s="575">
        <f t="shared" si="81"/>
        <v>0.94623387432376205</v>
      </c>
      <c r="L268" s="168"/>
      <c r="M268" s="580"/>
      <c r="N268" s="161"/>
    </row>
    <row r="269" spans="1:14" s="145" customFormat="1" ht="78.75" x14ac:dyDescent="0.25">
      <c r="A269" s="301" t="s">
        <v>684</v>
      </c>
      <c r="B269" s="209" t="s">
        <v>7</v>
      </c>
      <c r="C269" s="4" t="s">
        <v>23</v>
      </c>
      <c r="D269" s="163" t="s">
        <v>126</v>
      </c>
      <c r="E269" s="351"/>
      <c r="F269" s="168">
        <f t="shared" ref="F269:J270" si="114">F270</f>
        <v>821.5</v>
      </c>
      <c r="G269" s="327"/>
      <c r="H269" s="168">
        <f t="shared" si="114"/>
        <v>821.5</v>
      </c>
      <c r="I269" s="168"/>
      <c r="J269" s="497">
        <f t="shared" si="114"/>
        <v>756.9</v>
      </c>
      <c r="K269" s="575">
        <f t="shared" si="81"/>
        <v>0.92136335970785144</v>
      </c>
      <c r="L269" s="168"/>
      <c r="M269" s="580"/>
      <c r="N269" s="161"/>
    </row>
    <row r="270" spans="1:14" s="145" customFormat="1" ht="31.5" x14ac:dyDescent="0.25">
      <c r="A270" s="282" t="s">
        <v>180</v>
      </c>
      <c r="B270" s="209" t="s">
        <v>7</v>
      </c>
      <c r="C270" s="4" t="s">
        <v>23</v>
      </c>
      <c r="D270" s="163" t="s">
        <v>181</v>
      </c>
      <c r="E270" s="351"/>
      <c r="F270" s="168">
        <f>F271</f>
        <v>821.5</v>
      </c>
      <c r="G270" s="327"/>
      <c r="H270" s="168">
        <f>H271</f>
        <v>821.5</v>
      </c>
      <c r="I270" s="168"/>
      <c r="J270" s="497">
        <f t="shared" si="114"/>
        <v>756.9</v>
      </c>
      <c r="K270" s="575">
        <f t="shared" si="81"/>
        <v>0.92136335970785144</v>
      </c>
      <c r="L270" s="168"/>
      <c r="M270" s="580"/>
      <c r="N270" s="161"/>
    </row>
    <row r="271" spans="1:14" s="145" customFormat="1" x14ac:dyDescent="0.25">
      <c r="A271" s="278" t="s">
        <v>123</v>
      </c>
      <c r="B271" s="209" t="s">
        <v>7</v>
      </c>
      <c r="C271" s="4" t="s">
        <v>23</v>
      </c>
      <c r="D271" s="163" t="s">
        <v>181</v>
      </c>
      <c r="E271" s="351">
        <v>200</v>
      </c>
      <c r="F271" s="168">
        <f>F272</f>
        <v>821.5</v>
      </c>
      <c r="G271" s="327"/>
      <c r="H271" s="168">
        <f>H272</f>
        <v>821.5</v>
      </c>
      <c r="I271" s="168"/>
      <c r="J271" s="497">
        <f>J272</f>
        <v>756.9</v>
      </c>
      <c r="K271" s="575">
        <f t="shared" ref="K271:K334" si="115">J271/H271</f>
        <v>0.92136335970785144</v>
      </c>
      <c r="L271" s="168"/>
      <c r="M271" s="580"/>
      <c r="N271" s="161"/>
    </row>
    <row r="272" spans="1:14" s="145" customFormat="1" ht="31.5" x14ac:dyDescent="0.25">
      <c r="A272" s="278" t="s">
        <v>54</v>
      </c>
      <c r="B272" s="209" t="s">
        <v>7</v>
      </c>
      <c r="C272" s="4" t="s">
        <v>23</v>
      </c>
      <c r="D272" s="163" t="s">
        <v>181</v>
      </c>
      <c r="E272" s="351">
        <v>240</v>
      </c>
      <c r="F272" s="168">
        <f>'ведом. 2023-2025'!AD190</f>
        <v>821.5</v>
      </c>
      <c r="G272" s="327"/>
      <c r="H272" s="168">
        <f>'ведом. 2023-2025'!AE190</f>
        <v>821.5</v>
      </c>
      <c r="I272" s="168"/>
      <c r="J272" s="497">
        <f>'ведом. 2023-2025'!AF190</f>
        <v>756.9</v>
      </c>
      <c r="K272" s="575">
        <f t="shared" si="115"/>
        <v>0.92136335970785144</v>
      </c>
      <c r="L272" s="168"/>
      <c r="M272" s="580"/>
      <c r="N272" s="161"/>
    </row>
    <row r="273" spans="1:14" s="145" customFormat="1" ht="47.25" x14ac:dyDescent="0.25">
      <c r="A273" s="282" t="s">
        <v>653</v>
      </c>
      <c r="B273" s="209" t="s">
        <v>7</v>
      </c>
      <c r="C273" s="4" t="s">
        <v>23</v>
      </c>
      <c r="D273" s="163" t="s">
        <v>652</v>
      </c>
      <c r="E273" s="354"/>
      <c r="F273" s="168">
        <f>F274</f>
        <v>380</v>
      </c>
      <c r="G273" s="168"/>
      <c r="H273" s="168">
        <f>H274</f>
        <v>380</v>
      </c>
      <c r="I273" s="168"/>
      <c r="J273" s="497">
        <f t="shared" ref="J273" si="116">J274</f>
        <v>380</v>
      </c>
      <c r="K273" s="575">
        <f t="shared" si="115"/>
        <v>1</v>
      </c>
      <c r="L273" s="168"/>
      <c r="M273" s="580"/>
      <c r="N273" s="161"/>
    </row>
    <row r="274" spans="1:14" s="145" customFormat="1" ht="31.5" x14ac:dyDescent="0.25">
      <c r="A274" s="283" t="s">
        <v>654</v>
      </c>
      <c r="B274" s="209" t="s">
        <v>7</v>
      </c>
      <c r="C274" s="4" t="s">
        <v>23</v>
      </c>
      <c r="D274" s="163" t="s">
        <v>655</v>
      </c>
      <c r="E274" s="354"/>
      <c r="F274" s="168">
        <f>F275</f>
        <v>380</v>
      </c>
      <c r="G274" s="327"/>
      <c r="H274" s="168">
        <f>H275</f>
        <v>380</v>
      </c>
      <c r="I274" s="168"/>
      <c r="J274" s="497">
        <f>J275</f>
        <v>380</v>
      </c>
      <c r="K274" s="575">
        <f t="shared" si="115"/>
        <v>1</v>
      </c>
      <c r="L274" s="168"/>
      <c r="M274" s="580"/>
      <c r="N274" s="161"/>
    </row>
    <row r="275" spans="1:14" s="145" customFormat="1" x14ac:dyDescent="0.25">
      <c r="A275" s="278" t="s">
        <v>123</v>
      </c>
      <c r="B275" s="209" t="s">
        <v>7</v>
      </c>
      <c r="C275" s="4" t="s">
        <v>23</v>
      </c>
      <c r="D275" s="163" t="s">
        <v>655</v>
      </c>
      <c r="E275" s="354" t="s">
        <v>39</v>
      </c>
      <c r="F275" s="168">
        <f>F276</f>
        <v>380</v>
      </c>
      <c r="G275" s="327"/>
      <c r="H275" s="168">
        <f>H276</f>
        <v>380</v>
      </c>
      <c r="I275" s="168"/>
      <c r="J275" s="497">
        <f>J276</f>
        <v>380</v>
      </c>
      <c r="K275" s="575">
        <f t="shared" si="115"/>
        <v>1</v>
      </c>
      <c r="L275" s="168"/>
      <c r="M275" s="580"/>
      <c r="N275" s="161"/>
    </row>
    <row r="276" spans="1:14" s="145" customFormat="1" ht="31.5" x14ac:dyDescent="0.25">
      <c r="A276" s="278" t="s">
        <v>54</v>
      </c>
      <c r="B276" s="209" t="s">
        <v>7</v>
      </c>
      <c r="C276" s="4" t="s">
        <v>23</v>
      </c>
      <c r="D276" s="163" t="s">
        <v>655</v>
      </c>
      <c r="E276" s="354" t="s">
        <v>67</v>
      </c>
      <c r="F276" s="168">
        <f>'ведом. 2023-2025'!AD194</f>
        <v>380</v>
      </c>
      <c r="G276" s="327"/>
      <c r="H276" s="168">
        <f>'ведом. 2023-2025'!AE194</f>
        <v>380</v>
      </c>
      <c r="I276" s="168"/>
      <c r="J276" s="497">
        <f>'ведом. 2023-2025'!AF194</f>
        <v>380</v>
      </c>
      <c r="K276" s="575">
        <f t="shared" si="115"/>
        <v>1</v>
      </c>
      <c r="L276" s="168"/>
      <c r="M276" s="580"/>
      <c r="N276" s="161"/>
    </row>
    <row r="277" spans="1:14" s="145" customFormat="1" ht="31.5" x14ac:dyDescent="0.25">
      <c r="A277" s="278" t="s">
        <v>396</v>
      </c>
      <c r="B277" s="209" t="s">
        <v>7</v>
      </c>
      <c r="C277" s="4" t="s">
        <v>38</v>
      </c>
      <c r="D277" s="33"/>
      <c r="E277" s="351"/>
      <c r="F277" s="168">
        <f>F278+F309</f>
        <v>25679.000000000004</v>
      </c>
      <c r="G277" s="168"/>
      <c r="H277" s="168">
        <f>H278+H309</f>
        <v>25679.000000000004</v>
      </c>
      <c r="I277" s="168"/>
      <c r="J277" s="497">
        <f>J278+J309</f>
        <v>25252.799999999999</v>
      </c>
      <c r="K277" s="575">
        <f t="shared" si="115"/>
        <v>0.98340278048210583</v>
      </c>
      <c r="L277" s="168"/>
      <c r="M277" s="580"/>
      <c r="N277" s="161"/>
    </row>
    <row r="278" spans="1:14" s="145" customFormat="1" ht="31.5" x14ac:dyDescent="0.25">
      <c r="A278" s="284" t="s">
        <v>168</v>
      </c>
      <c r="B278" s="209" t="s">
        <v>7</v>
      </c>
      <c r="C278" s="4" t="s">
        <v>38</v>
      </c>
      <c r="D278" s="33" t="s">
        <v>105</v>
      </c>
      <c r="E278" s="351"/>
      <c r="F278" s="168">
        <f>F279+F288+F302+F295</f>
        <v>25659.000000000004</v>
      </c>
      <c r="G278" s="168"/>
      <c r="H278" s="168">
        <f>H279+H288+H302+H295</f>
        <v>25659.000000000004</v>
      </c>
      <c r="I278" s="168"/>
      <c r="J278" s="497">
        <f>J279+J288+J302+J295</f>
        <v>25235.3</v>
      </c>
      <c r="K278" s="575">
        <f t="shared" si="115"/>
        <v>0.98348727541993042</v>
      </c>
      <c r="L278" s="168"/>
      <c r="M278" s="580"/>
      <c r="N278" s="161"/>
    </row>
    <row r="279" spans="1:14" s="145" customFormat="1" ht="31.9" customHeight="1" x14ac:dyDescent="0.25">
      <c r="A279" s="284" t="s">
        <v>715</v>
      </c>
      <c r="B279" s="209" t="s">
        <v>7</v>
      </c>
      <c r="C279" s="4" t="s">
        <v>38</v>
      </c>
      <c r="D279" s="163" t="s">
        <v>110</v>
      </c>
      <c r="E279" s="354"/>
      <c r="F279" s="168">
        <f>F284+F280</f>
        <v>2029.5000000000002</v>
      </c>
      <c r="G279" s="168"/>
      <c r="H279" s="168">
        <f t="shared" ref="H279:J279" si="117">H284+H280</f>
        <v>2029.5000000000002</v>
      </c>
      <c r="I279" s="168"/>
      <c r="J279" s="497">
        <f t="shared" si="117"/>
        <v>1621.1</v>
      </c>
      <c r="K279" s="575">
        <f t="shared" si="115"/>
        <v>0.79876816949987672</v>
      </c>
      <c r="L279" s="168"/>
      <c r="M279" s="580"/>
      <c r="N279" s="161"/>
    </row>
    <row r="280" spans="1:14" s="188" customFormat="1" ht="31.5" x14ac:dyDescent="0.25">
      <c r="A280" s="284" t="s">
        <v>705</v>
      </c>
      <c r="B280" s="1" t="s">
        <v>7</v>
      </c>
      <c r="C280" s="4" t="s">
        <v>38</v>
      </c>
      <c r="D280" s="326" t="s">
        <v>706</v>
      </c>
      <c r="E280" s="317"/>
      <c r="F280" s="168">
        <f>F281</f>
        <v>1689.5000000000002</v>
      </c>
      <c r="G280" s="168"/>
      <c r="H280" s="168">
        <f>H281</f>
        <v>1689.5000000000002</v>
      </c>
      <c r="I280" s="168"/>
      <c r="J280" s="497">
        <f t="shared" ref="J280:J282" si="118">J281</f>
        <v>1621.1</v>
      </c>
      <c r="K280" s="575">
        <f t="shared" si="115"/>
        <v>0.95951464930452779</v>
      </c>
      <c r="L280" s="168"/>
      <c r="M280" s="580"/>
      <c r="N280" s="161"/>
    </row>
    <row r="281" spans="1:14" s="188" customFormat="1" x14ac:dyDescent="0.25">
      <c r="A281" s="284" t="s">
        <v>707</v>
      </c>
      <c r="B281" s="1" t="s">
        <v>7</v>
      </c>
      <c r="C281" s="4" t="s">
        <v>38</v>
      </c>
      <c r="D281" s="326" t="s">
        <v>708</v>
      </c>
      <c r="E281" s="317"/>
      <c r="F281" s="168">
        <f>F282</f>
        <v>1689.5000000000002</v>
      </c>
      <c r="G281" s="168"/>
      <c r="H281" s="168">
        <f>H282</f>
        <v>1689.5000000000002</v>
      </c>
      <c r="I281" s="168"/>
      <c r="J281" s="497">
        <f t="shared" si="118"/>
        <v>1621.1</v>
      </c>
      <c r="K281" s="575">
        <f t="shared" si="115"/>
        <v>0.95951464930452779</v>
      </c>
      <c r="L281" s="168"/>
      <c r="M281" s="580"/>
      <c r="N281" s="161"/>
    </row>
    <row r="282" spans="1:14" s="188" customFormat="1" x14ac:dyDescent="0.25">
      <c r="A282" s="278" t="s">
        <v>123</v>
      </c>
      <c r="B282" s="1" t="s">
        <v>7</v>
      </c>
      <c r="C282" s="4" t="s">
        <v>38</v>
      </c>
      <c r="D282" s="326" t="s">
        <v>708</v>
      </c>
      <c r="E282" s="317" t="s">
        <v>39</v>
      </c>
      <c r="F282" s="168">
        <f>F283</f>
        <v>1689.5000000000002</v>
      </c>
      <c r="G282" s="168"/>
      <c r="H282" s="168">
        <f>H283</f>
        <v>1689.5000000000002</v>
      </c>
      <c r="I282" s="168"/>
      <c r="J282" s="497">
        <f t="shared" si="118"/>
        <v>1621.1</v>
      </c>
      <c r="K282" s="575">
        <f t="shared" si="115"/>
        <v>0.95951464930452779</v>
      </c>
      <c r="L282" s="168"/>
      <c r="M282" s="580"/>
      <c r="N282" s="161"/>
    </row>
    <row r="283" spans="1:14" s="188" customFormat="1" ht="31.5" x14ac:dyDescent="0.25">
      <c r="A283" s="278" t="s">
        <v>54</v>
      </c>
      <c r="B283" s="1" t="s">
        <v>7</v>
      </c>
      <c r="C283" s="4" t="s">
        <v>38</v>
      </c>
      <c r="D283" s="326" t="s">
        <v>708</v>
      </c>
      <c r="E283" s="317" t="s">
        <v>67</v>
      </c>
      <c r="F283" s="168">
        <f>'ведом. 2023-2025'!AD201</f>
        <v>1689.5000000000002</v>
      </c>
      <c r="G283" s="327"/>
      <c r="H283" s="168">
        <f>'ведом. 2023-2025'!AE201</f>
        <v>1689.5000000000002</v>
      </c>
      <c r="I283" s="168"/>
      <c r="J283" s="497">
        <f>'ведом. 2023-2025'!AF201</f>
        <v>1621.1</v>
      </c>
      <c r="K283" s="575">
        <f t="shared" si="115"/>
        <v>0.95951464930452779</v>
      </c>
      <c r="L283" s="168"/>
      <c r="M283" s="580"/>
      <c r="N283" s="161"/>
    </row>
    <row r="284" spans="1:14" s="188" customFormat="1" ht="31.5" x14ac:dyDescent="0.25">
      <c r="A284" s="282" t="s">
        <v>651</v>
      </c>
      <c r="B284" s="209" t="s">
        <v>7</v>
      </c>
      <c r="C284" s="4" t="s">
        <v>38</v>
      </c>
      <c r="D284" s="163" t="s">
        <v>176</v>
      </c>
      <c r="E284" s="292"/>
      <c r="F284" s="168">
        <f>F285</f>
        <v>340</v>
      </c>
      <c r="G284" s="327"/>
      <c r="H284" s="168">
        <f>H285</f>
        <v>340</v>
      </c>
      <c r="I284" s="168"/>
      <c r="J284" s="497">
        <f t="shared" ref="J284" si="119">J285</f>
        <v>0</v>
      </c>
      <c r="K284" s="575">
        <f t="shared" si="115"/>
        <v>0</v>
      </c>
      <c r="L284" s="168"/>
      <c r="M284" s="580"/>
      <c r="N284" s="161"/>
    </row>
    <row r="285" spans="1:14" s="145" customFormat="1" ht="31.5" x14ac:dyDescent="0.25">
      <c r="A285" s="284" t="s">
        <v>175</v>
      </c>
      <c r="B285" s="209" t="s">
        <v>7</v>
      </c>
      <c r="C285" s="4" t="s">
        <v>38</v>
      </c>
      <c r="D285" s="163" t="s">
        <v>650</v>
      </c>
      <c r="E285" s="354"/>
      <c r="F285" s="168">
        <f>F286</f>
        <v>340</v>
      </c>
      <c r="G285" s="327"/>
      <c r="H285" s="168">
        <f>H286</f>
        <v>340</v>
      </c>
      <c r="I285" s="168"/>
      <c r="J285" s="497">
        <f>J286</f>
        <v>0</v>
      </c>
      <c r="K285" s="575">
        <f t="shared" si="115"/>
        <v>0</v>
      </c>
      <c r="L285" s="168"/>
      <c r="M285" s="580"/>
      <c r="N285" s="161"/>
    </row>
    <row r="286" spans="1:14" s="145" customFormat="1" x14ac:dyDescent="0.25">
      <c r="A286" s="401" t="s">
        <v>123</v>
      </c>
      <c r="B286" s="209" t="s">
        <v>7</v>
      </c>
      <c r="C286" s="4" t="s">
        <v>38</v>
      </c>
      <c r="D286" s="163" t="s">
        <v>650</v>
      </c>
      <c r="E286" s="359" t="s">
        <v>39</v>
      </c>
      <c r="F286" s="168">
        <f>F287</f>
        <v>340</v>
      </c>
      <c r="G286" s="327"/>
      <c r="H286" s="168">
        <f>H287</f>
        <v>340</v>
      </c>
      <c r="I286" s="168"/>
      <c r="J286" s="497">
        <f>J287</f>
        <v>0</v>
      </c>
      <c r="K286" s="575">
        <f t="shared" si="115"/>
        <v>0</v>
      </c>
      <c r="L286" s="168"/>
      <c r="M286" s="580"/>
      <c r="N286" s="161"/>
    </row>
    <row r="287" spans="1:14" s="145" customFormat="1" ht="31.5" x14ac:dyDescent="0.25">
      <c r="A287" s="401" t="s">
        <v>54</v>
      </c>
      <c r="B287" s="209" t="s">
        <v>7</v>
      </c>
      <c r="C287" s="4" t="s">
        <v>38</v>
      </c>
      <c r="D287" s="163" t="s">
        <v>650</v>
      </c>
      <c r="E287" s="359" t="s">
        <v>67</v>
      </c>
      <c r="F287" s="168">
        <f>'ведом. 2023-2025'!AD205</f>
        <v>340</v>
      </c>
      <c r="G287" s="327"/>
      <c r="H287" s="168">
        <f>'ведом. 2023-2025'!AE205</f>
        <v>340</v>
      </c>
      <c r="I287" s="168"/>
      <c r="J287" s="497">
        <f>'ведом. 2023-2025'!AF205</f>
        <v>0</v>
      </c>
      <c r="K287" s="575">
        <f t="shared" si="115"/>
        <v>0</v>
      </c>
      <c r="L287" s="168"/>
      <c r="M287" s="580"/>
      <c r="N287" s="161"/>
    </row>
    <row r="288" spans="1:14" s="145" customFormat="1" ht="31.5" x14ac:dyDescent="0.25">
      <c r="A288" s="284" t="s">
        <v>385</v>
      </c>
      <c r="B288" s="209" t="s">
        <v>7</v>
      </c>
      <c r="C288" s="4" t="s">
        <v>38</v>
      </c>
      <c r="D288" s="163" t="s">
        <v>107</v>
      </c>
      <c r="E288" s="352"/>
      <c r="F288" s="168">
        <f>F289</f>
        <v>1628.8999999999999</v>
      </c>
      <c r="G288" s="327"/>
      <c r="H288" s="168">
        <f>H289</f>
        <v>1628.8999999999999</v>
      </c>
      <c r="I288" s="168"/>
      <c r="J288" s="497">
        <f>J289</f>
        <v>1617.1</v>
      </c>
      <c r="K288" s="575">
        <f t="shared" si="115"/>
        <v>0.99275584750445089</v>
      </c>
      <c r="L288" s="168"/>
      <c r="M288" s="580"/>
      <c r="N288" s="161"/>
    </row>
    <row r="289" spans="1:14" s="145" customFormat="1" ht="31.5" x14ac:dyDescent="0.25">
      <c r="A289" s="282" t="s">
        <v>656</v>
      </c>
      <c r="B289" s="209" t="s">
        <v>7</v>
      </c>
      <c r="C289" s="4" t="s">
        <v>38</v>
      </c>
      <c r="D289" s="163" t="s">
        <v>127</v>
      </c>
      <c r="E289" s="354"/>
      <c r="F289" s="168">
        <f>F290</f>
        <v>1628.8999999999999</v>
      </c>
      <c r="G289" s="327"/>
      <c r="H289" s="168">
        <f>H290</f>
        <v>1628.8999999999999</v>
      </c>
      <c r="I289" s="168"/>
      <c r="J289" s="497">
        <f>J290</f>
        <v>1617.1</v>
      </c>
      <c r="K289" s="575">
        <f t="shared" si="115"/>
        <v>0.99275584750445089</v>
      </c>
      <c r="L289" s="168"/>
      <c r="M289" s="580"/>
      <c r="N289" s="161"/>
    </row>
    <row r="290" spans="1:14" s="145" customFormat="1" x14ac:dyDescent="0.25">
      <c r="A290" s="278" t="s">
        <v>178</v>
      </c>
      <c r="B290" s="209" t="s">
        <v>7</v>
      </c>
      <c r="C290" s="4" t="s">
        <v>38</v>
      </c>
      <c r="D290" s="163" t="s">
        <v>179</v>
      </c>
      <c r="E290" s="352"/>
      <c r="F290" s="168">
        <f>F291+F293</f>
        <v>1628.8999999999999</v>
      </c>
      <c r="G290" s="327"/>
      <c r="H290" s="168">
        <f>H291+H293</f>
        <v>1628.8999999999999</v>
      </c>
      <c r="I290" s="168"/>
      <c r="J290" s="497">
        <f t="shared" ref="J290" si="120">J291+J293</f>
        <v>1617.1</v>
      </c>
      <c r="K290" s="575">
        <f t="shared" si="115"/>
        <v>0.99275584750445089</v>
      </c>
      <c r="L290" s="168"/>
      <c r="M290" s="580"/>
      <c r="N290" s="161"/>
    </row>
    <row r="291" spans="1:14" s="145" customFormat="1" x14ac:dyDescent="0.25">
      <c r="A291" s="278" t="s">
        <v>123</v>
      </c>
      <c r="B291" s="209" t="s">
        <v>7</v>
      </c>
      <c r="C291" s="4" t="s">
        <v>38</v>
      </c>
      <c r="D291" s="163" t="s">
        <v>179</v>
      </c>
      <c r="E291" s="354" t="s">
        <v>39</v>
      </c>
      <c r="F291" s="168">
        <f>F292</f>
        <v>1378.8999999999999</v>
      </c>
      <c r="G291" s="327"/>
      <c r="H291" s="168">
        <f>H292</f>
        <v>1378.8999999999999</v>
      </c>
      <c r="I291" s="168"/>
      <c r="J291" s="497">
        <f>J292</f>
        <v>1370.5</v>
      </c>
      <c r="K291" s="575">
        <f t="shared" si="115"/>
        <v>0.99390818768583666</v>
      </c>
      <c r="L291" s="168"/>
      <c r="M291" s="580"/>
      <c r="N291" s="161"/>
    </row>
    <row r="292" spans="1:14" s="145" customFormat="1" ht="31.5" x14ac:dyDescent="0.25">
      <c r="A292" s="278" t="s">
        <v>54</v>
      </c>
      <c r="B292" s="209" t="s">
        <v>7</v>
      </c>
      <c r="C292" s="4" t="s">
        <v>38</v>
      </c>
      <c r="D292" s="163" t="s">
        <v>179</v>
      </c>
      <c r="E292" s="354" t="s">
        <v>67</v>
      </c>
      <c r="F292" s="168">
        <f>'ведом. 2023-2025'!AD210</f>
        <v>1378.8999999999999</v>
      </c>
      <c r="G292" s="327"/>
      <c r="H292" s="168">
        <f>'ведом. 2023-2025'!AE210</f>
        <v>1378.8999999999999</v>
      </c>
      <c r="I292" s="168"/>
      <c r="J292" s="497">
        <f>'ведом. 2023-2025'!AF210</f>
        <v>1370.5</v>
      </c>
      <c r="K292" s="575">
        <f t="shared" si="115"/>
        <v>0.99390818768583666</v>
      </c>
      <c r="L292" s="168"/>
      <c r="M292" s="580"/>
      <c r="N292" s="161"/>
    </row>
    <row r="293" spans="1:14" s="188" customFormat="1" ht="31.5" x14ac:dyDescent="0.25">
      <c r="A293" s="278" t="s">
        <v>62</v>
      </c>
      <c r="B293" s="209" t="s">
        <v>7</v>
      </c>
      <c r="C293" s="4" t="s">
        <v>38</v>
      </c>
      <c r="D293" s="163" t="s">
        <v>179</v>
      </c>
      <c r="E293" s="354" t="s">
        <v>422</v>
      </c>
      <c r="F293" s="168">
        <f>F294</f>
        <v>250</v>
      </c>
      <c r="G293" s="327"/>
      <c r="H293" s="168">
        <f>H294</f>
        <v>250</v>
      </c>
      <c r="I293" s="168"/>
      <c r="J293" s="497">
        <f t="shared" ref="J293" si="121">J294</f>
        <v>246.6</v>
      </c>
      <c r="K293" s="575">
        <f t="shared" si="115"/>
        <v>0.98639999999999994</v>
      </c>
      <c r="L293" s="168"/>
      <c r="M293" s="580"/>
      <c r="N293" s="161"/>
    </row>
    <row r="294" spans="1:14" s="188" customFormat="1" x14ac:dyDescent="0.25">
      <c r="A294" s="278" t="s">
        <v>63</v>
      </c>
      <c r="B294" s="209" t="s">
        <v>7</v>
      </c>
      <c r="C294" s="4" t="s">
        <v>38</v>
      </c>
      <c r="D294" s="163" t="s">
        <v>179</v>
      </c>
      <c r="E294" s="354" t="s">
        <v>423</v>
      </c>
      <c r="F294" s="168">
        <f>'ведом. 2023-2025'!AD212</f>
        <v>250</v>
      </c>
      <c r="G294" s="327"/>
      <c r="H294" s="168">
        <f>'ведом. 2023-2025'!AE212</f>
        <v>250</v>
      </c>
      <c r="I294" s="168"/>
      <c r="J294" s="497">
        <f>'ведом. 2023-2025'!AF212</f>
        <v>246.6</v>
      </c>
      <c r="K294" s="575">
        <f t="shared" si="115"/>
        <v>0.98639999999999994</v>
      </c>
      <c r="L294" s="168"/>
      <c r="M294" s="580"/>
      <c r="N294" s="161"/>
    </row>
    <row r="295" spans="1:14" s="188" customFormat="1" ht="31.5" x14ac:dyDescent="0.25">
      <c r="A295" s="278" t="s">
        <v>657</v>
      </c>
      <c r="B295" s="209" t="s">
        <v>7</v>
      </c>
      <c r="C295" s="4" t="s">
        <v>38</v>
      </c>
      <c r="D295" s="163" t="s">
        <v>111</v>
      </c>
      <c r="E295" s="354"/>
      <c r="F295" s="168">
        <f>F296</f>
        <v>655.5</v>
      </c>
      <c r="G295" s="327"/>
      <c r="H295" s="168">
        <f>H296</f>
        <v>655.5</v>
      </c>
      <c r="I295" s="168"/>
      <c r="J295" s="497">
        <f t="shared" ref="J295" si="122">J296</f>
        <v>655.29999999999995</v>
      </c>
      <c r="K295" s="575">
        <f t="shared" si="115"/>
        <v>0.99969488939740647</v>
      </c>
      <c r="L295" s="168"/>
      <c r="M295" s="580"/>
      <c r="N295" s="161"/>
    </row>
    <row r="296" spans="1:14" s="188" customFormat="1" ht="31.5" x14ac:dyDescent="0.25">
      <c r="A296" s="278" t="s">
        <v>658</v>
      </c>
      <c r="B296" s="209" t="s">
        <v>7</v>
      </c>
      <c r="C296" s="4" t="s">
        <v>38</v>
      </c>
      <c r="D296" s="163" t="s">
        <v>659</v>
      </c>
      <c r="E296" s="354"/>
      <c r="F296" s="168">
        <f>F297</f>
        <v>655.5</v>
      </c>
      <c r="G296" s="327"/>
      <c r="H296" s="168">
        <f>H297</f>
        <v>655.5</v>
      </c>
      <c r="I296" s="168"/>
      <c r="J296" s="497">
        <f t="shared" ref="J296" si="123">J297</f>
        <v>655.29999999999995</v>
      </c>
      <c r="K296" s="575">
        <f t="shared" si="115"/>
        <v>0.99969488939740647</v>
      </c>
      <c r="L296" s="168"/>
      <c r="M296" s="580"/>
      <c r="N296" s="161"/>
    </row>
    <row r="297" spans="1:14" s="188" customFormat="1" ht="31.5" x14ac:dyDescent="0.25">
      <c r="A297" s="278" t="s">
        <v>177</v>
      </c>
      <c r="B297" s="209" t="s">
        <v>7</v>
      </c>
      <c r="C297" s="4" t="s">
        <v>38</v>
      </c>
      <c r="D297" s="163" t="s">
        <v>660</v>
      </c>
      <c r="E297" s="354"/>
      <c r="F297" s="168">
        <f>F298+F300</f>
        <v>655.5</v>
      </c>
      <c r="G297" s="327"/>
      <c r="H297" s="168">
        <f>H298+H300</f>
        <v>655.5</v>
      </c>
      <c r="I297" s="168"/>
      <c r="J297" s="497">
        <f t="shared" ref="J297" si="124">J298+J300</f>
        <v>655.29999999999995</v>
      </c>
      <c r="K297" s="575">
        <f t="shared" si="115"/>
        <v>0.99969488939740647</v>
      </c>
      <c r="L297" s="168"/>
      <c r="M297" s="580"/>
      <c r="N297" s="161"/>
    </row>
    <row r="298" spans="1:14" s="188" customFormat="1" x14ac:dyDescent="0.25">
      <c r="A298" s="278" t="s">
        <v>123</v>
      </c>
      <c r="B298" s="209" t="s">
        <v>7</v>
      </c>
      <c r="C298" s="4" t="s">
        <v>38</v>
      </c>
      <c r="D298" s="163" t="s">
        <v>660</v>
      </c>
      <c r="E298" s="354" t="s">
        <v>39</v>
      </c>
      <c r="F298" s="168">
        <f>F299</f>
        <v>10</v>
      </c>
      <c r="G298" s="327"/>
      <c r="H298" s="168">
        <f>H299</f>
        <v>10</v>
      </c>
      <c r="I298" s="168"/>
      <c r="J298" s="497">
        <f t="shared" ref="J298" si="125">J299</f>
        <v>9.8000000000000007</v>
      </c>
      <c r="K298" s="575">
        <f t="shared" si="115"/>
        <v>0.98000000000000009</v>
      </c>
      <c r="L298" s="168"/>
      <c r="M298" s="580"/>
      <c r="N298" s="161"/>
    </row>
    <row r="299" spans="1:14" s="188" customFormat="1" ht="31.5" x14ac:dyDescent="0.25">
      <c r="A299" s="278" t="s">
        <v>54</v>
      </c>
      <c r="B299" s="209" t="s">
        <v>7</v>
      </c>
      <c r="C299" s="4" t="s">
        <v>38</v>
      </c>
      <c r="D299" s="163" t="s">
        <v>660</v>
      </c>
      <c r="E299" s="354" t="s">
        <v>67</v>
      </c>
      <c r="F299" s="168">
        <f>'ведом. 2023-2025'!AD217</f>
        <v>10</v>
      </c>
      <c r="G299" s="327"/>
      <c r="H299" s="168">
        <f>'ведом. 2023-2025'!AE217</f>
        <v>10</v>
      </c>
      <c r="I299" s="168"/>
      <c r="J299" s="497">
        <f>'ведом. 2023-2025'!AF217</f>
        <v>9.8000000000000007</v>
      </c>
      <c r="K299" s="575">
        <f t="shared" si="115"/>
        <v>0.98000000000000009</v>
      </c>
      <c r="L299" s="168"/>
      <c r="M299" s="580"/>
      <c r="N299" s="161"/>
    </row>
    <row r="300" spans="1:14" s="188" customFormat="1" ht="31.5" x14ac:dyDescent="0.25">
      <c r="A300" s="278" t="s">
        <v>62</v>
      </c>
      <c r="B300" s="209" t="s">
        <v>7</v>
      </c>
      <c r="C300" s="4" t="s">
        <v>38</v>
      </c>
      <c r="D300" s="163" t="s">
        <v>660</v>
      </c>
      <c r="E300" s="354" t="s">
        <v>422</v>
      </c>
      <c r="F300" s="168">
        <f>F301</f>
        <v>645.5</v>
      </c>
      <c r="G300" s="327"/>
      <c r="H300" s="168">
        <f>H301</f>
        <v>645.5</v>
      </c>
      <c r="I300" s="168"/>
      <c r="J300" s="497">
        <f t="shared" ref="J300" si="126">J301</f>
        <v>645.5</v>
      </c>
      <c r="K300" s="575">
        <f t="shared" si="115"/>
        <v>1</v>
      </c>
      <c r="L300" s="168"/>
      <c r="M300" s="580"/>
      <c r="N300" s="161"/>
    </row>
    <row r="301" spans="1:14" s="188" customFormat="1" x14ac:dyDescent="0.25">
      <c r="A301" s="278" t="s">
        <v>63</v>
      </c>
      <c r="B301" s="209" t="s">
        <v>7</v>
      </c>
      <c r="C301" s="4" t="s">
        <v>38</v>
      </c>
      <c r="D301" s="163" t="s">
        <v>660</v>
      </c>
      <c r="E301" s="354" t="s">
        <v>423</v>
      </c>
      <c r="F301" s="168">
        <f>'ведом. 2023-2025'!AD219</f>
        <v>645.5</v>
      </c>
      <c r="G301" s="327"/>
      <c r="H301" s="168">
        <f>'ведом. 2023-2025'!AE219</f>
        <v>645.5</v>
      </c>
      <c r="I301" s="168"/>
      <c r="J301" s="497">
        <f>'ведом. 2023-2025'!AF219</f>
        <v>645.5</v>
      </c>
      <c r="K301" s="575">
        <f t="shared" si="115"/>
        <v>1</v>
      </c>
      <c r="L301" s="168"/>
      <c r="M301" s="580"/>
      <c r="N301" s="161"/>
    </row>
    <row r="302" spans="1:14" s="188" customFormat="1" x14ac:dyDescent="0.25">
      <c r="A302" s="282" t="s">
        <v>50</v>
      </c>
      <c r="B302" s="209" t="s">
        <v>7</v>
      </c>
      <c r="C302" s="4" t="s">
        <v>38</v>
      </c>
      <c r="D302" s="163" t="s">
        <v>108</v>
      </c>
      <c r="E302" s="354"/>
      <c r="F302" s="168">
        <f>F303</f>
        <v>21345.100000000002</v>
      </c>
      <c r="G302" s="327"/>
      <c r="H302" s="168">
        <f>H303</f>
        <v>21345.100000000002</v>
      </c>
      <c r="I302" s="168"/>
      <c r="J302" s="497">
        <f t="shared" ref="J302:J303" si="127">J303</f>
        <v>21341.8</v>
      </c>
      <c r="K302" s="575">
        <f t="shared" si="115"/>
        <v>0.9998453977727908</v>
      </c>
      <c r="L302" s="168"/>
      <c r="M302" s="580"/>
      <c r="N302" s="161"/>
    </row>
    <row r="303" spans="1:14" s="188" customFormat="1" ht="31.5" x14ac:dyDescent="0.25">
      <c r="A303" s="282" t="s">
        <v>287</v>
      </c>
      <c r="B303" s="209" t="s">
        <v>7</v>
      </c>
      <c r="C303" s="4" t="s">
        <v>38</v>
      </c>
      <c r="D303" s="163" t="s">
        <v>378</v>
      </c>
      <c r="E303" s="354"/>
      <c r="F303" s="168">
        <f>F304</f>
        <v>21345.100000000002</v>
      </c>
      <c r="G303" s="168"/>
      <c r="H303" s="168">
        <f>H304</f>
        <v>21345.100000000002</v>
      </c>
      <c r="I303" s="168"/>
      <c r="J303" s="497">
        <f t="shared" si="127"/>
        <v>21341.8</v>
      </c>
      <c r="K303" s="575">
        <f t="shared" si="115"/>
        <v>0.9998453977727908</v>
      </c>
      <c r="L303" s="168"/>
      <c r="M303" s="580"/>
      <c r="N303" s="161"/>
    </row>
    <row r="304" spans="1:14" s="145" customFormat="1" x14ac:dyDescent="0.25">
      <c r="A304" s="282" t="s">
        <v>182</v>
      </c>
      <c r="B304" s="209" t="s">
        <v>7</v>
      </c>
      <c r="C304" s="4" t="s">
        <v>38</v>
      </c>
      <c r="D304" s="163" t="s">
        <v>183</v>
      </c>
      <c r="E304" s="354"/>
      <c r="F304" s="168">
        <f>F305+F307</f>
        <v>21345.100000000002</v>
      </c>
      <c r="G304" s="327"/>
      <c r="H304" s="168">
        <f>H305+H307</f>
        <v>21345.100000000002</v>
      </c>
      <c r="I304" s="168"/>
      <c r="J304" s="497">
        <f>J305+J307</f>
        <v>21341.8</v>
      </c>
      <c r="K304" s="575">
        <f t="shared" si="115"/>
        <v>0.9998453977727908</v>
      </c>
      <c r="L304" s="168"/>
      <c r="M304" s="580"/>
      <c r="N304" s="161"/>
    </row>
    <row r="305" spans="1:14" s="145" customFormat="1" ht="47.25" x14ac:dyDescent="0.25">
      <c r="A305" s="278" t="s">
        <v>154</v>
      </c>
      <c r="B305" s="209" t="s">
        <v>7</v>
      </c>
      <c r="C305" s="4" t="s">
        <v>38</v>
      </c>
      <c r="D305" s="163" t="s">
        <v>183</v>
      </c>
      <c r="E305" s="354" t="s">
        <v>129</v>
      </c>
      <c r="F305" s="168">
        <f>F306</f>
        <v>21344.100000000002</v>
      </c>
      <c r="G305" s="327"/>
      <c r="H305" s="168">
        <f>H306</f>
        <v>21344.100000000002</v>
      </c>
      <c r="I305" s="168"/>
      <c r="J305" s="497">
        <f>J306</f>
        <v>21340.799999999999</v>
      </c>
      <c r="K305" s="575">
        <f t="shared" si="115"/>
        <v>0.99984539052946697</v>
      </c>
      <c r="L305" s="168"/>
      <c r="M305" s="580"/>
      <c r="N305" s="161"/>
    </row>
    <row r="306" spans="1:14" s="145" customFormat="1" x14ac:dyDescent="0.25">
      <c r="A306" s="278" t="s">
        <v>70</v>
      </c>
      <c r="B306" s="209" t="s">
        <v>7</v>
      </c>
      <c r="C306" s="4" t="s">
        <v>38</v>
      </c>
      <c r="D306" s="163" t="s">
        <v>183</v>
      </c>
      <c r="E306" s="354" t="s">
        <v>130</v>
      </c>
      <c r="F306" s="168">
        <f>'ведом. 2023-2025'!AD224</f>
        <v>21344.100000000002</v>
      </c>
      <c r="G306" s="327"/>
      <c r="H306" s="168">
        <f>'ведом. 2023-2025'!AE224</f>
        <v>21344.100000000002</v>
      </c>
      <c r="I306" s="168"/>
      <c r="J306" s="497">
        <f>'ведом. 2023-2025'!AF224</f>
        <v>21340.799999999999</v>
      </c>
      <c r="K306" s="575">
        <f t="shared" si="115"/>
        <v>0.99984539052946697</v>
      </c>
      <c r="L306" s="168"/>
      <c r="M306" s="580"/>
      <c r="N306" s="161"/>
    </row>
    <row r="307" spans="1:14" s="188" customFormat="1" x14ac:dyDescent="0.25">
      <c r="A307" s="278" t="s">
        <v>44</v>
      </c>
      <c r="B307" s="209" t="s">
        <v>7</v>
      </c>
      <c r="C307" s="4" t="s">
        <v>38</v>
      </c>
      <c r="D307" s="163" t="s">
        <v>183</v>
      </c>
      <c r="E307" s="354" t="s">
        <v>373</v>
      </c>
      <c r="F307" s="168">
        <f>F308</f>
        <v>1</v>
      </c>
      <c r="G307" s="168"/>
      <c r="H307" s="168">
        <f>H308</f>
        <v>1</v>
      </c>
      <c r="I307" s="168"/>
      <c r="J307" s="497">
        <f t="shared" ref="J307" si="128">J308</f>
        <v>1</v>
      </c>
      <c r="K307" s="575">
        <f t="shared" si="115"/>
        <v>1</v>
      </c>
      <c r="L307" s="168"/>
      <c r="M307" s="580"/>
      <c r="N307" s="161"/>
    </row>
    <row r="308" spans="1:14" s="188" customFormat="1" x14ac:dyDescent="0.25">
      <c r="A308" s="278" t="s">
        <v>60</v>
      </c>
      <c r="B308" s="209" t="s">
        <v>7</v>
      </c>
      <c r="C308" s="4" t="s">
        <v>38</v>
      </c>
      <c r="D308" s="163" t="s">
        <v>183</v>
      </c>
      <c r="E308" s="354" t="s">
        <v>472</v>
      </c>
      <c r="F308" s="168">
        <f>'ведом. 2023-2025'!AD226</f>
        <v>1</v>
      </c>
      <c r="G308" s="327"/>
      <c r="H308" s="168">
        <f>'ведом. 2023-2025'!AE226</f>
        <v>1</v>
      </c>
      <c r="I308" s="168"/>
      <c r="J308" s="497">
        <f>'ведом. 2023-2025'!AF226</f>
        <v>1</v>
      </c>
      <c r="K308" s="575">
        <f t="shared" si="115"/>
        <v>1</v>
      </c>
      <c r="L308" s="168"/>
      <c r="M308" s="580"/>
      <c r="N308" s="161"/>
    </row>
    <row r="309" spans="1:14" s="188" customFormat="1" x14ac:dyDescent="0.25">
      <c r="A309" s="284" t="s">
        <v>193</v>
      </c>
      <c r="B309" s="1" t="s">
        <v>7</v>
      </c>
      <c r="C309" s="4" t="s">
        <v>38</v>
      </c>
      <c r="D309" s="326" t="s">
        <v>115</v>
      </c>
      <c r="E309" s="317"/>
      <c r="F309" s="168">
        <f>F310</f>
        <v>20</v>
      </c>
      <c r="G309" s="168"/>
      <c r="H309" s="168">
        <f>H310</f>
        <v>20</v>
      </c>
      <c r="I309" s="168"/>
      <c r="J309" s="497">
        <f t="shared" ref="J309:J313" si="129">J310</f>
        <v>17.5</v>
      </c>
      <c r="K309" s="575">
        <f t="shared" si="115"/>
        <v>0.875</v>
      </c>
      <c r="L309" s="168"/>
      <c r="M309" s="580"/>
      <c r="N309" s="161"/>
    </row>
    <row r="310" spans="1:14" s="188" customFormat="1" x14ac:dyDescent="0.25">
      <c r="A310" s="284" t="s">
        <v>198</v>
      </c>
      <c r="B310" s="1" t="s">
        <v>7</v>
      </c>
      <c r="C310" s="4" t="s">
        <v>38</v>
      </c>
      <c r="D310" s="326" t="s">
        <v>199</v>
      </c>
      <c r="E310" s="317"/>
      <c r="F310" s="168">
        <f>F311</f>
        <v>20</v>
      </c>
      <c r="G310" s="168"/>
      <c r="H310" s="168">
        <f>H311</f>
        <v>20</v>
      </c>
      <c r="I310" s="168"/>
      <c r="J310" s="497">
        <f t="shared" si="129"/>
        <v>17.5</v>
      </c>
      <c r="K310" s="575">
        <f t="shared" si="115"/>
        <v>0.875</v>
      </c>
      <c r="L310" s="168"/>
      <c r="M310" s="580"/>
      <c r="N310" s="161"/>
    </row>
    <row r="311" spans="1:14" s="188" customFormat="1" ht="31.5" x14ac:dyDescent="0.25">
      <c r="A311" s="278" t="s">
        <v>615</v>
      </c>
      <c r="B311" s="1" t="s">
        <v>7</v>
      </c>
      <c r="C311" s="4" t="s">
        <v>38</v>
      </c>
      <c r="D311" s="338" t="s">
        <v>616</v>
      </c>
      <c r="E311" s="309"/>
      <c r="F311" s="168">
        <f>F312</f>
        <v>20</v>
      </c>
      <c r="G311" s="168"/>
      <c r="H311" s="168">
        <f>H312</f>
        <v>20</v>
      </c>
      <c r="I311" s="168"/>
      <c r="J311" s="497">
        <f t="shared" si="129"/>
        <v>17.5</v>
      </c>
      <c r="K311" s="575">
        <f t="shared" si="115"/>
        <v>0.875</v>
      </c>
      <c r="L311" s="168"/>
      <c r="M311" s="580"/>
      <c r="N311" s="161"/>
    </row>
    <row r="312" spans="1:14" s="188" customFormat="1" ht="78.75" x14ac:dyDescent="0.25">
      <c r="A312" s="278" t="s">
        <v>449</v>
      </c>
      <c r="B312" s="1" t="s">
        <v>7</v>
      </c>
      <c r="C312" s="4" t="s">
        <v>38</v>
      </c>
      <c r="D312" s="326" t="s">
        <v>617</v>
      </c>
      <c r="E312" s="309"/>
      <c r="F312" s="168">
        <f>F313</f>
        <v>20</v>
      </c>
      <c r="G312" s="168"/>
      <c r="H312" s="168">
        <f>H313</f>
        <v>20</v>
      </c>
      <c r="I312" s="168"/>
      <c r="J312" s="497">
        <f t="shared" si="129"/>
        <v>17.5</v>
      </c>
      <c r="K312" s="575">
        <f t="shared" si="115"/>
        <v>0.875</v>
      </c>
      <c r="L312" s="168"/>
      <c r="M312" s="580"/>
      <c r="N312" s="161"/>
    </row>
    <row r="313" spans="1:14" s="188" customFormat="1" x14ac:dyDescent="0.25">
      <c r="A313" s="278" t="s">
        <v>123</v>
      </c>
      <c r="B313" s="1" t="s">
        <v>7</v>
      </c>
      <c r="C313" s="4" t="s">
        <v>38</v>
      </c>
      <c r="D313" s="326" t="s">
        <v>617</v>
      </c>
      <c r="E313" s="309">
        <v>200</v>
      </c>
      <c r="F313" s="168">
        <f>F314</f>
        <v>20</v>
      </c>
      <c r="G313" s="168"/>
      <c r="H313" s="168">
        <f>H314</f>
        <v>20</v>
      </c>
      <c r="I313" s="168"/>
      <c r="J313" s="497">
        <f t="shared" si="129"/>
        <v>17.5</v>
      </c>
      <c r="K313" s="575">
        <f t="shared" si="115"/>
        <v>0.875</v>
      </c>
      <c r="L313" s="168"/>
      <c r="M313" s="580"/>
      <c r="N313" s="161"/>
    </row>
    <row r="314" spans="1:14" s="188" customFormat="1" ht="31.5" x14ac:dyDescent="0.25">
      <c r="A314" s="278" t="s">
        <v>54</v>
      </c>
      <c r="B314" s="1" t="s">
        <v>7</v>
      </c>
      <c r="C314" s="4" t="s">
        <v>38</v>
      </c>
      <c r="D314" s="326" t="s">
        <v>617</v>
      </c>
      <c r="E314" s="309">
        <v>240</v>
      </c>
      <c r="F314" s="168">
        <f>'ведом. 2023-2025'!AD232</f>
        <v>20</v>
      </c>
      <c r="G314" s="327"/>
      <c r="H314" s="168">
        <f>'ведом. 2023-2025'!AE232</f>
        <v>20</v>
      </c>
      <c r="I314" s="168"/>
      <c r="J314" s="497">
        <f>'ведом. 2023-2025'!AF232</f>
        <v>17.5</v>
      </c>
      <c r="K314" s="575">
        <f t="shared" si="115"/>
        <v>0.875</v>
      </c>
      <c r="L314" s="168"/>
      <c r="M314" s="580"/>
      <c r="N314" s="161"/>
    </row>
    <row r="315" spans="1:14" s="145" customFormat="1" ht="31.5" x14ac:dyDescent="0.25">
      <c r="A315" s="278" t="s">
        <v>155</v>
      </c>
      <c r="B315" s="209" t="s">
        <v>7</v>
      </c>
      <c r="C315" s="4">
        <v>14</v>
      </c>
      <c r="D315" s="33"/>
      <c r="E315" s="354"/>
      <c r="F315" s="168">
        <f>F316</f>
        <v>14472.8</v>
      </c>
      <c r="G315" s="327"/>
      <c r="H315" s="168">
        <f>H316</f>
        <v>14472.8</v>
      </c>
      <c r="I315" s="168"/>
      <c r="J315" s="497">
        <f>J316</f>
        <v>13061.9</v>
      </c>
      <c r="K315" s="575">
        <f t="shared" si="115"/>
        <v>0.90251368083577477</v>
      </c>
      <c r="L315" s="168"/>
      <c r="M315" s="580"/>
      <c r="N315" s="161"/>
    </row>
    <row r="316" spans="1:14" s="145" customFormat="1" ht="31.5" x14ac:dyDescent="0.25">
      <c r="A316" s="284" t="s">
        <v>168</v>
      </c>
      <c r="B316" s="209" t="s">
        <v>7</v>
      </c>
      <c r="C316" s="4">
        <v>14</v>
      </c>
      <c r="D316" s="33" t="s">
        <v>105</v>
      </c>
      <c r="E316" s="354"/>
      <c r="F316" s="168">
        <f>F317</f>
        <v>14472.8</v>
      </c>
      <c r="G316" s="327"/>
      <c r="H316" s="168">
        <f>H317</f>
        <v>14472.8</v>
      </c>
      <c r="I316" s="168"/>
      <c r="J316" s="497">
        <f>J317</f>
        <v>13061.9</v>
      </c>
      <c r="K316" s="575">
        <f t="shared" si="115"/>
        <v>0.90251368083577477</v>
      </c>
      <c r="L316" s="168"/>
      <c r="M316" s="580"/>
      <c r="N316" s="161"/>
    </row>
    <row r="317" spans="1:14" s="145" customFormat="1" x14ac:dyDescent="0.25">
      <c r="A317" s="284" t="s">
        <v>169</v>
      </c>
      <c r="B317" s="209" t="s">
        <v>7</v>
      </c>
      <c r="C317" s="4">
        <v>14</v>
      </c>
      <c r="D317" s="33" t="s">
        <v>109</v>
      </c>
      <c r="E317" s="354"/>
      <c r="F317" s="168">
        <f>F318</f>
        <v>14472.8</v>
      </c>
      <c r="G317" s="168"/>
      <c r="H317" s="168">
        <f t="shared" ref="H317:J317" si="130">H318</f>
        <v>14472.8</v>
      </c>
      <c r="I317" s="168"/>
      <c r="J317" s="497">
        <f t="shared" si="130"/>
        <v>13061.9</v>
      </c>
      <c r="K317" s="575">
        <f t="shared" si="115"/>
        <v>0.90251368083577477</v>
      </c>
      <c r="L317" s="168"/>
      <c r="M317" s="580"/>
      <c r="N317" s="161"/>
    </row>
    <row r="318" spans="1:14" s="145" customFormat="1" ht="31.5" x14ac:dyDescent="0.25">
      <c r="A318" s="282" t="s">
        <v>171</v>
      </c>
      <c r="B318" s="209" t="s">
        <v>7</v>
      </c>
      <c r="C318" s="4" t="s">
        <v>46</v>
      </c>
      <c r="D318" s="163" t="s">
        <v>172</v>
      </c>
      <c r="E318" s="352"/>
      <c r="F318" s="168">
        <f t="shared" ref="F318:J319" si="131">F319</f>
        <v>14472.8</v>
      </c>
      <c r="G318" s="327"/>
      <c r="H318" s="168">
        <f t="shared" si="131"/>
        <v>14472.8</v>
      </c>
      <c r="I318" s="168"/>
      <c r="J318" s="497">
        <f t="shared" si="131"/>
        <v>13061.9</v>
      </c>
      <c r="K318" s="575">
        <f t="shared" si="115"/>
        <v>0.90251368083577477</v>
      </c>
      <c r="L318" s="168"/>
      <c r="M318" s="580"/>
      <c r="N318" s="161"/>
    </row>
    <row r="319" spans="1:14" s="145" customFormat="1" x14ac:dyDescent="0.25">
      <c r="A319" s="284" t="s">
        <v>173</v>
      </c>
      <c r="B319" s="209" t="s">
        <v>7</v>
      </c>
      <c r="C319" s="4" t="s">
        <v>46</v>
      </c>
      <c r="D319" s="163" t="s">
        <v>174</v>
      </c>
      <c r="E319" s="352"/>
      <c r="F319" s="168">
        <f>F320</f>
        <v>14472.8</v>
      </c>
      <c r="G319" s="327"/>
      <c r="H319" s="168">
        <f>H320</f>
        <v>14472.8</v>
      </c>
      <c r="I319" s="168"/>
      <c r="J319" s="497">
        <f t="shared" si="131"/>
        <v>13061.9</v>
      </c>
      <c r="K319" s="575">
        <f t="shared" si="115"/>
        <v>0.90251368083577477</v>
      </c>
      <c r="L319" s="168"/>
      <c r="M319" s="580"/>
      <c r="N319" s="161"/>
    </row>
    <row r="320" spans="1:14" s="188" customFormat="1" x14ac:dyDescent="0.25">
      <c r="A320" s="278" t="s">
        <v>123</v>
      </c>
      <c r="B320" s="209" t="s">
        <v>7</v>
      </c>
      <c r="C320" s="4" t="s">
        <v>46</v>
      </c>
      <c r="D320" s="163" t="s">
        <v>174</v>
      </c>
      <c r="E320" s="352">
        <v>200</v>
      </c>
      <c r="F320" s="168">
        <f>F321</f>
        <v>14472.8</v>
      </c>
      <c r="G320" s="327"/>
      <c r="H320" s="168">
        <f>H321</f>
        <v>14472.8</v>
      </c>
      <c r="I320" s="168"/>
      <c r="J320" s="497">
        <f>J321</f>
        <v>13061.9</v>
      </c>
      <c r="K320" s="575">
        <f t="shared" si="115"/>
        <v>0.90251368083577477</v>
      </c>
      <c r="L320" s="168"/>
      <c r="M320" s="580"/>
      <c r="N320" s="161"/>
    </row>
    <row r="321" spans="1:14" s="188" customFormat="1" ht="31.5" x14ac:dyDescent="0.25">
      <c r="A321" s="278" t="s">
        <v>54</v>
      </c>
      <c r="B321" s="209" t="s">
        <v>7</v>
      </c>
      <c r="C321" s="4" t="s">
        <v>46</v>
      </c>
      <c r="D321" s="163" t="s">
        <v>174</v>
      </c>
      <c r="E321" s="352">
        <v>240</v>
      </c>
      <c r="F321" s="168">
        <f>'ведом. 2023-2025'!AD239</f>
        <v>14472.8</v>
      </c>
      <c r="G321" s="327"/>
      <c r="H321" s="168">
        <f>'ведом. 2023-2025'!AE239</f>
        <v>14472.8</v>
      </c>
      <c r="I321" s="168"/>
      <c r="J321" s="497">
        <f>'ведом. 2023-2025'!AF239</f>
        <v>13061.9</v>
      </c>
      <c r="K321" s="575">
        <f t="shared" si="115"/>
        <v>0.90251368083577477</v>
      </c>
      <c r="L321" s="168"/>
      <c r="M321" s="580"/>
      <c r="N321" s="161"/>
    </row>
    <row r="322" spans="1:14" s="141" customFormat="1" x14ac:dyDescent="0.25">
      <c r="A322" s="417" t="s">
        <v>47</v>
      </c>
      <c r="B322" s="211" t="s">
        <v>51</v>
      </c>
      <c r="C322" s="206"/>
      <c r="D322" s="305"/>
      <c r="E322" s="356"/>
      <c r="F322" s="170">
        <f t="shared" ref="F322:J322" si="132">F332+F393+F350+F378+F323</f>
        <v>157166.70000000001</v>
      </c>
      <c r="G322" s="373">
        <f>G332+G393+G350+G378+G323</f>
        <v>77870.5</v>
      </c>
      <c r="H322" s="170">
        <f t="shared" ref="H322" si="133">H332+H393+H350+H378+H323</f>
        <v>157134.1</v>
      </c>
      <c r="I322" s="373">
        <f>I332+I393+I350+I378+I323</f>
        <v>77838</v>
      </c>
      <c r="J322" s="505">
        <f t="shared" si="132"/>
        <v>156180.70000000001</v>
      </c>
      <c r="K322" s="574">
        <f t="shared" si="115"/>
        <v>0.99393257096963683</v>
      </c>
      <c r="L322" s="170">
        <f>L332+L393+L350+L378+L323</f>
        <v>77776.800000000003</v>
      </c>
      <c r="M322" s="581">
        <f t="shared" ref="M322:M331" si="134">L322/I322</f>
        <v>0.99921375163801751</v>
      </c>
      <c r="N322" s="548"/>
    </row>
    <row r="323" spans="1:14" s="145" customFormat="1" ht="18.75" x14ac:dyDescent="0.3">
      <c r="A323" s="401" t="s">
        <v>16</v>
      </c>
      <c r="B323" s="11" t="s">
        <v>51</v>
      </c>
      <c r="C323" s="4" t="s">
        <v>5</v>
      </c>
      <c r="D323" s="348"/>
      <c r="E323" s="360"/>
      <c r="F323" s="168">
        <f t="shared" ref="F323:J326" si="135">F324</f>
        <v>1350</v>
      </c>
      <c r="G323" s="327">
        <f t="shared" si="135"/>
        <v>1350</v>
      </c>
      <c r="H323" s="168">
        <f t="shared" si="135"/>
        <v>1350</v>
      </c>
      <c r="I323" s="327">
        <f t="shared" si="135"/>
        <v>1350</v>
      </c>
      <c r="J323" s="497">
        <f t="shared" si="135"/>
        <v>1302.0999999999999</v>
      </c>
      <c r="K323" s="575">
        <f t="shared" si="115"/>
        <v>0.96451851851851844</v>
      </c>
      <c r="L323" s="168">
        <f>L324</f>
        <v>1302.0999999999999</v>
      </c>
      <c r="M323" s="580">
        <f t="shared" si="134"/>
        <v>0.96451851851851844</v>
      </c>
      <c r="N323" s="161"/>
    </row>
    <row r="324" spans="1:14" s="145" customFormat="1" ht="18.75" x14ac:dyDescent="0.3">
      <c r="A324" s="418" t="s">
        <v>251</v>
      </c>
      <c r="B324" s="11" t="s">
        <v>51</v>
      </c>
      <c r="C324" s="4" t="s">
        <v>5</v>
      </c>
      <c r="D324" s="163" t="s">
        <v>141</v>
      </c>
      <c r="E324" s="360"/>
      <c r="F324" s="168">
        <f t="shared" si="135"/>
        <v>1350</v>
      </c>
      <c r="G324" s="327">
        <f t="shared" si="135"/>
        <v>1350</v>
      </c>
      <c r="H324" s="168">
        <f t="shared" si="135"/>
        <v>1350</v>
      </c>
      <c r="I324" s="327">
        <f t="shared" si="135"/>
        <v>1350</v>
      </c>
      <c r="J324" s="497">
        <f t="shared" si="135"/>
        <v>1302.0999999999999</v>
      </c>
      <c r="K324" s="575">
        <f t="shared" si="115"/>
        <v>0.96451851851851844</v>
      </c>
      <c r="L324" s="168">
        <f>L325</f>
        <v>1302.0999999999999</v>
      </c>
      <c r="M324" s="580">
        <f t="shared" si="134"/>
        <v>0.96451851851851844</v>
      </c>
      <c r="N324" s="161"/>
    </row>
    <row r="325" spans="1:14" s="145" customFormat="1" ht="31.5" x14ac:dyDescent="0.3">
      <c r="A325" s="295" t="s">
        <v>467</v>
      </c>
      <c r="B325" s="11" t="s">
        <v>51</v>
      </c>
      <c r="C325" s="4" t="s">
        <v>5</v>
      </c>
      <c r="D325" s="163" t="s">
        <v>252</v>
      </c>
      <c r="E325" s="360"/>
      <c r="F325" s="168">
        <f t="shared" si="135"/>
        <v>1350</v>
      </c>
      <c r="G325" s="327">
        <f t="shared" si="135"/>
        <v>1350</v>
      </c>
      <c r="H325" s="168">
        <f t="shared" si="135"/>
        <v>1350</v>
      </c>
      <c r="I325" s="327">
        <f t="shared" si="135"/>
        <v>1350</v>
      </c>
      <c r="J325" s="497">
        <f t="shared" si="135"/>
        <v>1302.0999999999999</v>
      </c>
      <c r="K325" s="575">
        <f t="shared" si="115"/>
        <v>0.96451851851851844</v>
      </c>
      <c r="L325" s="168">
        <f>L326</f>
        <v>1302.0999999999999</v>
      </c>
      <c r="M325" s="580">
        <f t="shared" si="134"/>
        <v>0.96451851851851844</v>
      </c>
      <c r="N325" s="161"/>
    </row>
    <row r="326" spans="1:14" s="145" customFormat="1" ht="18.75" x14ac:dyDescent="0.3">
      <c r="A326" s="280" t="s">
        <v>605</v>
      </c>
      <c r="B326" s="11" t="s">
        <v>51</v>
      </c>
      <c r="C326" s="4" t="s">
        <v>5</v>
      </c>
      <c r="D326" s="163" t="s">
        <v>253</v>
      </c>
      <c r="E326" s="360"/>
      <c r="F326" s="168">
        <f t="shared" si="135"/>
        <v>1350</v>
      </c>
      <c r="G326" s="327">
        <f t="shared" si="135"/>
        <v>1350</v>
      </c>
      <c r="H326" s="168">
        <f t="shared" si="135"/>
        <v>1350</v>
      </c>
      <c r="I326" s="327">
        <f t="shared" si="135"/>
        <v>1350</v>
      </c>
      <c r="J326" s="497">
        <f t="shared" si="135"/>
        <v>1302.0999999999999</v>
      </c>
      <c r="K326" s="575">
        <f t="shared" si="115"/>
        <v>0.96451851851851844</v>
      </c>
      <c r="L326" s="168">
        <f>L327</f>
        <v>1302.0999999999999</v>
      </c>
      <c r="M326" s="580">
        <f t="shared" si="134"/>
        <v>0.96451851851851844</v>
      </c>
      <c r="N326" s="161"/>
    </row>
    <row r="327" spans="1:14" s="145" customFormat="1" ht="31.5" x14ac:dyDescent="0.25">
      <c r="A327" s="280" t="s">
        <v>465</v>
      </c>
      <c r="B327" s="11" t="s">
        <v>51</v>
      </c>
      <c r="C327" s="4" t="s">
        <v>5</v>
      </c>
      <c r="D327" s="163" t="s">
        <v>254</v>
      </c>
      <c r="E327" s="352"/>
      <c r="F327" s="168">
        <f>F330+F328</f>
        <v>1350</v>
      </c>
      <c r="G327" s="168">
        <f t="shared" ref="G327:J327" si="136">G330+G328</f>
        <v>1350</v>
      </c>
      <c r="H327" s="168">
        <f>H330+H328</f>
        <v>1350</v>
      </c>
      <c r="I327" s="168">
        <f t="shared" ref="I327" si="137">I330+I328</f>
        <v>1350</v>
      </c>
      <c r="J327" s="497">
        <f t="shared" si="136"/>
        <v>1302.0999999999999</v>
      </c>
      <c r="K327" s="575">
        <f t="shared" si="115"/>
        <v>0.96451851851851844</v>
      </c>
      <c r="L327" s="168">
        <f>L330+L328</f>
        <v>1302.0999999999999</v>
      </c>
      <c r="M327" s="580">
        <f t="shared" si="134"/>
        <v>0.96451851851851844</v>
      </c>
      <c r="N327" s="161"/>
    </row>
    <row r="328" spans="1:14" s="188" customFormat="1" ht="47.25" x14ac:dyDescent="0.25">
      <c r="A328" s="278" t="s">
        <v>43</v>
      </c>
      <c r="B328" s="11" t="s">
        <v>51</v>
      </c>
      <c r="C328" s="4" t="s">
        <v>5</v>
      </c>
      <c r="D328" s="163" t="s">
        <v>254</v>
      </c>
      <c r="E328" s="352">
        <v>100</v>
      </c>
      <c r="F328" s="168">
        <f>F329</f>
        <v>46</v>
      </c>
      <c r="G328" s="168">
        <f t="shared" ref="G328:J328" si="138">G329</f>
        <v>46</v>
      </c>
      <c r="H328" s="168">
        <f>H329</f>
        <v>46</v>
      </c>
      <c r="I328" s="168">
        <f t="shared" si="138"/>
        <v>46</v>
      </c>
      <c r="J328" s="497">
        <f t="shared" si="138"/>
        <v>44.5</v>
      </c>
      <c r="K328" s="575">
        <f t="shared" si="115"/>
        <v>0.96739130434782605</v>
      </c>
      <c r="L328" s="168">
        <f>L329</f>
        <v>44.5</v>
      </c>
      <c r="M328" s="580">
        <f t="shared" si="134"/>
        <v>0.96739130434782605</v>
      </c>
      <c r="N328" s="161"/>
    </row>
    <row r="329" spans="1:14" s="188" customFormat="1" x14ac:dyDescent="0.25">
      <c r="A329" s="278" t="s">
        <v>99</v>
      </c>
      <c r="B329" s="11" t="s">
        <v>51</v>
      </c>
      <c r="C329" s="4" t="s">
        <v>5</v>
      </c>
      <c r="D329" s="163" t="s">
        <v>254</v>
      </c>
      <c r="E329" s="352">
        <v>120</v>
      </c>
      <c r="F329" s="168">
        <f>'ведом. 2023-2025'!AD837</f>
        <v>46</v>
      </c>
      <c r="G329" s="327">
        <f>F329</f>
        <v>46</v>
      </c>
      <c r="H329" s="168">
        <f>'ведом. 2023-2025'!AE837</f>
        <v>46</v>
      </c>
      <c r="I329" s="327">
        <f>H329</f>
        <v>46</v>
      </c>
      <c r="J329" s="497">
        <f>'ведом. 2023-2025'!AF837</f>
        <v>44.5</v>
      </c>
      <c r="K329" s="575">
        <f t="shared" si="115"/>
        <v>0.96739130434782605</v>
      </c>
      <c r="L329" s="168">
        <f>J329</f>
        <v>44.5</v>
      </c>
      <c r="M329" s="580">
        <f t="shared" si="134"/>
        <v>0.96739130434782605</v>
      </c>
      <c r="N329" s="161"/>
    </row>
    <row r="330" spans="1:14" s="145" customFormat="1" x14ac:dyDescent="0.25">
      <c r="A330" s="401" t="s">
        <v>123</v>
      </c>
      <c r="B330" s="11" t="s">
        <v>51</v>
      </c>
      <c r="C330" s="4" t="s">
        <v>5</v>
      </c>
      <c r="D330" s="163" t="s">
        <v>254</v>
      </c>
      <c r="E330" s="351">
        <v>200</v>
      </c>
      <c r="F330" s="168">
        <f t="shared" ref="F330:J330" si="139">F331</f>
        <v>1304</v>
      </c>
      <c r="G330" s="327">
        <f t="shared" si="139"/>
        <v>1304</v>
      </c>
      <c r="H330" s="168">
        <f t="shared" si="139"/>
        <v>1304</v>
      </c>
      <c r="I330" s="327">
        <f t="shared" si="139"/>
        <v>1304</v>
      </c>
      <c r="J330" s="497">
        <f t="shared" si="139"/>
        <v>1257.5999999999999</v>
      </c>
      <c r="K330" s="575">
        <f t="shared" si="115"/>
        <v>0.96441717791411041</v>
      </c>
      <c r="L330" s="168">
        <f>L331</f>
        <v>1257.5999999999999</v>
      </c>
      <c r="M330" s="580">
        <f t="shared" si="134"/>
        <v>0.96441717791411041</v>
      </c>
      <c r="N330" s="161"/>
    </row>
    <row r="331" spans="1:14" s="145" customFormat="1" ht="31.5" x14ac:dyDescent="0.25">
      <c r="A331" s="401" t="s">
        <v>54</v>
      </c>
      <c r="B331" s="11" t="s">
        <v>51</v>
      </c>
      <c r="C331" s="4" t="s">
        <v>5</v>
      </c>
      <c r="D331" s="163" t="s">
        <v>254</v>
      </c>
      <c r="E331" s="352">
        <v>240</v>
      </c>
      <c r="F331" s="168">
        <f>'ведом. 2023-2025'!AD839</f>
        <v>1304</v>
      </c>
      <c r="G331" s="327">
        <f>F331</f>
        <v>1304</v>
      </c>
      <c r="H331" s="168">
        <f>'ведом. 2023-2025'!AE839</f>
        <v>1304</v>
      </c>
      <c r="I331" s="327">
        <f>H331</f>
        <v>1304</v>
      </c>
      <c r="J331" s="497">
        <f>'ведом. 2023-2025'!AF839</f>
        <v>1257.5999999999999</v>
      </c>
      <c r="K331" s="575">
        <f t="shared" si="115"/>
        <v>0.96441717791411041</v>
      </c>
      <c r="L331" s="168">
        <f>J331</f>
        <v>1257.5999999999999</v>
      </c>
      <c r="M331" s="580">
        <f t="shared" si="134"/>
        <v>0.96441717791411041</v>
      </c>
      <c r="N331" s="161"/>
    </row>
    <row r="332" spans="1:14" s="145" customFormat="1" x14ac:dyDescent="0.25">
      <c r="A332" s="401" t="s">
        <v>73</v>
      </c>
      <c r="B332" s="209" t="s">
        <v>51</v>
      </c>
      <c r="C332" s="4" t="s">
        <v>17</v>
      </c>
      <c r="D332" s="33"/>
      <c r="E332" s="351"/>
      <c r="F332" s="168">
        <f>F333+F340</f>
        <v>30633.8</v>
      </c>
      <c r="G332" s="327"/>
      <c r="H332" s="168">
        <f>H333+H340</f>
        <v>30633.8</v>
      </c>
      <c r="I332" s="168"/>
      <c r="J332" s="497">
        <f>J333+J340</f>
        <v>30626.799999999999</v>
      </c>
      <c r="K332" s="575">
        <f t="shared" si="115"/>
        <v>0.99977149423186151</v>
      </c>
      <c r="L332" s="168"/>
      <c r="M332" s="580"/>
      <c r="N332" s="161"/>
    </row>
    <row r="333" spans="1:14" s="145" customFormat="1" x14ac:dyDescent="0.25">
      <c r="A333" s="280" t="s">
        <v>193</v>
      </c>
      <c r="B333" s="210" t="s">
        <v>51</v>
      </c>
      <c r="C333" s="204" t="s">
        <v>17</v>
      </c>
      <c r="D333" s="163" t="s">
        <v>115</v>
      </c>
      <c r="E333" s="353"/>
      <c r="F333" s="168">
        <f t="shared" ref="F333:J338" si="140">F334</f>
        <v>30521.599999999999</v>
      </c>
      <c r="G333" s="327"/>
      <c r="H333" s="168">
        <f t="shared" si="140"/>
        <v>30521.599999999999</v>
      </c>
      <c r="I333" s="168"/>
      <c r="J333" s="497">
        <f t="shared" si="140"/>
        <v>30514.7</v>
      </c>
      <c r="K333" s="575">
        <f t="shared" si="115"/>
        <v>0.9997739305934159</v>
      </c>
      <c r="L333" s="168"/>
      <c r="M333" s="580"/>
      <c r="N333" s="161"/>
    </row>
    <row r="334" spans="1:14" s="145" customFormat="1" x14ac:dyDescent="0.25">
      <c r="A334" s="280" t="s">
        <v>198</v>
      </c>
      <c r="B334" s="210" t="s">
        <v>51</v>
      </c>
      <c r="C334" s="204" t="s">
        <v>17</v>
      </c>
      <c r="D334" s="163" t="s">
        <v>199</v>
      </c>
      <c r="E334" s="353"/>
      <c r="F334" s="168">
        <f t="shared" si="140"/>
        <v>30521.599999999999</v>
      </c>
      <c r="G334" s="327"/>
      <c r="H334" s="168">
        <f t="shared" si="140"/>
        <v>30521.599999999999</v>
      </c>
      <c r="I334" s="168"/>
      <c r="J334" s="497">
        <f t="shared" si="140"/>
        <v>30514.7</v>
      </c>
      <c r="K334" s="575">
        <f t="shared" si="115"/>
        <v>0.9997739305934159</v>
      </c>
      <c r="L334" s="168"/>
      <c r="M334" s="580"/>
      <c r="N334" s="161"/>
    </row>
    <row r="335" spans="1:14" s="145" customFormat="1" ht="31.5" x14ac:dyDescent="0.25">
      <c r="A335" s="280" t="s">
        <v>200</v>
      </c>
      <c r="B335" s="210" t="s">
        <v>51</v>
      </c>
      <c r="C335" s="204" t="s">
        <v>17</v>
      </c>
      <c r="D335" s="163" t="s">
        <v>201</v>
      </c>
      <c r="E335" s="353"/>
      <c r="F335" s="168">
        <f t="shared" si="140"/>
        <v>30521.599999999999</v>
      </c>
      <c r="G335" s="327"/>
      <c r="H335" s="168">
        <f t="shared" si="140"/>
        <v>30521.599999999999</v>
      </c>
      <c r="I335" s="168"/>
      <c r="J335" s="497">
        <f t="shared" si="140"/>
        <v>30514.7</v>
      </c>
      <c r="K335" s="575">
        <f t="shared" ref="K335:K398" si="141">J335/H335</f>
        <v>0.9997739305934159</v>
      </c>
      <c r="L335" s="168"/>
      <c r="M335" s="580"/>
      <c r="N335" s="161"/>
    </row>
    <row r="336" spans="1:14" s="145" customFormat="1" ht="31.5" x14ac:dyDescent="0.25">
      <c r="A336" s="302" t="s">
        <v>212</v>
      </c>
      <c r="B336" s="210" t="s">
        <v>51</v>
      </c>
      <c r="C336" s="204" t="s">
        <v>17</v>
      </c>
      <c r="D336" s="306" t="s">
        <v>213</v>
      </c>
      <c r="E336" s="353"/>
      <c r="F336" s="168">
        <f t="shared" si="140"/>
        <v>30521.599999999999</v>
      </c>
      <c r="G336" s="327"/>
      <c r="H336" s="168">
        <f t="shared" si="140"/>
        <v>30521.599999999999</v>
      </c>
      <c r="I336" s="168"/>
      <c r="J336" s="497">
        <f t="shared" si="140"/>
        <v>30514.7</v>
      </c>
      <c r="K336" s="575">
        <f t="shared" si="141"/>
        <v>0.9997739305934159</v>
      </c>
      <c r="L336" s="168"/>
      <c r="M336" s="580"/>
      <c r="N336" s="161"/>
    </row>
    <row r="337" spans="1:14" s="145" customFormat="1" ht="47.25" x14ac:dyDescent="0.25">
      <c r="A337" s="283" t="s">
        <v>399</v>
      </c>
      <c r="B337" s="210" t="s">
        <v>51</v>
      </c>
      <c r="C337" s="204" t="s">
        <v>17</v>
      </c>
      <c r="D337" s="306" t="s">
        <v>334</v>
      </c>
      <c r="E337" s="353"/>
      <c r="F337" s="168">
        <f t="shared" si="140"/>
        <v>30521.599999999999</v>
      </c>
      <c r="G337" s="327"/>
      <c r="H337" s="168">
        <f t="shared" si="140"/>
        <v>30521.599999999999</v>
      </c>
      <c r="I337" s="168"/>
      <c r="J337" s="497">
        <f t="shared" si="140"/>
        <v>30514.7</v>
      </c>
      <c r="K337" s="575">
        <f t="shared" si="141"/>
        <v>0.9997739305934159</v>
      </c>
      <c r="L337" s="168"/>
      <c r="M337" s="580"/>
      <c r="N337" s="161"/>
    </row>
    <row r="338" spans="1:14" s="145" customFormat="1" ht="31.5" x14ac:dyDescent="0.25">
      <c r="A338" s="401" t="s">
        <v>62</v>
      </c>
      <c r="B338" s="210" t="s">
        <v>51</v>
      </c>
      <c r="C338" s="204" t="s">
        <v>17</v>
      </c>
      <c r="D338" s="306" t="s">
        <v>334</v>
      </c>
      <c r="E338" s="353">
        <v>600</v>
      </c>
      <c r="F338" s="168">
        <f t="shared" si="140"/>
        <v>30521.599999999999</v>
      </c>
      <c r="G338" s="327"/>
      <c r="H338" s="168">
        <f t="shared" si="140"/>
        <v>30521.599999999999</v>
      </c>
      <c r="I338" s="168"/>
      <c r="J338" s="497">
        <f t="shared" si="140"/>
        <v>30514.7</v>
      </c>
      <c r="K338" s="575">
        <f t="shared" si="141"/>
        <v>0.9997739305934159</v>
      </c>
      <c r="L338" s="168"/>
      <c r="M338" s="580"/>
      <c r="N338" s="161"/>
    </row>
    <row r="339" spans="1:14" s="145" customFormat="1" x14ac:dyDescent="0.25">
      <c r="A339" s="401" t="s">
        <v>63</v>
      </c>
      <c r="B339" s="210" t="s">
        <v>51</v>
      </c>
      <c r="C339" s="204" t="s">
        <v>17</v>
      </c>
      <c r="D339" s="306" t="s">
        <v>334</v>
      </c>
      <c r="E339" s="353">
        <v>610</v>
      </c>
      <c r="F339" s="168">
        <f>'ведом. 2023-2025'!AD248</f>
        <v>30521.599999999999</v>
      </c>
      <c r="G339" s="327"/>
      <c r="H339" s="168">
        <f>'ведом. 2023-2025'!AE248</f>
        <v>30521.599999999999</v>
      </c>
      <c r="I339" s="168"/>
      <c r="J339" s="497">
        <f>'ведом. 2023-2025'!AF248</f>
        <v>30514.7</v>
      </c>
      <c r="K339" s="575">
        <f t="shared" si="141"/>
        <v>0.9997739305934159</v>
      </c>
      <c r="L339" s="168"/>
      <c r="M339" s="580"/>
      <c r="N339" s="161"/>
    </row>
    <row r="340" spans="1:14" s="145" customFormat="1" ht="31.5" x14ac:dyDescent="0.25">
      <c r="A340" s="280" t="s">
        <v>237</v>
      </c>
      <c r="B340" s="209" t="s">
        <v>51</v>
      </c>
      <c r="C340" s="4" t="s">
        <v>17</v>
      </c>
      <c r="D340" s="163" t="s">
        <v>238</v>
      </c>
      <c r="E340" s="351"/>
      <c r="F340" s="168">
        <f t="shared" ref="F340:J344" si="142">F341</f>
        <v>112.2</v>
      </c>
      <c r="G340" s="327"/>
      <c r="H340" s="168">
        <f t="shared" si="142"/>
        <v>112.2</v>
      </c>
      <c r="I340" s="168"/>
      <c r="J340" s="497">
        <f t="shared" si="142"/>
        <v>112.1</v>
      </c>
      <c r="K340" s="575">
        <f t="shared" si="141"/>
        <v>0.99910873440285197</v>
      </c>
      <c r="L340" s="168"/>
      <c r="M340" s="580"/>
      <c r="N340" s="161"/>
    </row>
    <row r="341" spans="1:14" s="145" customFormat="1" x14ac:dyDescent="0.25">
      <c r="A341" s="280" t="s">
        <v>239</v>
      </c>
      <c r="B341" s="209" t="s">
        <v>51</v>
      </c>
      <c r="C341" s="4" t="s">
        <v>17</v>
      </c>
      <c r="D341" s="163" t="s">
        <v>240</v>
      </c>
      <c r="E341" s="352"/>
      <c r="F341" s="168">
        <f t="shared" si="142"/>
        <v>112.2</v>
      </c>
      <c r="G341" s="327"/>
      <c r="H341" s="168">
        <f t="shared" si="142"/>
        <v>112.2</v>
      </c>
      <c r="I341" s="168"/>
      <c r="J341" s="497">
        <f t="shared" si="142"/>
        <v>112.1</v>
      </c>
      <c r="K341" s="575">
        <f t="shared" si="141"/>
        <v>0.99910873440285197</v>
      </c>
      <c r="L341" s="168"/>
      <c r="M341" s="580"/>
      <c r="N341" s="161"/>
    </row>
    <row r="342" spans="1:14" s="145" customFormat="1" x14ac:dyDescent="0.25">
      <c r="A342" s="282" t="s">
        <v>469</v>
      </c>
      <c r="B342" s="209" t="s">
        <v>51</v>
      </c>
      <c r="C342" s="4" t="s">
        <v>17</v>
      </c>
      <c r="D342" s="163" t="s">
        <v>361</v>
      </c>
      <c r="E342" s="352"/>
      <c r="F342" s="168">
        <f t="shared" si="142"/>
        <v>112.2</v>
      </c>
      <c r="G342" s="327"/>
      <c r="H342" s="168">
        <f t="shared" si="142"/>
        <v>112.2</v>
      </c>
      <c r="I342" s="168"/>
      <c r="J342" s="497">
        <f t="shared" si="142"/>
        <v>112.1</v>
      </c>
      <c r="K342" s="575">
        <f t="shared" si="141"/>
        <v>0.99910873440285197</v>
      </c>
      <c r="L342" s="168"/>
      <c r="M342" s="580"/>
      <c r="N342" s="161"/>
    </row>
    <row r="343" spans="1:14" s="145" customFormat="1" ht="47.25" x14ac:dyDescent="0.25">
      <c r="A343" s="281" t="s">
        <v>241</v>
      </c>
      <c r="B343" s="209" t="s">
        <v>51</v>
      </c>
      <c r="C343" s="4" t="s">
        <v>17</v>
      </c>
      <c r="D343" s="163" t="s">
        <v>362</v>
      </c>
      <c r="E343" s="352"/>
      <c r="F343" s="168">
        <f>F344+F347</f>
        <v>112.2</v>
      </c>
      <c r="G343" s="327"/>
      <c r="H343" s="168">
        <f>H344+H347</f>
        <v>112.2</v>
      </c>
      <c r="I343" s="168"/>
      <c r="J343" s="497">
        <f>J344+J347</f>
        <v>112.1</v>
      </c>
      <c r="K343" s="575">
        <f t="shared" si="141"/>
        <v>0.99910873440285197</v>
      </c>
      <c r="L343" s="168"/>
      <c r="M343" s="580"/>
      <c r="N343" s="161"/>
    </row>
    <row r="344" spans="1:14" s="145" customFormat="1" ht="47.25" x14ac:dyDescent="0.25">
      <c r="A344" s="281" t="s">
        <v>338</v>
      </c>
      <c r="B344" s="209" t="s">
        <v>51</v>
      </c>
      <c r="C344" s="4" t="s">
        <v>17</v>
      </c>
      <c r="D344" s="163" t="s">
        <v>363</v>
      </c>
      <c r="E344" s="352"/>
      <c r="F344" s="168">
        <f t="shared" si="142"/>
        <v>0.1</v>
      </c>
      <c r="G344" s="327"/>
      <c r="H344" s="168">
        <f t="shared" si="142"/>
        <v>0.1</v>
      </c>
      <c r="I344" s="168"/>
      <c r="J344" s="497">
        <f t="shared" si="142"/>
        <v>0</v>
      </c>
      <c r="K344" s="575">
        <f t="shared" si="141"/>
        <v>0</v>
      </c>
      <c r="L344" s="168"/>
      <c r="M344" s="580"/>
      <c r="N344" s="161"/>
    </row>
    <row r="345" spans="1:14" s="145" customFormat="1" x14ac:dyDescent="0.25">
      <c r="A345" s="401" t="s">
        <v>123</v>
      </c>
      <c r="B345" s="209" t="s">
        <v>51</v>
      </c>
      <c r="C345" s="4" t="s">
        <v>17</v>
      </c>
      <c r="D345" s="163" t="s">
        <v>363</v>
      </c>
      <c r="E345" s="352">
        <v>200</v>
      </c>
      <c r="F345" s="168">
        <f>'ведом. 2023-2025'!AD255</f>
        <v>0.1</v>
      </c>
      <c r="G345" s="327"/>
      <c r="H345" s="168">
        <f>H346</f>
        <v>0.1</v>
      </c>
      <c r="I345" s="168"/>
      <c r="J345" s="497">
        <f>J346</f>
        <v>0</v>
      </c>
      <c r="K345" s="575">
        <f t="shared" si="141"/>
        <v>0</v>
      </c>
      <c r="L345" s="168"/>
      <c r="M345" s="580"/>
      <c r="N345" s="161"/>
    </row>
    <row r="346" spans="1:14" s="145" customFormat="1" ht="31.5" x14ac:dyDescent="0.25">
      <c r="A346" s="401" t="s">
        <v>54</v>
      </c>
      <c r="B346" s="210" t="s">
        <v>51</v>
      </c>
      <c r="C346" s="204" t="s">
        <v>17</v>
      </c>
      <c r="D346" s="163" t="s">
        <v>363</v>
      </c>
      <c r="E346" s="352">
        <v>240</v>
      </c>
      <c r="F346" s="168">
        <f>'ведом. 2023-2025'!AD255</f>
        <v>0.1</v>
      </c>
      <c r="G346" s="327"/>
      <c r="H346" s="168">
        <f>'ведом. 2023-2025'!AE255</f>
        <v>0.1</v>
      </c>
      <c r="I346" s="168"/>
      <c r="J346" s="497">
        <f>'ведом. 2023-2025'!AF255</f>
        <v>0</v>
      </c>
      <c r="K346" s="575">
        <f t="shared" si="141"/>
        <v>0</v>
      </c>
      <c r="L346" s="168"/>
      <c r="M346" s="580"/>
      <c r="N346" s="161"/>
    </row>
    <row r="347" spans="1:14" s="145" customFormat="1" ht="47.25" x14ac:dyDescent="0.25">
      <c r="A347" s="401" t="s">
        <v>339</v>
      </c>
      <c r="B347" s="210" t="s">
        <v>51</v>
      </c>
      <c r="C347" s="204" t="s">
        <v>17</v>
      </c>
      <c r="D347" s="163" t="s">
        <v>364</v>
      </c>
      <c r="E347" s="352"/>
      <c r="F347" s="168">
        <f>F348</f>
        <v>112.10000000000001</v>
      </c>
      <c r="G347" s="327"/>
      <c r="H347" s="168">
        <f>H348</f>
        <v>112.10000000000001</v>
      </c>
      <c r="I347" s="168"/>
      <c r="J347" s="497">
        <f>J348</f>
        <v>112.1</v>
      </c>
      <c r="K347" s="575">
        <f t="shared" si="141"/>
        <v>0.99999999999999989</v>
      </c>
      <c r="L347" s="168"/>
      <c r="M347" s="580"/>
      <c r="N347" s="161"/>
    </row>
    <row r="348" spans="1:14" s="145" customFormat="1" x14ac:dyDescent="0.25">
      <c r="A348" s="401" t="s">
        <v>123</v>
      </c>
      <c r="B348" s="210" t="s">
        <v>51</v>
      </c>
      <c r="C348" s="204" t="s">
        <v>17</v>
      </c>
      <c r="D348" s="163" t="s">
        <v>364</v>
      </c>
      <c r="E348" s="352">
        <v>200</v>
      </c>
      <c r="F348" s="168">
        <f>F349</f>
        <v>112.10000000000001</v>
      </c>
      <c r="G348" s="327"/>
      <c r="H348" s="168">
        <f>H349</f>
        <v>112.10000000000001</v>
      </c>
      <c r="I348" s="168"/>
      <c r="J348" s="497">
        <f>J349</f>
        <v>112.1</v>
      </c>
      <c r="K348" s="575">
        <f t="shared" si="141"/>
        <v>0.99999999999999989</v>
      </c>
      <c r="L348" s="168"/>
      <c r="M348" s="580"/>
      <c r="N348" s="161"/>
    </row>
    <row r="349" spans="1:14" s="145" customFormat="1" ht="31.5" x14ac:dyDescent="0.25">
      <c r="A349" s="401" t="s">
        <v>54</v>
      </c>
      <c r="B349" s="210" t="s">
        <v>51</v>
      </c>
      <c r="C349" s="204" t="s">
        <v>17</v>
      </c>
      <c r="D349" s="163" t="s">
        <v>364</v>
      </c>
      <c r="E349" s="352">
        <v>240</v>
      </c>
      <c r="F349" s="168">
        <f>'ведом. 2023-2025'!AD258</f>
        <v>112.10000000000001</v>
      </c>
      <c r="G349" s="327"/>
      <c r="H349" s="168">
        <f>'ведом. 2023-2025'!AE258</f>
        <v>112.10000000000001</v>
      </c>
      <c r="I349" s="168"/>
      <c r="J349" s="497">
        <f>'ведом. 2023-2025'!AF258</f>
        <v>112.1</v>
      </c>
      <c r="K349" s="575">
        <f t="shared" si="141"/>
        <v>0.99999999999999989</v>
      </c>
      <c r="L349" s="168"/>
      <c r="M349" s="580"/>
      <c r="N349" s="161"/>
    </row>
    <row r="350" spans="1:14" s="145" customFormat="1" x14ac:dyDescent="0.25">
      <c r="A350" s="401" t="s">
        <v>96</v>
      </c>
      <c r="B350" s="209" t="s">
        <v>51</v>
      </c>
      <c r="C350" s="4" t="s">
        <v>23</v>
      </c>
      <c r="D350" s="304"/>
      <c r="E350" s="352"/>
      <c r="F350" s="168">
        <f t="shared" ref="F350:J350" si="143">F351+F368</f>
        <v>121872.4</v>
      </c>
      <c r="G350" s="327">
        <f>G351+G368</f>
        <v>76247.5</v>
      </c>
      <c r="H350" s="168">
        <f t="shared" ref="H350" si="144">H351+H368</f>
        <v>121797.79999999999</v>
      </c>
      <c r="I350" s="327">
        <f>I351+I368</f>
        <v>76173</v>
      </c>
      <c r="J350" s="497">
        <f t="shared" si="143"/>
        <v>121643.1</v>
      </c>
      <c r="K350" s="575">
        <f t="shared" si="141"/>
        <v>0.99872986211573622</v>
      </c>
      <c r="L350" s="168">
        <f>L351+L368</f>
        <v>76172.5</v>
      </c>
      <c r="M350" s="580">
        <f t="shared" ref="M350:M396" si="145">L350/I350</f>
        <v>0.99999343599438117</v>
      </c>
      <c r="N350" s="161"/>
    </row>
    <row r="351" spans="1:14" s="145" customFormat="1" ht="31.5" x14ac:dyDescent="0.25">
      <c r="A351" s="280" t="s">
        <v>237</v>
      </c>
      <c r="B351" s="209" t="s">
        <v>51</v>
      </c>
      <c r="C351" s="4" t="s">
        <v>23</v>
      </c>
      <c r="D351" s="163" t="s">
        <v>238</v>
      </c>
      <c r="E351" s="352"/>
      <c r="F351" s="168">
        <f t="shared" ref="F351:J351" si="146">F352+F363</f>
        <v>57428.2</v>
      </c>
      <c r="G351" s="327">
        <f>G352+G363</f>
        <v>22630</v>
      </c>
      <c r="H351" s="168">
        <f t="shared" ref="H351" si="147">H352+H363</f>
        <v>57443.199999999997</v>
      </c>
      <c r="I351" s="327">
        <f>I352+I363</f>
        <v>22630</v>
      </c>
      <c r="J351" s="497">
        <f t="shared" si="146"/>
        <v>57288.5</v>
      </c>
      <c r="K351" s="575">
        <f t="shared" si="141"/>
        <v>0.9973069049078046</v>
      </c>
      <c r="L351" s="168">
        <f>L352+L363</f>
        <v>22629.5</v>
      </c>
      <c r="M351" s="580">
        <f t="shared" si="145"/>
        <v>0.99997790543526288</v>
      </c>
      <c r="N351" s="161"/>
    </row>
    <row r="352" spans="1:14" s="145" customFormat="1" x14ac:dyDescent="0.25">
      <c r="A352" s="280" t="s">
        <v>243</v>
      </c>
      <c r="B352" s="209" t="s">
        <v>51</v>
      </c>
      <c r="C352" s="4" t="s">
        <v>23</v>
      </c>
      <c r="D352" s="163" t="s">
        <v>244</v>
      </c>
      <c r="E352" s="352"/>
      <c r="F352" s="168">
        <f>F353</f>
        <v>35148.800000000003</v>
      </c>
      <c r="G352" s="327">
        <f t="shared" ref="G352:J352" si="148">G353</f>
        <v>22630</v>
      </c>
      <c r="H352" s="168">
        <f>H353</f>
        <v>35163.800000000003</v>
      </c>
      <c r="I352" s="327">
        <f t="shared" si="148"/>
        <v>22630</v>
      </c>
      <c r="J352" s="497">
        <f t="shared" si="148"/>
        <v>35102.9</v>
      </c>
      <c r="K352" s="575">
        <f t="shared" si="141"/>
        <v>0.99826810526734877</v>
      </c>
      <c r="L352" s="168">
        <f>L353</f>
        <v>22629.5</v>
      </c>
      <c r="M352" s="580">
        <f t="shared" si="145"/>
        <v>0.99997790543526288</v>
      </c>
      <c r="N352" s="161"/>
    </row>
    <row r="353" spans="1:14" s="145" customFormat="1" ht="31.5" x14ac:dyDescent="0.25">
      <c r="A353" s="281" t="s">
        <v>242</v>
      </c>
      <c r="B353" s="212" t="s">
        <v>51</v>
      </c>
      <c r="C353" s="203" t="s">
        <v>23</v>
      </c>
      <c r="D353" s="163" t="s">
        <v>574</v>
      </c>
      <c r="E353" s="351"/>
      <c r="F353" s="168">
        <f t="shared" ref="F353:J353" si="149">F357+F360+F354</f>
        <v>35148.800000000003</v>
      </c>
      <c r="G353" s="327">
        <f t="shared" si="149"/>
        <v>22630</v>
      </c>
      <c r="H353" s="168">
        <f t="shared" ref="H353:I353" si="150">H357+H360+H354</f>
        <v>35163.800000000003</v>
      </c>
      <c r="I353" s="327">
        <f t="shared" si="150"/>
        <v>22630</v>
      </c>
      <c r="J353" s="497">
        <f t="shared" si="149"/>
        <v>35102.9</v>
      </c>
      <c r="K353" s="575">
        <f t="shared" si="141"/>
        <v>0.99826810526734877</v>
      </c>
      <c r="L353" s="168">
        <f>L357+L360+L354</f>
        <v>22629.5</v>
      </c>
      <c r="M353" s="580">
        <f t="shared" si="145"/>
        <v>0.99997790543526288</v>
      </c>
      <c r="N353" s="161"/>
    </row>
    <row r="354" spans="1:14" s="188" customFormat="1" ht="31.5" x14ac:dyDescent="0.25">
      <c r="A354" s="419" t="s">
        <v>383</v>
      </c>
      <c r="B354" s="209" t="s">
        <v>51</v>
      </c>
      <c r="C354" s="4" t="s">
        <v>23</v>
      </c>
      <c r="D354" s="163" t="s">
        <v>575</v>
      </c>
      <c r="E354" s="351"/>
      <c r="F354" s="168">
        <f>F355</f>
        <v>630.79999999999995</v>
      </c>
      <c r="G354" s="327"/>
      <c r="H354" s="168">
        <f>H355</f>
        <v>645.79999999999995</v>
      </c>
      <c r="I354" s="168"/>
      <c r="J354" s="497">
        <f>J355</f>
        <v>630.6</v>
      </c>
      <c r="K354" s="575">
        <f t="shared" si="141"/>
        <v>0.97646330133168169</v>
      </c>
      <c r="L354" s="168"/>
      <c r="M354" s="580"/>
      <c r="N354" s="161"/>
    </row>
    <row r="355" spans="1:14" s="188" customFormat="1" x14ac:dyDescent="0.25">
      <c r="A355" s="278" t="s">
        <v>123</v>
      </c>
      <c r="B355" s="209" t="s">
        <v>51</v>
      </c>
      <c r="C355" s="4" t="s">
        <v>23</v>
      </c>
      <c r="D355" s="163" t="s">
        <v>575</v>
      </c>
      <c r="E355" s="352">
        <v>200</v>
      </c>
      <c r="F355" s="168">
        <f>F356</f>
        <v>630.79999999999995</v>
      </c>
      <c r="G355" s="327"/>
      <c r="H355" s="168">
        <f>H356</f>
        <v>645.79999999999995</v>
      </c>
      <c r="I355" s="168"/>
      <c r="J355" s="497">
        <f>J356</f>
        <v>630.6</v>
      </c>
      <c r="K355" s="575">
        <f t="shared" si="141"/>
        <v>0.97646330133168169</v>
      </c>
      <c r="L355" s="168"/>
      <c r="M355" s="580"/>
      <c r="N355" s="161"/>
    </row>
    <row r="356" spans="1:14" s="188" customFormat="1" ht="31.5" x14ac:dyDescent="0.25">
      <c r="A356" s="278" t="s">
        <v>54</v>
      </c>
      <c r="B356" s="212" t="s">
        <v>51</v>
      </c>
      <c r="C356" s="203" t="s">
        <v>23</v>
      </c>
      <c r="D356" s="163" t="s">
        <v>575</v>
      </c>
      <c r="E356" s="352">
        <v>240</v>
      </c>
      <c r="F356" s="168">
        <f>'ведом. 2023-2025'!AD846</f>
        <v>630.79999999999995</v>
      </c>
      <c r="G356" s="327"/>
      <c r="H356" s="168">
        <f>'ведом. 2023-2025'!AE846</f>
        <v>645.79999999999995</v>
      </c>
      <c r="I356" s="168"/>
      <c r="J356" s="497">
        <f>'ведом. 2023-2025'!AF846</f>
        <v>630.6</v>
      </c>
      <c r="K356" s="575">
        <f t="shared" si="141"/>
        <v>0.97646330133168169</v>
      </c>
      <c r="L356" s="168"/>
      <c r="M356" s="580"/>
      <c r="N356" s="161"/>
    </row>
    <row r="357" spans="1:14" s="145" customFormat="1" x14ac:dyDescent="0.25">
      <c r="A357" s="283" t="s">
        <v>370</v>
      </c>
      <c r="B357" s="212" t="s">
        <v>51</v>
      </c>
      <c r="C357" s="203" t="s">
        <v>23</v>
      </c>
      <c r="D357" s="163" t="s">
        <v>576</v>
      </c>
      <c r="E357" s="352"/>
      <c r="F357" s="168">
        <f>F358</f>
        <v>7318</v>
      </c>
      <c r="G357" s="327"/>
      <c r="H357" s="168">
        <f>H358</f>
        <v>7318</v>
      </c>
      <c r="I357" s="168"/>
      <c r="J357" s="497">
        <f>J358</f>
        <v>7273</v>
      </c>
      <c r="K357" s="575">
        <f t="shared" si="141"/>
        <v>0.99385077890133922</v>
      </c>
      <c r="L357" s="168"/>
      <c r="M357" s="580"/>
      <c r="N357" s="161"/>
    </row>
    <row r="358" spans="1:14" s="145" customFormat="1" x14ac:dyDescent="0.25">
      <c r="A358" s="401" t="s">
        <v>123</v>
      </c>
      <c r="B358" s="209" t="s">
        <v>51</v>
      </c>
      <c r="C358" s="4" t="s">
        <v>23</v>
      </c>
      <c r="D358" s="163" t="s">
        <v>576</v>
      </c>
      <c r="E358" s="352">
        <v>200</v>
      </c>
      <c r="F358" s="168">
        <f>F359</f>
        <v>7318</v>
      </c>
      <c r="G358" s="327"/>
      <c r="H358" s="168">
        <f>H359</f>
        <v>7318</v>
      </c>
      <c r="I358" s="168"/>
      <c r="J358" s="497">
        <f>J359</f>
        <v>7273</v>
      </c>
      <c r="K358" s="575">
        <f t="shared" si="141"/>
        <v>0.99385077890133922</v>
      </c>
      <c r="L358" s="168"/>
      <c r="M358" s="580"/>
      <c r="N358" s="161"/>
    </row>
    <row r="359" spans="1:14" s="145" customFormat="1" ht="31.5" x14ac:dyDescent="0.25">
      <c r="A359" s="401" t="s">
        <v>54</v>
      </c>
      <c r="B359" s="209" t="s">
        <v>51</v>
      </c>
      <c r="C359" s="4" t="s">
        <v>23</v>
      </c>
      <c r="D359" s="163" t="s">
        <v>576</v>
      </c>
      <c r="E359" s="352">
        <v>240</v>
      </c>
      <c r="F359" s="168">
        <f>'ведом. 2023-2025'!AD849</f>
        <v>7318</v>
      </c>
      <c r="G359" s="327"/>
      <c r="H359" s="168">
        <f>'ведом. 2023-2025'!AE849</f>
        <v>7318</v>
      </c>
      <c r="I359" s="168"/>
      <c r="J359" s="497">
        <f>'ведом. 2023-2025'!AF849</f>
        <v>7273</v>
      </c>
      <c r="K359" s="575">
        <f t="shared" si="141"/>
        <v>0.99385077890133922</v>
      </c>
      <c r="L359" s="168"/>
      <c r="M359" s="580"/>
      <c r="N359" s="161"/>
    </row>
    <row r="360" spans="1:14" s="145" customFormat="1" ht="31.5" x14ac:dyDescent="0.25">
      <c r="A360" s="281" t="s">
        <v>342</v>
      </c>
      <c r="B360" s="212" t="s">
        <v>51</v>
      </c>
      <c r="C360" s="203" t="s">
        <v>23</v>
      </c>
      <c r="D360" s="163" t="s">
        <v>577</v>
      </c>
      <c r="E360" s="352"/>
      <c r="F360" s="168">
        <f t="shared" ref="F360:J361" si="151">F361</f>
        <v>27200</v>
      </c>
      <c r="G360" s="327">
        <f>G361</f>
        <v>22630</v>
      </c>
      <c r="H360" s="168">
        <f t="shared" si="151"/>
        <v>27200</v>
      </c>
      <c r="I360" s="327">
        <f>I361</f>
        <v>22630</v>
      </c>
      <c r="J360" s="497">
        <f t="shared" si="151"/>
        <v>27199.3</v>
      </c>
      <c r="K360" s="575">
        <f t="shared" si="141"/>
        <v>0.99997426470588235</v>
      </c>
      <c r="L360" s="168">
        <f>L361</f>
        <v>22629.5</v>
      </c>
      <c r="M360" s="580">
        <f t="shared" si="145"/>
        <v>0.99997790543526288</v>
      </c>
      <c r="N360" s="161"/>
    </row>
    <row r="361" spans="1:14" s="145" customFormat="1" x14ac:dyDescent="0.25">
      <c r="A361" s="401" t="s">
        <v>123</v>
      </c>
      <c r="B361" s="212" t="s">
        <v>51</v>
      </c>
      <c r="C361" s="203" t="s">
        <v>23</v>
      </c>
      <c r="D361" s="163" t="s">
        <v>577</v>
      </c>
      <c r="E361" s="352">
        <v>200</v>
      </c>
      <c r="F361" s="168">
        <f t="shared" si="151"/>
        <v>27200</v>
      </c>
      <c r="G361" s="327">
        <f>G362</f>
        <v>22630</v>
      </c>
      <c r="H361" s="168">
        <f t="shared" si="151"/>
        <v>27200</v>
      </c>
      <c r="I361" s="327">
        <f>I362</f>
        <v>22630</v>
      </c>
      <c r="J361" s="497">
        <f t="shared" si="151"/>
        <v>27199.3</v>
      </c>
      <c r="K361" s="575">
        <f t="shared" si="141"/>
        <v>0.99997426470588235</v>
      </c>
      <c r="L361" s="168">
        <f>L362</f>
        <v>22629.5</v>
      </c>
      <c r="M361" s="580">
        <f t="shared" si="145"/>
        <v>0.99997790543526288</v>
      </c>
      <c r="N361" s="161"/>
    </row>
    <row r="362" spans="1:14" s="145" customFormat="1" ht="31.5" x14ac:dyDescent="0.25">
      <c r="A362" s="401" t="s">
        <v>54</v>
      </c>
      <c r="B362" s="212" t="s">
        <v>51</v>
      </c>
      <c r="C362" s="203" t="s">
        <v>23</v>
      </c>
      <c r="D362" s="163" t="s">
        <v>577</v>
      </c>
      <c r="E362" s="352">
        <v>240</v>
      </c>
      <c r="F362" s="168">
        <f>'ведом. 2023-2025'!AD852</f>
        <v>27200</v>
      </c>
      <c r="G362" s="327">
        <f>24700-2070</f>
        <v>22630</v>
      </c>
      <c r="H362" s="168">
        <f>'ведом. 2023-2025'!AE852</f>
        <v>27200</v>
      </c>
      <c r="I362" s="327">
        <v>22630</v>
      </c>
      <c r="J362" s="497">
        <f>'ведом. 2023-2025'!AF852</f>
        <v>27199.3</v>
      </c>
      <c r="K362" s="575">
        <f t="shared" si="141"/>
        <v>0.99997426470588235</v>
      </c>
      <c r="L362" s="168">
        <v>22629.5</v>
      </c>
      <c r="M362" s="580">
        <f t="shared" si="145"/>
        <v>0.99997790543526288</v>
      </c>
      <c r="N362" s="161"/>
    </row>
    <row r="363" spans="1:14" s="145" customFormat="1" x14ac:dyDescent="0.25">
      <c r="A363" s="280" t="s">
        <v>50</v>
      </c>
      <c r="B363" s="212" t="s">
        <v>51</v>
      </c>
      <c r="C363" s="203" t="s">
        <v>23</v>
      </c>
      <c r="D363" s="163" t="s">
        <v>365</v>
      </c>
      <c r="E363" s="351"/>
      <c r="F363" s="168">
        <f>F364</f>
        <v>22279.399999999998</v>
      </c>
      <c r="G363" s="327"/>
      <c r="H363" s="168">
        <f>H364</f>
        <v>22279.399999999998</v>
      </c>
      <c r="I363" s="168"/>
      <c r="J363" s="497">
        <f>J364</f>
        <v>22185.599999999999</v>
      </c>
      <c r="K363" s="575">
        <f t="shared" si="141"/>
        <v>0.99578983276030775</v>
      </c>
      <c r="L363" s="168"/>
      <c r="M363" s="580"/>
      <c r="N363" s="161"/>
    </row>
    <row r="364" spans="1:14" s="145" customFormat="1" ht="31.5" x14ac:dyDescent="0.25">
      <c r="A364" s="280" t="s">
        <v>200</v>
      </c>
      <c r="B364" s="212" t="s">
        <v>51</v>
      </c>
      <c r="C364" s="203" t="s">
        <v>23</v>
      </c>
      <c r="D364" s="163" t="s">
        <v>366</v>
      </c>
      <c r="E364" s="352"/>
      <c r="F364" s="168">
        <f>F365</f>
        <v>22279.399999999998</v>
      </c>
      <c r="G364" s="327"/>
      <c r="H364" s="168">
        <f>H365</f>
        <v>22279.399999999998</v>
      </c>
      <c r="I364" s="168"/>
      <c r="J364" s="497">
        <f>J365</f>
        <v>22185.599999999999</v>
      </c>
      <c r="K364" s="575">
        <f t="shared" si="141"/>
        <v>0.99578983276030775</v>
      </c>
      <c r="L364" s="168"/>
      <c r="M364" s="580"/>
      <c r="N364" s="161"/>
    </row>
    <row r="365" spans="1:14" s="145" customFormat="1" ht="31.5" x14ac:dyDescent="0.25">
      <c r="A365" s="302" t="s">
        <v>337</v>
      </c>
      <c r="B365" s="212" t="s">
        <v>51</v>
      </c>
      <c r="C365" s="203" t="s">
        <v>23</v>
      </c>
      <c r="D365" s="163" t="s">
        <v>367</v>
      </c>
      <c r="E365" s="352"/>
      <c r="F365" s="168">
        <f>F366</f>
        <v>22279.399999999998</v>
      </c>
      <c r="G365" s="327"/>
      <c r="H365" s="168">
        <f>H366</f>
        <v>22279.399999999998</v>
      </c>
      <c r="I365" s="168"/>
      <c r="J365" s="497">
        <f>J366</f>
        <v>22185.599999999999</v>
      </c>
      <c r="K365" s="575">
        <f t="shared" si="141"/>
        <v>0.99578983276030775</v>
      </c>
      <c r="L365" s="168"/>
      <c r="M365" s="580"/>
      <c r="N365" s="161"/>
    </row>
    <row r="366" spans="1:14" s="145" customFormat="1" ht="31.5" x14ac:dyDescent="0.25">
      <c r="A366" s="401" t="s">
        <v>62</v>
      </c>
      <c r="B366" s="212" t="s">
        <v>51</v>
      </c>
      <c r="C366" s="203" t="s">
        <v>23</v>
      </c>
      <c r="D366" s="163" t="s">
        <v>367</v>
      </c>
      <c r="E366" s="352">
        <v>600</v>
      </c>
      <c r="F366" s="168">
        <f>F367</f>
        <v>22279.399999999998</v>
      </c>
      <c r="G366" s="327"/>
      <c r="H366" s="168">
        <f>H367</f>
        <v>22279.399999999998</v>
      </c>
      <c r="I366" s="168"/>
      <c r="J366" s="497">
        <f>J367</f>
        <v>22185.599999999999</v>
      </c>
      <c r="K366" s="575">
        <f t="shared" si="141"/>
        <v>0.99578983276030775</v>
      </c>
      <c r="L366" s="168"/>
      <c r="M366" s="580"/>
      <c r="N366" s="161"/>
    </row>
    <row r="367" spans="1:14" s="145" customFormat="1" x14ac:dyDescent="0.25">
      <c r="A367" s="401" t="s">
        <v>63</v>
      </c>
      <c r="B367" s="212" t="s">
        <v>51</v>
      </c>
      <c r="C367" s="203" t="s">
        <v>23</v>
      </c>
      <c r="D367" s="163" t="s">
        <v>367</v>
      </c>
      <c r="E367" s="352">
        <v>610</v>
      </c>
      <c r="F367" s="168">
        <f>'ведом. 2023-2025'!AD265</f>
        <v>22279.399999999998</v>
      </c>
      <c r="G367" s="327"/>
      <c r="H367" s="168">
        <f>'ведом. 2023-2025'!AE265</f>
        <v>22279.399999999998</v>
      </c>
      <c r="I367" s="168"/>
      <c r="J367" s="497">
        <f>'ведом. 2023-2025'!AF265</f>
        <v>22185.599999999999</v>
      </c>
      <c r="K367" s="575">
        <f t="shared" si="141"/>
        <v>0.99578983276030775</v>
      </c>
      <c r="L367" s="168"/>
      <c r="M367" s="580"/>
      <c r="N367" s="161"/>
    </row>
    <row r="368" spans="1:14" s="188" customFormat="1" x14ac:dyDescent="0.25">
      <c r="A368" s="284" t="s">
        <v>255</v>
      </c>
      <c r="B368" s="212" t="s">
        <v>51</v>
      </c>
      <c r="C368" s="203" t="s">
        <v>23</v>
      </c>
      <c r="D368" s="163" t="s">
        <v>256</v>
      </c>
      <c r="E368" s="352"/>
      <c r="F368" s="168">
        <f>F369</f>
        <v>64444.2</v>
      </c>
      <c r="G368" s="327">
        <f>G369</f>
        <v>53617.5</v>
      </c>
      <c r="H368" s="168">
        <f>H369</f>
        <v>64354.6</v>
      </c>
      <c r="I368" s="327">
        <f>I369</f>
        <v>53543</v>
      </c>
      <c r="J368" s="497">
        <f t="shared" ref="J368" si="152">J369</f>
        <v>64354.6</v>
      </c>
      <c r="K368" s="575">
        <f t="shared" si="141"/>
        <v>1</v>
      </c>
      <c r="L368" s="168">
        <f>L369</f>
        <v>53543</v>
      </c>
      <c r="M368" s="580">
        <f t="shared" si="145"/>
        <v>1</v>
      </c>
      <c r="N368" s="161"/>
    </row>
    <row r="369" spans="1:14" s="188" customFormat="1" ht="31.5" x14ac:dyDescent="0.25">
      <c r="A369" s="284" t="s">
        <v>626</v>
      </c>
      <c r="B369" s="212" t="s">
        <v>51</v>
      </c>
      <c r="C369" s="203" t="s">
        <v>23</v>
      </c>
      <c r="D369" s="163" t="s">
        <v>257</v>
      </c>
      <c r="E369" s="354"/>
      <c r="F369" s="168">
        <f>F370+F374</f>
        <v>64444.2</v>
      </c>
      <c r="G369" s="327">
        <f>G370+G374</f>
        <v>53617.5</v>
      </c>
      <c r="H369" s="168">
        <f>H370+H374</f>
        <v>64354.6</v>
      </c>
      <c r="I369" s="327">
        <f>I370+I374</f>
        <v>53543</v>
      </c>
      <c r="J369" s="497">
        <f>J370+J374</f>
        <v>64354.6</v>
      </c>
      <c r="K369" s="575">
        <f t="shared" si="141"/>
        <v>1</v>
      </c>
      <c r="L369" s="168">
        <f>L370+L374</f>
        <v>53543</v>
      </c>
      <c r="M369" s="580">
        <f t="shared" si="145"/>
        <v>1</v>
      </c>
      <c r="N369" s="161"/>
    </row>
    <row r="370" spans="1:14" s="188" customFormat="1" ht="31.5" x14ac:dyDescent="0.25">
      <c r="A370" s="282" t="s">
        <v>627</v>
      </c>
      <c r="B370" s="212" t="s">
        <v>51</v>
      </c>
      <c r="C370" s="203" t="s">
        <v>23</v>
      </c>
      <c r="D370" s="163" t="s">
        <v>258</v>
      </c>
      <c r="E370" s="352"/>
      <c r="F370" s="168">
        <f>F372</f>
        <v>7578</v>
      </c>
      <c r="G370" s="168">
        <f t="shared" ref="G370:J370" si="153">G372</f>
        <v>6304.7999999999993</v>
      </c>
      <c r="H370" s="168">
        <f>H372</f>
        <v>7577.9</v>
      </c>
      <c r="I370" s="168">
        <f t="shared" ref="I370" si="154">I372</f>
        <v>6304.7999999999993</v>
      </c>
      <c r="J370" s="497">
        <f t="shared" si="153"/>
        <v>7577.9</v>
      </c>
      <c r="K370" s="575">
        <f t="shared" si="141"/>
        <v>1</v>
      </c>
      <c r="L370" s="168">
        <f>L372</f>
        <v>6304.7999999999993</v>
      </c>
      <c r="M370" s="580">
        <f t="shared" si="145"/>
        <v>1</v>
      </c>
      <c r="N370" s="161"/>
    </row>
    <row r="371" spans="1:14" s="188" customFormat="1" x14ac:dyDescent="0.25">
      <c r="A371" s="278" t="s">
        <v>498</v>
      </c>
      <c r="B371" s="212" t="s">
        <v>51</v>
      </c>
      <c r="C371" s="203" t="s">
        <v>23</v>
      </c>
      <c r="D371" s="163" t="s">
        <v>499</v>
      </c>
      <c r="E371" s="354"/>
      <c r="F371" s="168">
        <f t="shared" ref="F371:I372" si="155">F372</f>
        <v>7578</v>
      </c>
      <c r="G371" s="327">
        <f t="shared" si="155"/>
        <v>6304.7999999999993</v>
      </c>
      <c r="H371" s="168">
        <f t="shared" si="155"/>
        <v>7577.9</v>
      </c>
      <c r="I371" s="327">
        <f t="shared" si="155"/>
        <v>6304.7999999999993</v>
      </c>
      <c r="J371" s="497">
        <f t="shared" ref="J371" si="156">J372</f>
        <v>7577.9</v>
      </c>
      <c r="K371" s="575">
        <f t="shared" si="141"/>
        <v>1</v>
      </c>
      <c r="L371" s="168">
        <f>L372</f>
        <v>6304.7999999999993</v>
      </c>
      <c r="M371" s="580">
        <f t="shared" si="145"/>
        <v>1</v>
      </c>
      <c r="N371" s="161"/>
    </row>
    <row r="372" spans="1:14" s="188" customFormat="1" x14ac:dyDescent="0.25">
      <c r="A372" s="278" t="s">
        <v>123</v>
      </c>
      <c r="B372" s="212" t="s">
        <v>51</v>
      </c>
      <c r="C372" s="203" t="s">
        <v>23</v>
      </c>
      <c r="D372" s="163" t="s">
        <v>499</v>
      </c>
      <c r="E372" s="354" t="s">
        <v>39</v>
      </c>
      <c r="F372" s="168">
        <f t="shared" si="155"/>
        <v>7578</v>
      </c>
      <c r="G372" s="327">
        <f t="shared" si="155"/>
        <v>6304.7999999999993</v>
      </c>
      <c r="H372" s="168">
        <f t="shared" si="155"/>
        <v>7577.9</v>
      </c>
      <c r="I372" s="327">
        <f t="shared" si="155"/>
        <v>6304.7999999999993</v>
      </c>
      <c r="J372" s="497">
        <f t="shared" ref="J372" si="157">J373</f>
        <v>7577.9</v>
      </c>
      <c r="K372" s="575">
        <f t="shared" si="141"/>
        <v>1</v>
      </c>
      <c r="L372" s="168">
        <f>L373</f>
        <v>6304.7999999999993</v>
      </c>
      <c r="M372" s="580">
        <f t="shared" si="145"/>
        <v>1</v>
      </c>
      <c r="N372" s="161"/>
    </row>
    <row r="373" spans="1:14" s="188" customFormat="1" ht="31.5" x14ac:dyDescent="0.25">
      <c r="A373" s="278" t="s">
        <v>54</v>
      </c>
      <c r="B373" s="212" t="s">
        <v>51</v>
      </c>
      <c r="C373" s="203" t="s">
        <v>23</v>
      </c>
      <c r="D373" s="163" t="s">
        <v>499</v>
      </c>
      <c r="E373" s="354" t="s">
        <v>67</v>
      </c>
      <c r="F373" s="168">
        <f>'ведом. 2023-2025'!AD858</f>
        <v>7578</v>
      </c>
      <c r="G373" s="327">
        <f>2760.1+3544.7</f>
        <v>6304.7999999999993</v>
      </c>
      <c r="H373" s="168">
        <f>'ведом. 2023-2025'!AE858</f>
        <v>7577.9</v>
      </c>
      <c r="I373" s="327">
        <f>2760.1+3544.7</f>
        <v>6304.7999999999993</v>
      </c>
      <c r="J373" s="497">
        <f>'ведом. 2023-2025'!AF858</f>
        <v>7577.9</v>
      </c>
      <c r="K373" s="575">
        <f t="shared" si="141"/>
        <v>1</v>
      </c>
      <c r="L373" s="168">
        <f>2760.1+3544.7</f>
        <v>6304.7999999999993</v>
      </c>
      <c r="M373" s="580">
        <f t="shared" si="145"/>
        <v>1</v>
      </c>
      <c r="N373" s="161"/>
    </row>
    <row r="374" spans="1:14" s="188" customFormat="1" x14ac:dyDescent="0.25">
      <c r="A374" s="282" t="s">
        <v>402</v>
      </c>
      <c r="B374" s="212" t="s">
        <v>51</v>
      </c>
      <c r="C374" s="203" t="s">
        <v>23</v>
      </c>
      <c r="D374" s="307" t="s">
        <v>474</v>
      </c>
      <c r="E374" s="352"/>
      <c r="F374" s="168">
        <f t="shared" ref="F374:I376" si="158">F375</f>
        <v>56866.2</v>
      </c>
      <c r="G374" s="327">
        <f t="shared" si="158"/>
        <v>47312.7</v>
      </c>
      <c r="H374" s="168">
        <f t="shared" si="158"/>
        <v>56776.7</v>
      </c>
      <c r="I374" s="327">
        <f t="shared" si="158"/>
        <v>47238.2</v>
      </c>
      <c r="J374" s="497">
        <f>J375</f>
        <v>56776.7</v>
      </c>
      <c r="K374" s="575">
        <f t="shared" si="141"/>
        <v>1</v>
      </c>
      <c r="L374" s="168">
        <f>L375</f>
        <v>47238.2</v>
      </c>
      <c r="M374" s="580">
        <f t="shared" si="145"/>
        <v>1</v>
      </c>
      <c r="N374" s="161"/>
    </row>
    <row r="375" spans="1:14" s="188" customFormat="1" x14ac:dyDescent="0.25">
      <c r="A375" s="278" t="s">
        <v>431</v>
      </c>
      <c r="B375" s="212" t="s">
        <v>51</v>
      </c>
      <c r="C375" s="203" t="s">
        <v>23</v>
      </c>
      <c r="D375" s="307" t="s">
        <v>473</v>
      </c>
      <c r="E375" s="352"/>
      <c r="F375" s="168">
        <f t="shared" si="158"/>
        <v>56866.2</v>
      </c>
      <c r="G375" s="327">
        <f t="shared" si="158"/>
        <v>47312.7</v>
      </c>
      <c r="H375" s="168">
        <f t="shared" si="158"/>
        <v>56776.7</v>
      </c>
      <c r="I375" s="327">
        <f t="shared" si="158"/>
        <v>47238.2</v>
      </c>
      <c r="J375" s="497">
        <f t="shared" ref="J375" si="159">J376</f>
        <v>56776.7</v>
      </c>
      <c r="K375" s="575">
        <f t="shared" si="141"/>
        <v>1</v>
      </c>
      <c r="L375" s="168">
        <f>L376</f>
        <v>47238.2</v>
      </c>
      <c r="M375" s="580">
        <f t="shared" si="145"/>
        <v>1</v>
      </c>
      <c r="N375" s="161"/>
    </row>
    <row r="376" spans="1:14" s="188" customFormat="1" x14ac:dyDescent="0.25">
      <c r="A376" s="278" t="s">
        <v>123</v>
      </c>
      <c r="B376" s="212" t="s">
        <v>51</v>
      </c>
      <c r="C376" s="203" t="s">
        <v>23</v>
      </c>
      <c r="D376" s="307" t="s">
        <v>473</v>
      </c>
      <c r="E376" s="352">
        <v>200</v>
      </c>
      <c r="F376" s="168">
        <f t="shared" si="158"/>
        <v>56866.2</v>
      </c>
      <c r="G376" s="327">
        <f t="shared" si="158"/>
        <v>47312.7</v>
      </c>
      <c r="H376" s="168">
        <f t="shared" si="158"/>
        <v>56776.7</v>
      </c>
      <c r="I376" s="327">
        <f t="shared" si="158"/>
        <v>47238.2</v>
      </c>
      <c r="J376" s="497">
        <f t="shared" ref="J376" si="160">J377</f>
        <v>56776.7</v>
      </c>
      <c r="K376" s="575">
        <f t="shared" si="141"/>
        <v>1</v>
      </c>
      <c r="L376" s="168">
        <f>L377</f>
        <v>47238.2</v>
      </c>
      <c r="M376" s="580">
        <f t="shared" si="145"/>
        <v>1</v>
      </c>
      <c r="N376" s="161"/>
    </row>
    <row r="377" spans="1:14" s="188" customFormat="1" ht="31.5" x14ac:dyDescent="0.25">
      <c r="A377" s="278" t="s">
        <v>54</v>
      </c>
      <c r="B377" s="212" t="s">
        <v>51</v>
      </c>
      <c r="C377" s="203" t="s">
        <v>23</v>
      </c>
      <c r="D377" s="307" t="s">
        <v>473</v>
      </c>
      <c r="E377" s="352">
        <v>240</v>
      </c>
      <c r="F377" s="168">
        <f>'ведом. 2023-2025'!AD862</f>
        <v>56866.2</v>
      </c>
      <c r="G377" s="327">
        <f>16224+33991.7-2903</f>
        <v>47312.7</v>
      </c>
      <c r="H377" s="168">
        <f>'ведом. 2023-2025'!AE862</f>
        <v>56776.7</v>
      </c>
      <c r="I377" s="327">
        <v>47238.2</v>
      </c>
      <c r="J377" s="497">
        <f>'ведом. 2023-2025'!AF862</f>
        <v>56776.7</v>
      </c>
      <c r="K377" s="575">
        <f t="shared" si="141"/>
        <v>1</v>
      </c>
      <c r="L377" s="168">
        <v>47238.2</v>
      </c>
      <c r="M377" s="580">
        <f t="shared" si="145"/>
        <v>1</v>
      </c>
      <c r="N377" s="161"/>
    </row>
    <row r="378" spans="1:14" s="145" customFormat="1" x14ac:dyDescent="0.25">
      <c r="A378" s="420" t="s">
        <v>34</v>
      </c>
      <c r="B378" s="209" t="s">
        <v>51</v>
      </c>
      <c r="C378" s="4">
        <v>10</v>
      </c>
      <c r="D378" s="304"/>
      <c r="E378" s="352"/>
      <c r="F378" s="168">
        <f t="shared" ref="F378:J378" si="161">F379</f>
        <v>2461.6</v>
      </c>
      <c r="G378" s="327"/>
      <c r="H378" s="168">
        <f t="shared" si="161"/>
        <v>2461.6</v>
      </c>
      <c r="I378" s="168"/>
      <c r="J378" s="497">
        <f t="shared" si="161"/>
        <v>2230.6</v>
      </c>
      <c r="K378" s="575">
        <f t="shared" si="141"/>
        <v>0.90615859603509907</v>
      </c>
      <c r="L378" s="168"/>
      <c r="M378" s="580"/>
      <c r="N378" s="161"/>
    </row>
    <row r="379" spans="1:14" s="145" customFormat="1" x14ac:dyDescent="0.25">
      <c r="A379" s="280" t="s">
        <v>245</v>
      </c>
      <c r="B379" s="11" t="s">
        <v>51</v>
      </c>
      <c r="C379" s="207">
        <v>10</v>
      </c>
      <c r="D379" s="163" t="s">
        <v>246</v>
      </c>
      <c r="E379" s="352"/>
      <c r="F379" s="168">
        <f t="shared" ref="F379:J379" si="162">F380</f>
        <v>2461.6</v>
      </c>
      <c r="G379" s="327"/>
      <c r="H379" s="168">
        <f t="shared" si="162"/>
        <v>2461.6</v>
      </c>
      <c r="I379" s="168"/>
      <c r="J379" s="497">
        <f t="shared" si="162"/>
        <v>2230.6</v>
      </c>
      <c r="K379" s="575">
        <f t="shared" si="141"/>
        <v>0.90615859603509907</v>
      </c>
      <c r="L379" s="168"/>
      <c r="M379" s="580"/>
      <c r="N379" s="161"/>
    </row>
    <row r="380" spans="1:14" s="145" customFormat="1" ht="31.5" x14ac:dyDescent="0.25">
      <c r="A380" s="280" t="s">
        <v>249</v>
      </c>
      <c r="B380" s="11" t="s">
        <v>51</v>
      </c>
      <c r="C380" s="207">
        <v>10</v>
      </c>
      <c r="D380" s="163" t="s">
        <v>250</v>
      </c>
      <c r="E380" s="361"/>
      <c r="F380" s="168">
        <f>F381+F389+F385</f>
        <v>2461.6</v>
      </c>
      <c r="G380" s="327"/>
      <c r="H380" s="168">
        <f>H381+H389+H385</f>
        <v>2461.6</v>
      </c>
      <c r="I380" s="168"/>
      <c r="J380" s="497">
        <f t="shared" ref="J380" si="163">J381+J389+J385</f>
        <v>2230.6</v>
      </c>
      <c r="K380" s="575">
        <f t="shared" si="141"/>
        <v>0.90615859603509907</v>
      </c>
      <c r="L380" s="168"/>
      <c r="M380" s="580"/>
      <c r="N380" s="161"/>
    </row>
    <row r="381" spans="1:14" s="188" customFormat="1" x14ac:dyDescent="0.25">
      <c r="A381" s="284" t="s">
        <v>404</v>
      </c>
      <c r="B381" s="11" t="s">
        <v>51</v>
      </c>
      <c r="C381" s="207">
        <v>10</v>
      </c>
      <c r="D381" s="163" t="s">
        <v>405</v>
      </c>
      <c r="E381" s="361"/>
      <c r="F381" s="168">
        <f>F382</f>
        <v>2075.3000000000002</v>
      </c>
      <c r="G381" s="327"/>
      <c r="H381" s="168">
        <f>H382</f>
        <v>2075.3000000000002</v>
      </c>
      <c r="I381" s="168"/>
      <c r="J381" s="497">
        <f>J382</f>
        <v>1844.3</v>
      </c>
      <c r="K381" s="575">
        <f t="shared" si="141"/>
        <v>0.88869079169276721</v>
      </c>
      <c r="L381" s="168"/>
      <c r="M381" s="580"/>
      <c r="N381" s="161"/>
    </row>
    <row r="382" spans="1:14" s="188" customFormat="1" x14ac:dyDescent="0.25">
      <c r="A382" s="283" t="s">
        <v>406</v>
      </c>
      <c r="B382" s="11" t="s">
        <v>51</v>
      </c>
      <c r="C382" s="207">
        <v>10</v>
      </c>
      <c r="D382" s="163" t="s">
        <v>407</v>
      </c>
      <c r="E382" s="362"/>
      <c r="F382" s="168">
        <f>F383</f>
        <v>2075.3000000000002</v>
      </c>
      <c r="G382" s="327"/>
      <c r="H382" s="168">
        <f>H383</f>
        <v>2075.3000000000002</v>
      </c>
      <c r="I382" s="168"/>
      <c r="J382" s="497">
        <f>J383</f>
        <v>1844.3</v>
      </c>
      <c r="K382" s="575">
        <f t="shared" si="141"/>
        <v>0.88869079169276721</v>
      </c>
      <c r="L382" s="168"/>
      <c r="M382" s="580"/>
      <c r="N382" s="161"/>
    </row>
    <row r="383" spans="1:14" s="188" customFormat="1" x14ac:dyDescent="0.25">
      <c r="A383" s="278" t="s">
        <v>123</v>
      </c>
      <c r="B383" s="11" t="s">
        <v>51</v>
      </c>
      <c r="C383" s="207">
        <v>10</v>
      </c>
      <c r="D383" s="163" t="s">
        <v>407</v>
      </c>
      <c r="E383" s="352">
        <v>200</v>
      </c>
      <c r="F383" s="168">
        <f>F384</f>
        <v>2075.3000000000002</v>
      </c>
      <c r="G383" s="327"/>
      <c r="H383" s="168">
        <f>H384</f>
        <v>2075.3000000000002</v>
      </c>
      <c r="I383" s="168"/>
      <c r="J383" s="497">
        <f>J384</f>
        <v>1844.3</v>
      </c>
      <c r="K383" s="575">
        <f t="shared" si="141"/>
        <v>0.88869079169276721</v>
      </c>
      <c r="L383" s="168"/>
      <c r="M383" s="580"/>
      <c r="N383" s="161"/>
    </row>
    <row r="384" spans="1:14" s="188" customFormat="1" ht="31.5" x14ac:dyDescent="0.25">
      <c r="A384" s="278" t="s">
        <v>54</v>
      </c>
      <c r="B384" s="11" t="s">
        <v>51</v>
      </c>
      <c r="C384" s="207">
        <v>10</v>
      </c>
      <c r="D384" s="163" t="s">
        <v>407</v>
      </c>
      <c r="E384" s="352">
        <v>240</v>
      </c>
      <c r="F384" s="168">
        <f>'ведом. 2023-2025'!AD272</f>
        <v>2075.3000000000002</v>
      </c>
      <c r="G384" s="327"/>
      <c r="H384" s="168">
        <f>'ведом. 2023-2025'!AE272</f>
        <v>2075.3000000000002</v>
      </c>
      <c r="I384" s="168"/>
      <c r="J384" s="497">
        <f>'ведом. 2023-2025'!AF272</f>
        <v>1844.3</v>
      </c>
      <c r="K384" s="575">
        <f t="shared" si="141"/>
        <v>0.88869079169276721</v>
      </c>
      <c r="L384" s="168"/>
      <c r="M384" s="580"/>
      <c r="N384" s="161"/>
    </row>
    <row r="385" spans="1:14" s="188" customFormat="1" x14ac:dyDescent="0.25">
      <c r="A385" s="284" t="s">
        <v>425</v>
      </c>
      <c r="B385" s="11" t="s">
        <v>51</v>
      </c>
      <c r="C385" s="207">
        <v>10</v>
      </c>
      <c r="D385" s="163" t="s">
        <v>426</v>
      </c>
      <c r="E385" s="352"/>
      <c r="F385" s="168">
        <f>F386</f>
        <v>92.2</v>
      </c>
      <c r="G385" s="327"/>
      <c r="H385" s="168">
        <f>H386</f>
        <v>92.2</v>
      </c>
      <c r="I385" s="168"/>
      <c r="J385" s="497">
        <f>J386</f>
        <v>92.2</v>
      </c>
      <c r="K385" s="575">
        <f t="shared" si="141"/>
        <v>1</v>
      </c>
      <c r="L385" s="168"/>
      <c r="M385" s="580"/>
      <c r="N385" s="161"/>
    </row>
    <row r="386" spans="1:14" s="188" customFormat="1" x14ac:dyDescent="0.25">
      <c r="A386" s="283" t="s">
        <v>427</v>
      </c>
      <c r="B386" s="11" t="s">
        <v>51</v>
      </c>
      <c r="C386" s="207">
        <v>10</v>
      </c>
      <c r="D386" s="163" t="s">
        <v>428</v>
      </c>
      <c r="E386" s="352"/>
      <c r="F386" s="168">
        <f>F387</f>
        <v>92.2</v>
      </c>
      <c r="G386" s="327"/>
      <c r="H386" s="168">
        <f>H387</f>
        <v>92.2</v>
      </c>
      <c r="I386" s="168"/>
      <c r="J386" s="497">
        <f>J387</f>
        <v>92.2</v>
      </c>
      <c r="K386" s="575">
        <f t="shared" si="141"/>
        <v>1</v>
      </c>
      <c r="L386" s="168"/>
      <c r="M386" s="580"/>
      <c r="N386" s="161"/>
    </row>
    <row r="387" spans="1:14" s="188" customFormat="1" x14ac:dyDescent="0.25">
      <c r="A387" s="278" t="s">
        <v>123</v>
      </c>
      <c r="B387" s="11" t="s">
        <v>51</v>
      </c>
      <c r="C387" s="207">
        <v>10</v>
      </c>
      <c r="D387" s="163" t="s">
        <v>428</v>
      </c>
      <c r="E387" s="352">
        <v>200</v>
      </c>
      <c r="F387" s="168">
        <f>F388</f>
        <v>92.2</v>
      </c>
      <c r="G387" s="327"/>
      <c r="H387" s="168">
        <f>H388</f>
        <v>92.2</v>
      </c>
      <c r="I387" s="168"/>
      <c r="J387" s="497">
        <f>J388</f>
        <v>92.2</v>
      </c>
      <c r="K387" s="575">
        <f t="shared" si="141"/>
        <v>1</v>
      </c>
      <c r="L387" s="168"/>
      <c r="M387" s="580"/>
      <c r="N387" s="161"/>
    </row>
    <row r="388" spans="1:14" s="188" customFormat="1" ht="31.5" x14ac:dyDescent="0.25">
      <c r="A388" s="278" t="s">
        <v>54</v>
      </c>
      <c r="B388" s="11" t="s">
        <v>51</v>
      </c>
      <c r="C388" s="207">
        <v>10</v>
      </c>
      <c r="D388" s="163" t="s">
        <v>428</v>
      </c>
      <c r="E388" s="352">
        <v>240</v>
      </c>
      <c r="F388" s="168">
        <f>'ведом. 2023-2025'!AD276</f>
        <v>92.2</v>
      </c>
      <c r="G388" s="327"/>
      <c r="H388" s="168">
        <f>'ведом. 2023-2025'!AE276</f>
        <v>92.2</v>
      </c>
      <c r="I388" s="168"/>
      <c r="J388" s="497">
        <f>'ведом. 2023-2025'!AF276</f>
        <v>92.2</v>
      </c>
      <c r="K388" s="575">
        <f t="shared" si="141"/>
        <v>1</v>
      </c>
      <c r="L388" s="168"/>
      <c r="M388" s="580"/>
      <c r="N388" s="161"/>
    </row>
    <row r="389" spans="1:14" s="188" customFormat="1" x14ac:dyDescent="0.25">
      <c r="A389" s="284" t="s">
        <v>408</v>
      </c>
      <c r="B389" s="11" t="s">
        <v>51</v>
      </c>
      <c r="C389" s="207">
        <v>10</v>
      </c>
      <c r="D389" s="163" t="s">
        <v>409</v>
      </c>
      <c r="E389" s="352"/>
      <c r="F389" s="168">
        <f>F390</f>
        <v>294.10000000000002</v>
      </c>
      <c r="G389" s="327"/>
      <c r="H389" s="168">
        <f>H390</f>
        <v>294.10000000000002</v>
      </c>
      <c r="I389" s="168"/>
      <c r="J389" s="497">
        <f>J390</f>
        <v>294.10000000000002</v>
      </c>
      <c r="K389" s="575">
        <f t="shared" si="141"/>
        <v>1</v>
      </c>
      <c r="L389" s="168"/>
      <c r="M389" s="580"/>
      <c r="N389" s="161"/>
    </row>
    <row r="390" spans="1:14" s="188" customFormat="1" x14ac:dyDescent="0.25">
      <c r="A390" s="283" t="s">
        <v>410</v>
      </c>
      <c r="B390" s="11" t="s">
        <v>51</v>
      </c>
      <c r="C390" s="207">
        <v>10</v>
      </c>
      <c r="D390" s="163" t="s">
        <v>411</v>
      </c>
      <c r="E390" s="352"/>
      <c r="F390" s="168">
        <f>F391</f>
        <v>294.10000000000002</v>
      </c>
      <c r="G390" s="327"/>
      <c r="H390" s="168">
        <f>H391</f>
        <v>294.10000000000002</v>
      </c>
      <c r="I390" s="168"/>
      <c r="J390" s="497">
        <f>J391</f>
        <v>294.10000000000002</v>
      </c>
      <c r="K390" s="575">
        <f t="shared" si="141"/>
        <v>1</v>
      </c>
      <c r="L390" s="168"/>
      <c r="M390" s="580"/>
      <c r="N390" s="161"/>
    </row>
    <row r="391" spans="1:14" s="188" customFormat="1" x14ac:dyDescent="0.25">
      <c r="A391" s="278" t="s">
        <v>123</v>
      </c>
      <c r="B391" s="11" t="s">
        <v>51</v>
      </c>
      <c r="C391" s="207">
        <v>10</v>
      </c>
      <c r="D391" s="163" t="s">
        <v>411</v>
      </c>
      <c r="E391" s="352">
        <v>200</v>
      </c>
      <c r="F391" s="168">
        <f>F392</f>
        <v>294.10000000000002</v>
      </c>
      <c r="G391" s="327"/>
      <c r="H391" s="168">
        <f>H392</f>
        <v>294.10000000000002</v>
      </c>
      <c r="I391" s="168"/>
      <c r="J391" s="497">
        <f>J392</f>
        <v>294.10000000000002</v>
      </c>
      <c r="K391" s="575">
        <f t="shared" si="141"/>
        <v>1</v>
      </c>
      <c r="L391" s="168"/>
      <c r="M391" s="580"/>
      <c r="N391" s="161"/>
    </row>
    <row r="392" spans="1:14" s="188" customFormat="1" ht="31.5" x14ac:dyDescent="0.25">
      <c r="A392" s="278" t="s">
        <v>54</v>
      </c>
      <c r="B392" s="11" t="s">
        <v>51</v>
      </c>
      <c r="C392" s="207">
        <v>10</v>
      </c>
      <c r="D392" s="163" t="s">
        <v>411</v>
      </c>
      <c r="E392" s="352">
        <v>240</v>
      </c>
      <c r="F392" s="168">
        <f>'ведом. 2023-2025'!AD280</f>
        <v>294.10000000000002</v>
      </c>
      <c r="G392" s="327"/>
      <c r="H392" s="168">
        <f>'ведом. 2023-2025'!AE280</f>
        <v>294.10000000000002</v>
      </c>
      <c r="I392" s="168"/>
      <c r="J392" s="497">
        <f>'ведом. 2023-2025'!AF280</f>
        <v>294.10000000000002</v>
      </c>
      <c r="K392" s="575">
        <f t="shared" si="141"/>
        <v>1</v>
      </c>
      <c r="L392" s="168"/>
      <c r="M392" s="580"/>
      <c r="N392" s="161"/>
    </row>
    <row r="393" spans="1:14" s="157" customFormat="1" x14ac:dyDescent="0.25">
      <c r="A393" s="401" t="s">
        <v>53</v>
      </c>
      <c r="B393" s="209" t="s">
        <v>51</v>
      </c>
      <c r="C393" s="4">
        <v>12</v>
      </c>
      <c r="D393" s="33"/>
      <c r="E393" s="351"/>
      <c r="F393" s="168">
        <f>F394</f>
        <v>848.9</v>
      </c>
      <c r="G393" s="168">
        <f t="shared" ref="G393:J393" si="164">G394</f>
        <v>273</v>
      </c>
      <c r="H393" s="168">
        <f>H394</f>
        <v>890.9</v>
      </c>
      <c r="I393" s="168">
        <f t="shared" si="164"/>
        <v>315</v>
      </c>
      <c r="J393" s="497">
        <f t="shared" si="164"/>
        <v>378.1</v>
      </c>
      <c r="K393" s="575">
        <f t="shared" si="141"/>
        <v>0.42440228981928391</v>
      </c>
      <c r="L393" s="168">
        <f>L394</f>
        <v>302.2</v>
      </c>
      <c r="M393" s="580">
        <f t="shared" si="145"/>
        <v>0.95936507936507931</v>
      </c>
      <c r="N393" s="161"/>
    </row>
    <row r="394" spans="1:14" s="157" customFormat="1" ht="31.5" x14ac:dyDescent="0.25">
      <c r="A394" s="280" t="s">
        <v>168</v>
      </c>
      <c r="B394" s="209" t="s">
        <v>51</v>
      </c>
      <c r="C394" s="4">
        <v>12</v>
      </c>
      <c r="D394" s="33" t="s">
        <v>105</v>
      </c>
      <c r="E394" s="352"/>
      <c r="F394" s="168">
        <f t="shared" ref="F394:J395" si="165">F395</f>
        <v>848.9</v>
      </c>
      <c r="G394" s="327">
        <f t="shared" si="165"/>
        <v>273</v>
      </c>
      <c r="H394" s="168">
        <f t="shared" si="165"/>
        <v>890.9</v>
      </c>
      <c r="I394" s="327">
        <f t="shared" si="165"/>
        <v>315</v>
      </c>
      <c r="J394" s="497">
        <f t="shared" si="165"/>
        <v>378.1</v>
      </c>
      <c r="K394" s="575">
        <f t="shared" si="141"/>
        <v>0.42440228981928391</v>
      </c>
      <c r="L394" s="168">
        <f>L395</f>
        <v>302.2</v>
      </c>
      <c r="M394" s="580">
        <f t="shared" si="145"/>
        <v>0.95936507936507931</v>
      </c>
      <c r="N394" s="161"/>
    </row>
    <row r="395" spans="1:14" s="157" customFormat="1" x14ac:dyDescent="0.25">
      <c r="A395" s="280" t="s">
        <v>169</v>
      </c>
      <c r="B395" s="209" t="s">
        <v>51</v>
      </c>
      <c r="C395" s="4">
        <v>12</v>
      </c>
      <c r="D395" s="33" t="s">
        <v>109</v>
      </c>
      <c r="E395" s="352"/>
      <c r="F395" s="168">
        <f t="shared" si="165"/>
        <v>848.9</v>
      </c>
      <c r="G395" s="327">
        <f t="shared" si="165"/>
        <v>273</v>
      </c>
      <c r="H395" s="168">
        <f t="shared" si="165"/>
        <v>890.9</v>
      </c>
      <c r="I395" s="327">
        <f t="shared" si="165"/>
        <v>315</v>
      </c>
      <c r="J395" s="497">
        <f t="shared" si="165"/>
        <v>378.1</v>
      </c>
      <c r="K395" s="575">
        <f t="shared" si="141"/>
        <v>0.42440228981928391</v>
      </c>
      <c r="L395" s="168">
        <f>L396</f>
        <v>302.2</v>
      </c>
      <c r="M395" s="580">
        <f t="shared" si="145"/>
        <v>0.95936507936507931</v>
      </c>
      <c r="N395" s="161"/>
    </row>
    <row r="396" spans="1:14" s="145" customFormat="1" x14ac:dyDescent="0.25">
      <c r="A396" s="298" t="s">
        <v>607</v>
      </c>
      <c r="B396" s="209" t="s">
        <v>51</v>
      </c>
      <c r="C396" s="4">
        <v>12</v>
      </c>
      <c r="D396" s="33" t="s">
        <v>358</v>
      </c>
      <c r="E396" s="354"/>
      <c r="F396" s="168">
        <f t="shared" ref="F396:J396" si="166">F397+F400</f>
        <v>848.9</v>
      </c>
      <c r="G396" s="327">
        <f t="shared" si="166"/>
        <v>273</v>
      </c>
      <c r="H396" s="168">
        <f t="shared" ref="H396" si="167">H397+H400</f>
        <v>890.9</v>
      </c>
      <c r="I396" s="327">
        <v>315</v>
      </c>
      <c r="J396" s="497">
        <f t="shared" si="166"/>
        <v>378.1</v>
      </c>
      <c r="K396" s="575">
        <f t="shared" si="141"/>
        <v>0.42440228981928391</v>
      </c>
      <c r="L396" s="168">
        <f>L397+L400</f>
        <v>302.2</v>
      </c>
      <c r="M396" s="580">
        <f t="shared" si="145"/>
        <v>0.95936507936507931</v>
      </c>
      <c r="N396" s="161"/>
    </row>
    <row r="397" spans="1:14" s="145" customFormat="1" x14ac:dyDescent="0.25">
      <c r="A397" s="281" t="s">
        <v>260</v>
      </c>
      <c r="B397" s="209" t="s">
        <v>51</v>
      </c>
      <c r="C397" s="4">
        <v>12</v>
      </c>
      <c r="D397" s="163" t="s">
        <v>357</v>
      </c>
      <c r="E397" s="351"/>
      <c r="F397" s="168">
        <f>F398</f>
        <v>575.9</v>
      </c>
      <c r="G397" s="327"/>
      <c r="H397" s="168">
        <f>H398</f>
        <v>575.9</v>
      </c>
      <c r="I397" s="168"/>
      <c r="J397" s="497">
        <f>J398</f>
        <v>75.900000000000006</v>
      </c>
      <c r="K397" s="575">
        <f t="shared" si="141"/>
        <v>0.13179371418649072</v>
      </c>
      <c r="L397" s="168"/>
      <c r="M397" s="580"/>
      <c r="N397" s="161"/>
    </row>
    <row r="398" spans="1:14" s="145" customFormat="1" x14ac:dyDescent="0.25">
      <c r="A398" s="401" t="s">
        <v>123</v>
      </c>
      <c r="B398" s="209" t="s">
        <v>51</v>
      </c>
      <c r="C398" s="4">
        <v>12</v>
      </c>
      <c r="D398" s="163" t="s">
        <v>357</v>
      </c>
      <c r="E398" s="352">
        <v>200</v>
      </c>
      <c r="F398" s="168">
        <f>F399</f>
        <v>575.9</v>
      </c>
      <c r="G398" s="327"/>
      <c r="H398" s="168">
        <f>H399</f>
        <v>575.9</v>
      </c>
      <c r="I398" s="168"/>
      <c r="J398" s="497">
        <f>J399</f>
        <v>75.900000000000006</v>
      </c>
      <c r="K398" s="575">
        <f t="shared" si="141"/>
        <v>0.13179371418649072</v>
      </c>
      <c r="L398" s="168"/>
      <c r="M398" s="580"/>
      <c r="N398" s="161"/>
    </row>
    <row r="399" spans="1:14" s="145" customFormat="1" ht="31.5" x14ac:dyDescent="0.25">
      <c r="A399" s="401" t="s">
        <v>54</v>
      </c>
      <c r="B399" s="209" t="s">
        <v>51</v>
      </c>
      <c r="C399" s="4">
        <v>12</v>
      </c>
      <c r="D399" s="163" t="s">
        <v>357</v>
      </c>
      <c r="E399" s="352">
        <v>240</v>
      </c>
      <c r="F399" s="168">
        <f>'ведом. 2023-2025'!AD287</f>
        <v>575.9</v>
      </c>
      <c r="G399" s="327"/>
      <c r="H399" s="168">
        <f>'ведом. 2023-2025'!AE287</f>
        <v>575.9</v>
      </c>
      <c r="I399" s="168"/>
      <c r="J399" s="497">
        <f>'ведом. 2023-2025'!AF287</f>
        <v>75.900000000000006</v>
      </c>
      <c r="K399" s="575">
        <f t="shared" ref="K399:K462" si="168">J399/H399</f>
        <v>0.13179371418649072</v>
      </c>
      <c r="L399" s="168"/>
      <c r="M399" s="580"/>
      <c r="N399" s="161"/>
    </row>
    <row r="400" spans="1:14" s="188" customFormat="1" ht="47.25" x14ac:dyDescent="0.25">
      <c r="A400" s="278" t="s">
        <v>388</v>
      </c>
      <c r="B400" s="209" t="s">
        <v>51</v>
      </c>
      <c r="C400" s="4">
        <v>12</v>
      </c>
      <c r="D400" s="33" t="s">
        <v>387</v>
      </c>
      <c r="E400" s="352"/>
      <c r="F400" s="168">
        <f t="shared" ref="F400:J401" si="169">F401</f>
        <v>273</v>
      </c>
      <c r="G400" s="327">
        <f t="shared" si="169"/>
        <v>273</v>
      </c>
      <c r="H400" s="168">
        <f t="shared" si="169"/>
        <v>315</v>
      </c>
      <c r="I400" s="327">
        <f t="shared" si="169"/>
        <v>315</v>
      </c>
      <c r="J400" s="497">
        <f t="shared" si="169"/>
        <v>302.2</v>
      </c>
      <c r="K400" s="575">
        <f t="shared" si="168"/>
        <v>0.95936507936507931</v>
      </c>
      <c r="L400" s="168">
        <f>L401</f>
        <v>302.2</v>
      </c>
      <c r="M400" s="580">
        <f t="shared" ref="M400:M462" si="170">L400/I400</f>
        <v>0.95936507936507931</v>
      </c>
      <c r="N400" s="161"/>
    </row>
    <row r="401" spans="1:14" s="188" customFormat="1" x14ac:dyDescent="0.25">
      <c r="A401" s="278" t="s">
        <v>123</v>
      </c>
      <c r="B401" s="209" t="s">
        <v>51</v>
      </c>
      <c r="C401" s="4">
        <v>12</v>
      </c>
      <c r="D401" s="33" t="s">
        <v>387</v>
      </c>
      <c r="E401" s="352">
        <v>200</v>
      </c>
      <c r="F401" s="168">
        <f t="shared" si="169"/>
        <v>273</v>
      </c>
      <c r="G401" s="327">
        <f t="shared" si="169"/>
        <v>273</v>
      </c>
      <c r="H401" s="168">
        <f t="shared" si="169"/>
        <v>315</v>
      </c>
      <c r="I401" s="327">
        <f t="shared" si="169"/>
        <v>315</v>
      </c>
      <c r="J401" s="497">
        <f t="shared" si="169"/>
        <v>302.2</v>
      </c>
      <c r="K401" s="575">
        <f t="shared" si="168"/>
        <v>0.95936507936507931</v>
      </c>
      <c r="L401" s="168">
        <f>L402</f>
        <v>302.2</v>
      </c>
      <c r="M401" s="580">
        <f t="shared" si="170"/>
        <v>0.95936507936507931</v>
      </c>
      <c r="N401" s="161"/>
    </row>
    <row r="402" spans="1:14" s="188" customFormat="1" ht="31.5" x14ac:dyDescent="0.25">
      <c r="A402" s="278" t="s">
        <v>54</v>
      </c>
      <c r="B402" s="209" t="s">
        <v>51</v>
      </c>
      <c r="C402" s="4">
        <v>12</v>
      </c>
      <c r="D402" s="33" t="s">
        <v>387</v>
      </c>
      <c r="E402" s="352">
        <v>240</v>
      </c>
      <c r="F402" s="168">
        <f>'ведом. 2023-2025'!AD290</f>
        <v>273</v>
      </c>
      <c r="G402" s="327">
        <f>F402</f>
        <v>273</v>
      </c>
      <c r="H402" s="168">
        <f>'ведом. 2023-2025'!AE290</f>
        <v>315</v>
      </c>
      <c r="I402" s="327">
        <v>315</v>
      </c>
      <c r="J402" s="497">
        <f>'ведом. 2023-2025'!AF290</f>
        <v>302.2</v>
      </c>
      <c r="K402" s="575">
        <f t="shared" si="168"/>
        <v>0.95936507936507931</v>
      </c>
      <c r="L402" s="168">
        <v>302.2</v>
      </c>
      <c r="M402" s="580">
        <f t="shared" si="170"/>
        <v>0.95936507936507931</v>
      </c>
      <c r="N402" s="161"/>
    </row>
    <row r="403" spans="1:14" s="141" customFormat="1" x14ac:dyDescent="0.25">
      <c r="A403" s="417" t="s">
        <v>3</v>
      </c>
      <c r="B403" s="211" t="s">
        <v>5</v>
      </c>
      <c r="C403" s="206"/>
      <c r="D403" s="305"/>
      <c r="E403" s="363"/>
      <c r="F403" s="170">
        <f>F404+F442+F504+F421</f>
        <v>848554.70000000007</v>
      </c>
      <c r="G403" s="373">
        <f>G404+G442+G504+G421</f>
        <v>561864.80000000005</v>
      </c>
      <c r="H403" s="170">
        <f>H404+H442+H504+H421</f>
        <v>848669.90000000014</v>
      </c>
      <c r="I403" s="373">
        <f>I404+I442+I504+I421</f>
        <v>561844.9</v>
      </c>
      <c r="J403" s="505">
        <f>J404+J442+J504+J421</f>
        <v>817154.9</v>
      </c>
      <c r="K403" s="574">
        <f t="shared" si="168"/>
        <v>0.9628654203477699</v>
      </c>
      <c r="L403" s="170">
        <f>L404+L442+L504+L421</f>
        <v>536761.9</v>
      </c>
      <c r="M403" s="581">
        <f t="shared" si="170"/>
        <v>0.95535600661321296</v>
      </c>
      <c r="N403" s="548"/>
    </row>
    <row r="404" spans="1:14" s="145" customFormat="1" x14ac:dyDescent="0.25">
      <c r="A404" s="401" t="s">
        <v>71</v>
      </c>
      <c r="B404" s="209" t="s">
        <v>5</v>
      </c>
      <c r="C404" s="4" t="s">
        <v>31</v>
      </c>
      <c r="D404" s="33"/>
      <c r="E404" s="363"/>
      <c r="F404" s="168">
        <f>F405+F411</f>
        <v>17246.8</v>
      </c>
      <c r="G404" s="168"/>
      <c r="H404" s="168">
        <f>H405+H411</f>
        <v>17246.8</v>
      </c>
      <c r="I404" s="168"/>
      <c r="J404" s="497">
        <f t="shared" ref="J404" si="171">J405+J411</f>
        <v>17244.3</v>
      </c>
      <c r="K404" s="575">
        <f t="shared" si="168"/>
        <v>0.99985504557367166</v>
      </c>
      <c r="L404" s="168"/>
      <c r="M404" s="580"/>
      <c r="N404" s="161"/>
    </row>
    <row r="405" spans="1:14" s="145" customFormat="1" x14ac:dyDescent="0.25">
      <c r="A405" s="280" t="s">
        <v>193</v>
      </c>
      <c r="B405" s="209" t="s">
        <v>5</v>
      </c>
      <c r="C405" s="4" t="s">
        <v>31</v>
      </c>
      <c r="D405" s="163" t="s">
        <v>115</v>
      </c>
      <c r="E405" s="363"/>
      <c r="F405" s="168">
        <f>F406</f>
        <v>16150.199999999999</v>
      </c>
      <c r="G405" s="327"/>
      <c r="H405" s="168">
        <f>H406</f>
        <v>16150.199999999999</v>
      </c>
      <c r="I405" s="168"/>
      <c r="J405" s="497">
        <f>J406</f>
        <v>16147.8</v>
      </c>
      <c r="K405" s="575">
        <f t="shared" si="168"/>
        <v>0.99985139502916376</v>
      </c>
      <c r="L405" s="168"/>
      <c r="M405" s="580"/>
      <c r="N405" s="161"/>
    </row>
    <row r="406" spans="1:14" s="145" customFormat="1" x14ac:dyDescent="0.25">
      <c r="A406" s="280" t="s">
        <v>611</v>
      </c>
      <c r="B406" s="209" t="s">
        <v>5</v>
      </c>
      <c r="C406" s="4" t="s">
        <v>31</v>
      </c>
      <c r="D406" s="163" t="s">
        <v>116</v>
      </c>
      <c r="E406" s="363"/>
      <c r="F406" s="168">
        <f>F407</f>
        <v>16150.199999999999</v>
      </c>
      <c r="G406" s="327"/>
      <c r="H406" s="168">
        <f>H407</f>
        <v>16150.199999999999</v>
      </c>
      <c r="I406" s="168"/>
      <c r="J406" s="497">
        <f>J407</f>
        <v>16147.8</v>
      </c>
      <c r="K406" s="575">
        <f t="shared" si="168"/>
        <v>0.99985139502916376</v>
      </c>
      <c r="L406" s="168"/>
      <c r="M406" s="580"/>
      <c r="N406" s="161"/>
    </row>
    <row r="407" spans="1:14" s="145" customFormat="1" ht="31.5" x14ac:dyDescent="0.25">
      <c r="A407" s="281" t="s">
        <v>189</v>
      </c>
      <c r="B407" s="209" t="s">
        <v>5</v>
      </c>
      <c r="C407" s="4" t="s">
        <v>31</v>
      </c>
      <c r="D407" s="163" t="s">
        <v>190</v>
      </c>
      <c r="E407" s="363"/>
      <c r="F407" s="168">
        <f>F408</f>
        <v>16150.199999999999</v>
      </c>
      <c r="G407" s="327"/>
      <c r="H407" s="168">
        <f>H408</f>
        <v>16150.199999999999</v>
      </c>
      <c r="I407" s="168"/>
      <c r="J407" s="497">
        <f>J408</f>
        <v>16147.8</v>
      </c>
      <c r="K407" s="575">
        <f t="shared" si="168"/>
        <v>0.99985139502916376</v>
      </c>
      <c r="L407" s="168"/>
      <c r="M407" s="580"/>
      <c r="N407" s="161"/>
    </row>
    <row r="408" spans="1:14" s="145" customFormat="1" x14ac:dyDescent="0.25">
      <c r="A408" s="283" t="s">
        <v>488</v>
      </c>
      <c r="B408" s="209" t="s">
        <v>5</v>
      </c>
      <c r="C408" s="4" t="s">
        <v>31</v>
      </c>
      <c r="D408" s="163" t="s">
        <v>421</v>
      </c>
      <c r="E408" s="351"/>
      <c r="F408" s="168">
        <f>F409</f>
        <v>16150.199999999999</v>
      </c>
      <c r="G408" s="327"/>
      <c r="H408" s="168">
        <f>H409</f>
        <v>16150.199999999999</v>
      </c>
      <c r="I408" s="168"/>
      <c r="J408" s="497">
        <f>J409</f>
        <v>16147.8</v>
      </c>
      <c r="K408" s="575">
        <f t="shared" si="168"/>
        <v>0.99985139502916376</v>
      </c>
      <c r="L408" s="168"/>
      <c r="M408" s="580"/>
      <c r="N408" s="161"/>
    </row>
    <row r="409" spans="1:14" s="145" customFormat="1" x14ac:dyDescent="0.25">
      <c r="A409" s="278" t="s">
        <v>123</v>
      </c>
      <c r="B409" s="209" t="s">
        <v>5</v>
      </c>
      <c r="C409" s="4" t="s">
        <v>31</v>
      </c>
      <c r="D409" s="163" t="s">
        <v>421</v>
      </c>
      <c r="E409" s="364">
        <v>200</v>
      </c>
      <c r="F409" s="168">
        <f>F410</f>
        <v>16150.199999999999</v>
      </c>
      <c r="G409" s="327"/>
      <c r="H409" s="168">
        <f>H410</f>
        <v>16150.199999999999</v>
      </c>
      <c r="I409" s="168"/>
      <c r="J409" s="497">
        <f>J410</f>
        <v>16147.8</v>
      </c>
      <c r="K409" s="575">
        <f t="shared" si="168"/>
        <v>0.99985139502916376</v>
      </c>
      <c r="L409" s="168"/>
      <c r="M409" s="580"/>
      <c r="N409" s="161"/>
    </row>
    <row r="410" spans="1:14" s="145" customFormat="1" ht="31.5" x14ac:dyDescent="0.25">
      <c r="A410" s="278" t="s">
        <v>54</v>
      </c>
      <c r="B410" s="209" t="s">
        <v>5</v>
      </c>
      <c r="C410" s="4" t="s">
        <v>31</v>
      </c>
      <c r="D410" s="163" t="s">
        <v>421</v>
      </c>
      <c r="E410" s="364">
        <v>240</v>
      </c>
      <c r="F410" s="168">
        <f>'ведом. 2023-2025'!AD298</f>
        <v>16150.199999999999</v>
      </c>
      <c r="G410" s="327"/>
      <c r="H410" s="168">
        <f>'ведом. 2023-2025'!AE298</f>
        <v>16150.199999999999</v>
      </c>
      <c r="I410" s="168"/>
      <c r="J410" s="497">
        <f>'ведом. 2023-2025'!AF298</f>
        <v>16147.8</v>
      </c>
      <c r="K410" s="575">
        <f t="shared" si="168"/>
        <v>0.99985139502916376</v>
      </c>
      <c r="L410" s="168"/>
      <c r="M410" s="580"/>
      <c r="N410" s="161"/>
    </row>
    <row r="411" spans="1:14" s="145" customFormat="1" x14ac:dyDescent="0.25">
      <c r="A411" s="280" t="s">
        <v>255</v>
      </c>
      <c r="B411" s="209" t="s">
        <v>5</v>
      </c>
      <c r="C411" s="4" t="s">
        <v>31</v>
      </c>
      <c r="D411" s="163" t="s">
        <v>256</v>
      </c>
      <c r="E411" s="351"/>
      <c r="F411" s="168">
        <f>F412</f>
        <v>1096.5999999999999</v>
      </c>
      <c r="G411" s="327"/>
      <c r="H411" s="168">
        <f>H412</f>
        <v>1096.5999999999999</v>
      </c>
      <c r="I411" s="168"/>
      <c r="J411" s="497">
        <f t="shared" ref="J411" si="172">J412</f>
        <v>1096.5</v>
      </c>
      <c r="K411" s="575">
        <f t="shared" si="168"/>
        <v>0.99990880904614265</v>
      </c>
      <c r="L411" s="168"/>
      <c r="M411" s="580"/>
      <c r="N411" s="161"/>
    </row>
    <row r="412" spans="1:14" s="188" customFormat="1" ht="31.5" x14ac:dyDescent="0.25">
      <c r="A412" s="299" t="s">
        <v>626</v>
      </c>
      <c r="B412" s="209" t="s">
        <v>5</v>
      </c>
      <c r="C412" s="4" t="s">
        <v>31</v>
      </c>
      <c r="D412" s="163" t="s">
        <v>257</v>
      </c>
      <c r="E412" s="351"/>
      <c r="F412" s="168">
        <f>F413+F417</f>
        <v>1096.5999999999999</v>
      </c>
      <c r="G412" s="327"/>
      <c r="H412" s="168">
        <f>H413+H417</f>
        <v>1096.5999999999999</v>
      </c>
      <c r="I412" s="168"/>
      <c r="J412" s="497">
        <f t="shared" ref="J412" si="173">J413+J417</f>
        <v>1096.5</v>
      </c>
      <c r="K412" s="575">
        <f t="shared" si="168"/>
        <v>0.99990880904614265</v>
      </c>
      <c r="L412" s="168"/>
      <c r="M412" s="580"/>
      <c r="N412" s="161"/>
    </row>
    <row r="413" spans="1:14" s="188" customFormat="1" ht="31.5" x14ac:dyDescent="0.25">
      <c r="A413" s="301" t="s">
        <v>341</v>
      </c>
      <c r="B413" s="209" t="s">
        <v>5</v>
      </c>
      <c r="C413" s="4" t="s">
        <v>31</v>
      </c>
      <c r="D413" s="163" t="s">
        <v>630</v>
      </c>
      <c r="E413" s="351"/>
      <c r="F413" s="168">
        <f>F414</f>
        <v>100</v>
      </c>
      <c r="G413" s="327"/>
      <c r="H413" s="168">
        <f>H414</f>
        <v>100</v>
      </c>
      <c r="I413" s="168"/>
      <c r="J413" s="497">
        <f t="shared" ref="J413:J415" si="174">J414</f>
        <v>100</v>
      </c>
      <c r="K413" s="575">
        <f t="shared" si="168"/>
        <v>1</v>
      </c>
      <c r="L413" s="168"/>
      <c r="M413" s="580"/>
      <c r="N413" s="161"/>
    </row>
    <row r="414" spans="1:14" s="188" customFormat="1" x14ac:dyDescent="0.25">
      <c r="A414" s="301" t="s">
        <v>368</v>
      </c>
      <c r="B414" s="209" t="s">
        <v>5</v>
      </c>
      <c r="C414" s="4" t="s">
        <v>31</v>
      </c>
      <c r="D414" s="163" t="s">
        <v>631</v>
      </c>
      <c r="E414" s="351"/>
      <c r="F414" s="168">
        <f>F415</f>
        <v>100</v>
      </c>
      <c r="G414" s="327"/>
      <c r="H414" s="168">
        <f>H415</f>
        <v>100</v>
      </c>
      <c r="I414" s="168"/>
      <c r="J414" s="497">
        <f t="shared" si="174"/>
        <v>100</v>
      </c>
      <c r="K414" s="575">
        <f t="shared" si="168"/>
        <v>1</v>
      </c>
      <c r="L414" s="168"/>
      <c r="M414" s="580"/>
      <c r="N414" s="161"/>
    </row>
    <row r="415" spans="1:14" s="188" customFormat="1" x14ac:dyDescent="0.25">
      <c r="A415" s="297" t="s">
        <v>123</v>
      </c>
      <c r="B415" s="209" t="s">
        <v>5</v>
      </c>
      <c r="C415" s="4" t="s">
        <v>31</v>
      </c>
      <c r="D415" s="163" t="s">
        <v>631</v>
      </c>
      <c r="E415" s="354" t="s">
        <v>39</v>
      </c>
      <c r="F415" s="168">
        <f>F416</f>
        <v>100</v>
      </c>
      <c r="G415" s="327"/>
      <c r="H415" s="168">
        <f>H416</f>
        <v>100</v>
      </c>
      <c r="I415" s="168"/>
      <c r="J415" s="497">
        <f t="shared" si="174"/>
        <v>100</v>
      </c>
      <c r="K415" s="575">
        <f t="shared" si="168"/>
        <v>1</v>
      </c>
      <c r="L415" s="168"/>
      <c r="M415" s="580"/>
      <c r="N415" s="161"/>
    </row>
    <row r="416" spans="1:14" s="188" customFormat="1" ht="31.5" x14ac:dyDescent="0.25">
      <c r="A416" s="297" t="s">
        <v>54</v>
      </c>
      <c r="B416" s="209" t="s">
        <v>5</v>
      </c>
      <c r="C416" s="4" t="s">
        <v>31</v>
      </c>
      <c r="D416" s="163" t="s">
        <v>631</v>
      </c>
      <c r="E416" s="354" t="s">
        <v>67</v>
      </c>
      <c r="F416" s="168">
        <f>'ведом. 2023-2025'!AD870</f>
        <v>100</v>
      </c>
      <c r="G416" s="327"/>
      <c r="H416" s="168">
        <f>'ведом. 2023-2025'!AE870</f>
        <v>100</v>
      </c>
      <c r="I416" s="168"/>
      <c r="J416" s="497">
        <f>'ведом. 2023-2025'!AF870</f>
        <v>100</v>
      </c>
      <c r="K416" s="575">
        <f t="shared" si="168"/>
        <v>1</v>
      </c>
      <c r="L416" s="168"/>
      <c r="M416" s="580"/>
      <c r="N416" s="161"/>
    </row>
    <row r="417" spans="1:14" s="145" customFormat="1" ht="31.5" x14ac:dyDescent="0.25">
      <c r="A417" s="282" t="s">
        <v>343</v>
      </c>
      <c r="B417" s="209" t="s">
        <v>5</v>
      </c>
      <c r="C417" s="4" t="s">
        <v>31</v>
      </c>
      <c r="D417" s="163" t="s">
        <v>628</v>
      </c>
      <c r="E417" s="351"/>
      <c r="F417" s="168">
        <f>F418</f>
        <v>996.59999999999991</v>
      </c>
      <c r="G417" s="168"/>
      <c r="H417" s="168">
        <f t="shared" ref="H417:J417" si="175">H418</f>
        <v>996.59999999999991</v>
      </c>
      <c r="I417" s="168"/>
      <c r="J417" s="497">
        <f t="shared" si="175"/>
        <v>996.5</v>
      </c>
      <c r="K417" s="575">
        <f t="shared" si="168"/>
        <v>0.99989965884005627</v>
      </c>
      <c r="L417" s="168"/>
      <c r="M417" s="580"/>
      <c r="N417" s="161"/>
    </row>
    <row r="418" spans="1:14" s="145" customFormat="1" x14ac:dyDescent="0.25">
      <c r="A418" s="282" t="s">
        <v>748</v>
      </c>
      <c r="B418" s="209" t="s">
        <v>5</v>
      </c>
      <c r="C418" s="4" t="s">
        <v>31</v>
      </c>
      <c r="D418" s="163" t="s">
        <v>749</v>
      </c>
      <c r="E418" s="351"/>
      <c r="F418" s="168">
        <f t="shared" ref="F418:J419" si="176">F419</f>
        <v>996.59999999999991</v>
      </c>
      <c r="G418" s="327"/>
      <c r="H418" s="168">
        <f t="shared" si="176"/>
        <v>996.59999999999991</v>
      </c>
      <c r="I418" s="168"/>
      <c r="J418" s="497">
        <f t="shared" si="176"/>
        <v>996.5</v>
      </c>
      <c r="K418" s="575">
        <f t="shared" si="168"/>
        <v>0.99989965884005627</v>
      </c>
      <c r="L418" s="168"/>
      <c r="M418" s="580"/>
      <c r="N418" s="161"/>
    </row>
    <row r="419" spans="1:14" s="145" customFormat="1" x14ac:dyDescent="0.25">
      <c r="A419" s="278" t="s">
        <v>44</v>
      </c>
      <c r="B419" s="209" t="s">
        <v>5</v>
      </c>
      <c r="C419" s="4" t="s">
        <v>31</v>
      </c>
      <c r="D419" s="163" t="s">
        <v>749</v>
      </c>
      <c r="E419" s="354" t="s">
        <v>373</v>
      </c>
      <c r="F419" s="168">
        <f t="shared" si="176"/>
        <v>996.59999999999991</v>
      </c>
      <c r="G419" s="327"/>
      <c r="H419" s="168">
        <f t="shared" si="176"/>
        <v>996.59999999999991</v>
      </c>
      <c r="I419" s="168"/>
      <c r="J419" s="497">
        <f t="shared" si="176"/>
        <v>996.5</v>
      </c>
      <c r="K419" s="575">
        <f t="shared" si="168"/>
        <v>0.99989965884005627</v>
      </c>
      <c r="L419" s="168"/>
      <c r="M419" s="580"/>
      <c r="N419" s="161"/>
    </row>
    <row r="420" spans="1:14" s="145" customFormat="1" ht="31.5" x14ac:dyDescent="0.25">
      <c r="A420" s="278" t="s">
        <v>124</v>
      </c>
      <c r="B420" s="209" t="s">
        <v>5</v>
      </c>
      <c r="C420" s="4" t="s">
        <v>31</v>
      </c>
      <c r="D420" s="163" t="s">
        <v>749</v>
      </c>
      <c r="E420" s="354" t="s">
        <v>374</v>
      </c>
      <c r="F420" s="168">
        <f>'ведом. 2023-2025'!AD304</f>
        <v>996.59999999999991</v>
      </c>
      <c r="G420" s="327"/>
      <c r="H420" s="168">
        <f>'ведом. 2023-2025'!AE304</f>
        <v>996.59999999999991</v>
      </c>
      <c r="I420" s="168"/>
      <c r="J420" s="497">
        <f>'ведом. 2023-2025'!AF304</f>
        <v>996.5</v>
      </c>
      <c r="K420" s="575">
        <f t="shared" si="168"/>
        <v>0.99989965884005627</v>
      </c>
      <c r="L420" s="168"/>
      <c r="M420" s="580"/>
      <c r="N420" s="161"/>
    </row>
    <row r="421" spans="1:14" s="145" customFormat="1" x14ac:dyDescent="0.25">
      <c r="A421" s="401" t="s">
        <v>345</v>
      </c>
      <c r="B421" s="209" t="s">
        <v>5</v>
      </c>
      <c r="C421" s="4" t="s">
        <v>32</v>
      </c>
      <c r="D421" s="309"/>
      <c r="E421" s="354"/>
      <c r="F421" s="168">
        <f>F422+F437</f>
        <v>63295.5</v>
      </c>
      <c r="G421" s="327">
        <f t="shared" ref="G421:I421" si="177">G422</f>
        <v>44636.9</v>
      </c>
      <c r="H421" s="168">
        <f>H422+H437</f>
        <v>63295.5</v>
      </c>
      <c r="I421" s="327">
        <f t="shared" si="177"/>
        <v>44636.9</v>
      </c>
      <c r="J421" s="497">
        <f>J422+J437</f>
        <v>33590.400000000001</v>
      </c>
      <c r="K421" s="575">
        <f t="shared" si="168"/>
        <v>0.53069175533805724</v>
      </c>
      <c r="L421" s="168">
        <f>L422</f>
        <v>19627.2</v>
      </c>
      <c r="M421" s="580">
        <f t="shared" si="170"/>
        <v>0.43970795462946577</v>
      </c>
      <c r="N421" s="161"/>
    </row>
    <row r="422" spans="1:14" s="188" customFormat="1" ht="31.5" x14ac:dyDescent="0.25">
      <c r="A422" s="421" t="s">
        <v>685</v>
      </c>
      <c r="B422" s="213" t="s">
        <v>5</v>
      </c>
      <c r="C422" s="341" t="s">
        <v>32</v>
      </c>
      <c r="D422" s="163" t="s">
        <v>114</v>
      </c>
      <c r="E422" s="365"/>
      <c r="F422" s="168">
        <f>F423+F432</f>
        <v>53295.5</v>
      </c>
      <c r="G422" s="327">
        <f>G423+G432</f>
        <v>44636.9</v>
      </c>
      <c r="H422" s="168">
        <f>H423+H432</f>
        <v>53295.5</v>
      </c>
      <c r="I422" s="327">
        <f>I423+I432</f>
        <v>44636.9</v>
      </c>
      <c r="J422" s="497">
        <f>J423+J432</f>
        <v>23590.400000000001</v>
      </c>
      <c r="K422" s="575">
        <f t="shared" si="168"/>
        <v>0.44263399348913141</v>
      </c>
      <c r="L422" s="168">
        <f>L423+L432</f>
        <v>19627.2</v>
      </c>
      <c r="M422" s="580">
        <f t="shared" si="170"/>
        <v>0.43970795462946577</v>
      </c>
      <c r="N422" s="161"/>
    </row>
    <row r="423" spans="1:14" s="188" customFormat="1" x14ac:dyDescent="0.25">
      <c r="A423" s="421" t="s">
        <v>608</v>
      </c>
      <c r="B423" s="213" t="s">
        <v>5</v>
      </c>
      <c r="C423" s="341" t="s">
        <v>32</v>
      </c>
      <c r="D423" s="163" t="s">
        <v>424</v>
      </c>
      <c r="E423" s="365"/>
      <c r="F423" s="168">
        <f>F424</f>
        <v>28295.5</v>
      </c>
      <c r="G423" s="168">
        <f t="shared" ref="G423:J423" si="178">G424</f>
        <v>19636.900000000001</v>
      </c>
      <c r="H423" s="168">
        <f>H424</f>
        <v>28295.5</v>
      </c>
      <c r="I423" s="168">
        <f t="shared" si="178"/>
        <v>19636.900000000001</v>
      </c>
      <c r="J423" s="497">
        <f t="shared" si="178"/>
        <v>23590.400000000001</v>
      </c>
      <c r="K423" s="575">
        <f t="shared" si="168"/>
        <v>0.83371560848898241</v>
      </c>
      <c r="L423" s="168">
        <f>L424</f>
        <v>19627.2</v>
      </c>
      <c r="M423" s="580">
        <f t="shared" si="170"/>
        <v>0.99950603201116262</v>
      </c>
      <c r="N423" s="161"/>
    </row>
    <row r="424" spans="1:14" s="188" customFormat="1" ht="31.5" x14ac:dyDescent="0.25">
      <c r="A424" s="421" t="s">
        <v>501</v>
      </c>
      <c r="B424" s="213" t="s">
        <v>5</v>
      </c>
      <c r="C424" s="341" t="s">
        <v>32</v>
      </c>
      <c r="D424" s="334" t="s">
        <v>500</v>
      </c>
      <c r="E424" s="365"/>
      <c r="F424" s="168">
        <f>F428+F425</f>
        <v>28295.5</v>
      </c>
      <c r="G424" s="168">
        <f t="shared" ref="G424:J424" si="179">G428+G425</f>
        <v>19636.900000000001</v>
      </c>
      <c r="H424" s="168">
        <f t="shared" si="179"/>
        <v>28295.5</v>
      </c>
      <c r="I424" s="168">
        <f t="shared" ref="I424" si="180">I428+I425</f>
        <v>19636.900000000001</v>
      </c>
      <c r="J424" s="497">
        <f t="shared" si="179"/>
        <v>23590.400000000001</v>
      </c>
      <c r="K424" s="575">
        <f t="shared" si="168"/>
        <v>0.83371560848898241</v>
      </c>
      <c r="L424" s="168">
        <f>L428+L425</f>
        <v>19627.2</v>
      </c>
      <c r="M424" s="580">
        <f t="shared" si="170"/>
        <v>0.99950603201116262</v>
      </c>
      <c r="N424" s="161"/>
    </row>
    <row r="425" spans="1:14" s="188" customFormat="1" x14ac:dyDescent="0.25">
      <c r="A425" s="403" t="s">
        <v>756</v>
      </c>
      <c r="B425" s="1" t="s">
        <v>5</v>
      </c>
      <c r="C425" s="4" t="s">
        <v>32</v>
      </c>
      <c r="D425" s="428" t="s">
        <v>757</v>
      </c>
      <c r="E425" s="317"/>
      <c r="F425" s="168">
        <f>F426</f>
        <v>4693.5</v>
      </c>
      <c r="G425" s="168"/>
      <c r="H425" s="168">
        <f>H426</f>
        <v>4693.5</v>
      </c>
      <c r="I425" s="168"/>
      <c r="J425" s="497">
        <f t="shared" ref="J425:J426" si="181">J426</f>
        <v>0</v>
      </c>
      <c r="K425" s="575">
        <f t="shared" si="168"/>
        <v>0</v>
      </c>
      <c r="L425" s="168"/>
      <c r="M425" s="580"/>
      <c r="N425" s="161"/>
    </row>
    <row r="426" spans="1:14" s="188" customFormat="1" x14ac:dyDescent="0.25">
      <c r="A426" s="278" t="s">
        <v>123</v>
      </c>
      <c r="B426" s="1" t="s">
        <v>5</v>
      </c>
      <c r="C426" s="4" t="s">
        <v>32</v>
      </c>
      <c r="D426" s="428" t="s">
        <v>757</v>
      </c>
      <c r="E426" s="317" t="s">
        <v>39</v>
      </c>
      <c r="F426" s="168">
        <f>F427</f>
        <v>4693.5</v>
      </c>
      <c r="G426" s="168"/>
      <c r="H426" s="168">
        <f>H427</f>
        <v>4693.5</v>
      </c>
      <c r="I426" s="168"/>
      <c r="J426" s="497">
        <f t="shared" si="181"/>
        <v>0</v>
      </c>
      <c r="K426" s="575">
        <f t="shared" si="168"/>
        <v>0</v>
      </c>
      <c r="L426" s="168"/>
      <c r="M426" s="580"/>
      <c r="N426" s="161"/>
    </row>
    <row r="427" spans="1:14" s="188" customFormat="1" ht="31.5" x14ac:dyDescent="0.25">
      <c r="A427" s="278" t="s">
        <v>54</v>
      </c>
      <c r="B427" s="1" t="s">
        <v>5</v>
      </c>
      <c r="C427" s="4" t="s">
        <v>32</v>
      </c>
      <c r="D427" s="428" t="s">
        <v>757</v>
      </c>
      <c r="E427" s="317" t="s">
        <v>67</v>
      </c>
      <c r="F427" s="168">
        <f>'ведом. 2023-2025'!AD877</f>
        <v>4693.5</v>
      </c>
      <c r="G427" s="327"/>
      <c r="H427" s="168">
        <f>'ведом. 2023-2025'!AE877</f>
        <v>4693.5</v>
      </c>
      <c r="I427" s="168"/>
      <c r="J427" s="497">
        <f>'ведом. 2023-2025'!AF877</f>
        <v>0</v>
      </c>
      <c r="K427" s="575">
        <f t="shared" si="168"/>
        <v>0</v>
      </c>
      <c r="L427" s="168"/>
      <c r="M427" s="580"/>
      <c r="N427" s="161"/>
    </row>
    <row r="428" spans="1:14" s="188" customFormat="1" x14ac:dyDescent="0.25">
      <c r="A428" s="421" t="s">
        <v>638</v>
      </c>
      <c r="B428" s="213" t="s">
        <v>5</v>
      </c>
      <c r="C428" s="341" t="s">
        <v>32</v>
      </c>
      <c r="D428" s="307" t="s">
        <v>639</v>
      </c>
      <c r="E428" s="365"/>
      <c r="F428" s="168">
        <f>F429</f>
        <v>23602</v>
      </c>
      <c r="G428" s="327">
        <f t="shared" ref="G428:J428" si="182">G429</f>
        <v>19636.900000000001</v>
      </c>
      <c r="H428" s="168">
        <f>H429</f>
        <v>23602</v>
      </c>
      <c r="I428" s="327">
        <f t="shared" si="182"/>
        <v>19636.900000000001</v>
      </c>
      <c r="J428" s="497">
        <f t="shared" si="182"/>
        <v>23590.400000000001</v>
      </c>
      <c r="K428" s="575">
        <f t="shared" si="168"/>
        <v>0.99950851622743841</v>
      </c>
      <c r="L428" s="168">
        <f>L429</f>
        <v>19627.2</v>
      </c>
      <c r="M428" s="580">
        <f t="shared" si="170"/>
        <v>0.99950603201116262</v>
      </c>
      <c r="N428" s="161"/>
    </row>
    <row r="429" spans="1:14" s="188" customFormat="1" ht="31.5" x14ac:dyDescent="0.25">
      <c r="A429" s="403" t="s">
        <v>673</v>
      </c>
      <c r="B429" s="213" t="s">
        <v>5</v>
      </c>
      <c r="C429" s="341" t="s">
        <v>32</v>
      </c>
      <c r="D429" s="307" t="s">
        <v>672</v>
      </c>
      <c r="E429" s="365"/>
      <c r="F429" s="168">
        <f>F430</f>
        <v>23602</v>
      </c>
      <c r="G429" s="327">
        <f>G430</f>
        <v>19636.900000000001</v>
      </c>
      <c r="H429" s="168">
        <f>H430</f>
        <v>23602</v>
      </c>
      <c r="I429" s="327">
        <f>I430</f>
        <v>19636.900000000001</v>
      </c>
      <c r="J429" s="497">
        <f t="shared" ref="J429:J430" si="183">J430</f>
        <v>23590.400000000001</v>
      </c>
      <c r="K429" s="575">
        <f t="shared" si="168"/>
        <v>0.99950851622743841</v>
      </c>
      <c r="L429" s="168">
        <f>L430</f>
        <v>19627.2</v>
      </c>
      <c r="M429" s="580">
        <f t="shared" si="170"/>
        <v>0.99950603201116262</v>
      </c>
      <c r="N429" s="161"/>
    </row>
    <row r="430" spans="1:14" s="188" customFormat="1" x14ac:dyDescent="0.25">
      <c r="A430" s="411" t="s">
        <v>460</v>
      </c>
      <c r="B430" s="213" t="s">
        <v>5</v>
      </c>
      <c r="C430" s="341" t="s">
        <v>32</v>
      </c>
      <c r="D430" s="307" t="s">
        <v>672</v>
      </c>
      <c r="E430" s="354" t="s">
        <v>158</v>
      </c>
      <c r="F430" s="168">
        <f>'ведом. 2023-2025'!AD881</f>
        <v>23602</v>
      </c>
      <c r="G430" s="327">
        <f>G431</f>
        <v>19636.900000000001</v>
      </c>
      <c r="H430" s="168">
        <f>H431</f>
        <v>23602</v>
      </c>
      <c r="I430" s="327">
        <f>I431</f>
        <v>19636.900000000001</v>
      </c>
      <c r="J430" s="497">
        <f t="shared" si="183"/>
        <v>23590.400000000001</v>
      </c>
      <c r="K430" s="575">
        <f t="shared" si="168"/>
        <v>0.99950851622743841</v>
      </c>
      <c r="L430" s="168">
        <f>L431</f>
        <v>19627.2</v>
      </c>
      <c r="M430" s="580">
        <f t="shared" si="170"/>
        <v>0.99950603201116262</v>
      </c>
      <c r="N430" s="161"/>
    </row>
    <row r="431" spans="1:14" s="188" customFormat="1" x14ac:dyDescent="0.25">
      <c r="A431" s="278" t="s">
        <v>9</v>
      </c>
      <c r="B431" s="213" t="s">
        <v>5</v>
      </c>
      <c r="C431" s="341" t="s">
        <v>32</v>
      </c>
      <c r="D431" s="307" t="s">
        <v>672</v>
      </c>
      <c r="E431" s="354" t="s">
        <v>159</v>
      </c>
      <c r="F431" s="168">
        <f>'ведом. 2023-2025'!AD881</f>
        <v>23602</v>
      </c>
      <c r="G431" s="327">
        <v>19636.900000000001</v>
      </c>
      <c r="H431" s="168">
        <f>'ведом. 2023-2025'!AE881</f>
        <v>23602</v>
      </c>
      <c r="I431" s="327">
        <v>19636.900000000001</v>
      </c>
      <c r="J431" s="497">
        <f>'ведом. 2023-2025'!AF881</f>
        <v>23590.400000000001</v>
      </c>
      <c r="K431" s="575">
        <f t="shared" si="168"/>
        <v>0.99950851622743841</v>
      </c>
      <c r="L431" s="168">
        <v>19627.2</v>
      </c>
      <c r="M431" s="580">
        <f t="shared" si="170"/>
        <v>0.99950603201116262</v>
      </c>
      <c r="N431" s="161"/>
    </row>
    <row r="432" spans="1:14" s="188" customFormat="1" x14ac:dyDescent="0.25">
      <c r="A432" s="278" t="s">
        <v>609</v>
      </c>
      <c r="B432" s="213" t="s">
        <v>5</v>
      </c>
      <c r="C432" s="341" t="s">
        <v>32</v>
      </c>
      <c r="D432" s="334" t="s">
        <v>483</v>
      </c>
      <c r="E432" s="354"/>
      <c r="F432" s="168">
        <f t="shared" ref="F432:J435" si="184">F433</f>
        <v>25000</v>
      </c>
      <c r="G432" s="327">
        <f t="shared" si="184"/>
        <v>25000</v>
      </c>
      <c r="H432" s="168">
        <f t="shared" si="184"/>
        <v>25000</v>
      </c>
      <c r="I432" s="327">
        <f t="shared" si="184"/>
        <v>25000</v>
      </c>
      <c r="J432" s="497">
        <f t="shared" si="184"/>
        <v>0</v>
      </c>
      <c r="K432" s="575">
        <f t="shared" si="168"/>
        <v>0</v>
      </c>
      <c r="L432" s="168"/>
      <c r="M432" s="580"/>
      <c r="N432" s="161"/>
    </row>
    <row r="433" spans="1:14" s="188" customFormat="1" ht="31.5" x14ac:dyDescent="0.25">
      <c r="A433" s="278" t="s">
        <v>610</v>
      </c>
      <c r="B433" s="213" t="s">
        <v>5</v>
      </c>
      <c r="C433" s="341" t="s">
        <v>32</v>
      </c>
      <c r="D433" s="163" t="s">
        <v>485</v>
      </c>
      <c r="E433" s="354"/>
      <c r="F433" s="168">
        <f t="shared" si="184"/>
        <v>25000</v>
      </c>
      <c r="G433" s="327">
        <f t="shared" si="184"/>
        <v>25000</v>
      </c>
      <c r="H433" s="168">
        <f t="shared" si="184"/>
        <v>25000</v>
      </c>
      <c r="I433" s="327">
        <f t="shared" si="184"/>
        <v>25000</v>
      </c>
      <c r="J433" s="497">
        <f t="shared" si="184"/>
        <v>0</v>
      </c>
      <c r="K433" s="575">
        <f t="shared" si="168"/>
        <v>0</v>
      </c>
      <c r="L433" s="168"/>
      <c r="M433" s="580"/>
      <c r="N433" s="161"/>
    </row>
    <row r="434" spans="1:14" s="188" customFormat="1" x14ac:dyDescent="0.25">
      <c r="A434" s="278" t="s">
        <v>435</v>
      </c>
      <c r="B434" s="213" t="s">
        <v>5</v>
      </c>
      <c r="C434" s="341" t="s">
        <v>32</v>
      </c>
      <c r="D434" s="163" t="s">
        <v>640</v>
      </c>
      <c r="E434" s="354"/>
      <c r="F434" s="168">
        <f t="shared" si="184"/>
        <v>25000</v>
      </c>
      <c r="G434" s="327">
        <f t="shared" si="184"/>
        <v>25000</v>
      </c>
      <c r="H434" s="168">
        <f t="shared" si="184"/>
        <v>25000</v>
      </c>
      <c r="I434" s="327">
        <f t="shared" si="184"/>
        <v>25000</v>
      </c>
      <c r="J434" s="497">
        <f t="shared" si="184"/>
        <v>0</v>
      </c>
      <c r="K434" s="575">
        <f t="shared" si="168"/>
        <v>0</v>
      </c>
      <c r="L434" s="168"/>
      <c r="M434" s="580"/>
      <c r="N434" s="161"/>
    </row>
    <row r="435" spans="1:14" s="188" customFormat="1" x14ac:dyDescent="0.25">
      <c r="A435" s="278" t="s">
        <v>44</v>
      </c>
      <c r="B435" s="213" t="s">
        <v>5</v>
      </c>
      <c r="C435" s="341" t="s">
        <v>32</v>
      </c>
      <c r="D435" s="163" t="s">
        <v>640</v>
      </c>
      <c r="E435" s="364">
        <v>800</v>
      </c>
      <c r="F435" s="168">
        <f t="shared" si="184"/>
        <v>25000</v>
      </c>
      <c r="G435" s="327">
        <f t="shared" si="184"/>
        <v>25000</v>
      </c>
      <c r="H435" s="168">
        <f t="shared" si="184"/>
        <v>25000</v>
      </c>
      <c r="I435" s="327">
        <f t="shared" si="184"/>
        <v>25000</v>
      </c>
      <c r="J435" s="497">
        <f t="shared" si="184"/>
        <v>0</v>
      </c>
      <c r="K435" s="575">
        <f t="shared" si="168"/>
        <v>0</v>
      </c>
      <c r="L435" s="168"/>
      <c r="M435" s="580"/>
      <c r="N435" s="161"/>
    </row>
    <row r="436" spans="1:14" s="188" customFormat="1" ht="31.5" x14ac:dyDescent="0.25">
      <c r="A436" s="278" t="s">
        <v>124</v>
      </c>
      <c r="B436" s="213" t="s">
        <v>5</v>
      </c>
      <c r="C436" s="341" t="s">
        <v>32</v>
      </c>
      <c r="D436" s="163" t="s">
        <v>640</v>
      </c>
      <c r="E436" s="364">
        <v>810</v>
      </c>
      <c r="F436" s="168">
        <f>'ведом. 2023-2025'!AD311</f>
        <v>25000</v>
      </c>
      <c r="G436" s="327">
        <v>25000</v>
      </c>
      <c r="H436" s="168">
        <f>'ведом. 2023-2025'!AE311</f>
        <v>25000</v>
      </c>
      <c r="I436" s="327">
        <v>25000</v>
      </c>
      <c r="J436" s="497">
        <f>'ведом. 2023-2025'!AF311</f>
        <v>0</v>
      </c>
      <c r="K436" s="575">
        <f t="shared" si="168"/>
        <v>0</v>
      </c>
      <c r="L436" s="168"/>
      <c r="M436" s="580"/>
      <c r="N436" s="161"/>
    </row>
    <row r="437" spans="1:14" s="188" customFormat="1" x14ac:dyDescent="0.25">
      <c r="A437" s="297" t="s">
        <v>354</v>
      </c>
      <c r="B437" s="1" t="s">
        <v>5</v>
      </c>
      <c r="C437" s="4" t="s">
        <v>32</v>
      </c>
      <c r="D437" s="308" t="s">
        <v>140</v>
      </c>
      <c r="E437" s="320"/>
      <c r="F437" s="168">
        <f>F438</f>
        <v>10000</v>
      </c>
      <c r="G437" s="168"/>
      <c r="H437" s="168">
        <f>H438</f>
        <v>10000</v>
      </c>
      <c r="I437" s="168"/>
      <c r="J437" s="497">
        <f t="shared" ref="J437:J440" si="185">J438</f>
        <v>10000</v>
      </c>
      <c r="K437" s="575">
        <f t="shared" si="168"/>
        <v>1</v>
      </c>
      <c r="L437" s="168"/>
      <c r="M437" s="580"/>
      <c r="N437" s="161"/>
    </row>
    <row r="438" spans="1:14" s="188" customFormat="1" x14ac:dyDescent="0.25">
      <c r="A438" s="278" t="s">
        <v>470</v>
      </c>
      <c r="B438" s="1" t="s">
        <v>5</v>
      </c>
      <c r="C438" s="4" t="s">
        <v>32</v>
      </c>
      <c r="D438" s="308" t="s">
        <v>471</v>
      </c>
      <c r="E438" s="320"/>
      <c r="F438" s="168">
        <f>F439</f>
        <v>10000</v>
      </c>
      <c r="G438" s="168"/>
      <c r="H438" s="168">
        <f>H439</f>
        <v>10000</v>
      </c>
      <c r="I438" s="168"/>
      <c r="J438" s="497">
        <f t="shared" si="185"/>
        <v>10000</v>
      </c>
      <c r="K438" s="575">
        <f t="shared" si="168"/>
        <v>1</v>
      </c>
      <c r="L438" s="168"/>
      <c r="M438" s="580"/>
      <c r="N438" s="161"/>
    </row>
    <row r="439" spans="1:14" s="188" customFormat="1" ht="47.25" x14ac:dyDescent="0.25">
      <c r="A439" s="278" t="s">
        <v>788</v>
      </c>
      <c r="B439" s="1" t="s">
        <v>5</v>
      </c>
      <c r="C439" s="4" t="s">
        <v>32</v>
      </c>
      <c r="D439" s="308" t="s">
        <v>787</v>
      </c>
      <c r="E439" s="320"/>
      <c r="F439" s="168">
        <f>F440</f>
        <v>10000</v>
      </c>
      <c r="G439" s="168"/>
      <c r="H439" s="168">
        <f>H440</f>
        <v>10000</v>
      </c>
      <c r="I439" s="168"/>
      <c r="J439" s="497">
        <f t="shared" si="185"/>
        <v>10000</v>
      </c>
      <c r="K439" s="575">
        <f t="shared" si="168"/>
        <v>1</v>
      </c>
      <c r="L439" s="168"/>
      <c r="M439" s="580"/>
      <c r="N439" s="161"/>
    </row>
    <row r="440" spans="1:14" s="188" customFormat="1" x14ac:dyDescent="0.25">
      <c r="A440" s="278" t="s">
        <v>44</v>
      </c>
      <c r="B440" s="1" t="s">
        <v>5</v>
      </c>
      <c r="C440" s="4" t="s">
        <v>32</v>
      </c>
      <c r="D440" s="308" t="s">
        <v>787</v>
      </c>
      <c r="E440" s="320">
        <v>800</v>
      </c>
      <c r="F440" s="168">
        <f>F441</f>
        <v>10000</v>
      </c>
      <c r="G440" s="168"/>
      <c r="H440" s="168">
        <f>H441</f>
        <v>10000</v>
      </c>
      <c r="I440" s="168"/>
      <c r="J440" s="497">
        <f t="shared" si="185"/>
        <v>10000</v>
      </c>
      <c r="K440" s="575">
        <f t="shared" si="168"/>
        <v>1</v>
      </c>
      <c r="L440" s="168"/>
      <c r="M440" s="580"/>
      <c r="N440" s="161"/>
    </row>
    <row r="441" spans="1:14" s="188" customFormat="1" ht="31.5" x14ac:dyDescent="0.25">
      <c r="A441" s="278" t="s">
        <v>124</v>
      </c>
      <c r="B441" s="1" t="s">
        <v>5</v>
      </c>
      <c r="C441" s="4" t="s">
        <v>32</v>
      </c>
      <c r="D441" s="308" t="s">
        <v>787</v>
      </c>
      <c r="E441" s="320">
        <v>810</v>
      </c>
      <c r="F441" s="168">
        <f>'ведом. 2023-2025'!AD316</f>
        <v>10000</v>
      </c>
      <c r="G441" s="327"/>
      <c r="H441" s="168">
        <f>'ведом. 2023-2025'!AE316</f>
        <v>10000</v>
      </c>
      <c r="I441" s="168"/>
      <c r="J441" s="497">
        <f>'ведом. 2023-2025'!AF316</f>
        <v>10000</v>
      </c>
      <c r="K441" s="575">
        <f t="shared" si="168"/>
        <v>1</v>
      </c>
      <c r="L441" s="168"/>
      <c r="M441" s="580"/>
      <c r="N441" s="161"/>
    </row>
    <row r="442" spans="1:14" s="145" customFormat="1" x14ac:dyDescent="0.25">
      <c r="A442" s="401" t="s">
        <v>19</v>
      </c>
      <c r="B442" s="209" t="s">
        <v>5</v>
      </c>
      <c r="C442" s="4" t="s">
        <v>7</v>
      </c>
      <c r="D442" s="347"/>
      <c r="E442" s="354"/>
      <c r="F442" s="168">
        <f>F462+F456+F443+F499</f>
        <v>745196.70000000007</v>
      </c>
      <c r="G442" s="327">
        <f t="shared" ref="G442:I442" si="186">G462+G456+G443</f>
        <v>515397.9</v>
      </c>
      <c r="H442" s="168">
        <f>H462+H456+H443+H499</f>
        <v>745176.70000000007</v>
      </c>
      <c r="I442" s="327">
        <f t="shared" si="186"/>
        <v>515378</v>
      </c>
      <c r="J442" s="497">
        <f t="shared" ref="J442" si="187">J462+J456+J443+J499</f>
        <v>743563.7</v>
      </c>
      <c r="K442" s="575">
        <f t="shared" si="168"/>
        <v>0.99783541272828291</v>
      </c>
      <c r="L442" s="168">
        <f t="shared" ref="L442" si="188">L462+L456+L443</f>
        <v>515317.10000000003</v>
      </c>
      <c r="M442" s="580">
        <f t="shared" si="170"/>
        <v>0.9998818343041419</v>
      </c>
      <c r="N442" s="161"/>
    </row>
    <row r="443" spans="1:14" s="145" customFormat="1" ht="31.5" x14ac:dyDescent="0.25">
      <c r="A443" s="280" t="s">
        <v>168</v>
      </c>
      <c r="B443" s="209" t="s">
        <v>5</v>
      </c>
      <c r="C443" s="4" t="s">
        <v>7</v>
      </c>
      <c r="D443" s="33" t="s">
        <v>105</v>
      </c>
      <c r="E443" s="354"/>
      <c r="F443" s="168">
        <f>F444</f>
        <v>14651.1</v>
      </c>
      <c r="G443" s="327"/>
      <c r="H443" s="168">
        <f>H444</f>
        <v>14651.1</v>
      </c>
      <c r="I443" s="168"/>
      <c r="J443" s="497">
        <f>J444</f>
        <v>14322.099999999999</v>
      </c>
      <c r="K443" s="575">
        <f t="shared" si="168"/>
        <v>0.97754434820593661</v>
      </c>
      <c r="L443" s="168"/>
      <c r="M443" s="580"/>
      <c r="N443" s="161"/>
    </row>
    <row r="444" spans="1:14" s="145" customFormat="1" x14ac:dyDescent="0.25">
      <c r="A444" s="284" t="s">
        <v>169</v>
      </c>
      <c r="B444" s="209" t="s">
        <v>5</v>
      </c>
      <c r="C444" s="4" t="s">
        <v>7</v>
      </c>
      <c r="D444" s="33" t="s">
        <v>109</v>
      </c>
      <c r="E444" s="354"/>
      <c r="F444" s="168">
        <f>F445+F449</f>
        <v>14651.1</v>
      </c>
      <c r="G444" s="327"/>
      <c r="H444" s="168">
        <f>H445+H449</f>
        <v>14651.1</v>
      </c>
      <c r="I444" s="168"/>
      <c r="J444" s="497">
        <f>J445+J449</f>
        <v>14322.099999999999</v>
      </c>
      <c r="K444" s="575">
        <f t="shared" si="168"/>
        <v>0.97754434820593661</v>
      </c>
      <c r="L444" s="168"/>
      <c r="M444" s="580"/>
      <c r="N444" s="161"/>
    </row>
    <row r="445" spans="1:14" s="145" customFormat="1" x14ac:dyDescent="0.25">
      <c r="A445" s="298" t="s">
        <v>607</v>
      </c>
      <c r="B445" s="209" t="s">
        <v>5</v>
      </c>
      <c r="C445" s="4" t="s">
        <v>7</v>
      </c>
      <c r="D445" s="33" t="s">
        <v>358</v>
      </c>
      <c r="E445" s="354"/>
      <c r="F445" s="168">
        <f>F446</f>
        <v>7608.4</v>
      </c>
      <c r="G445" s="327"/>
      <c r="H445" s="168">
        <f>H446</f>
        <v>7608.4</v>
      </c>
      <c r="I445" s="168"/>
      <c r="J445" s="497">
        <f>J446</f>
        <v>7388.2</v>
      </c>
      <c r="K445" s="575">
        <f t="shared" si="168"/>
        <v>0.97105830397981185</v>
      </c>
      <c r="L445" s="168"/>
      <c r="M445" s="580"/>
      <c r="N445" s="161"/>
    </row>
    <row r="446" spans="1:14" s="145" customFormat="1" x14ac:dyDescent="0.25">
      <c r="A446" s="282" t="s">
        <v>262</v>
      </c>
      <c r="B446" s="209" t="s">
        <v>5</v>
      </c>
      <c r="C446" s="4" t="s">
        <v>7</v>
      </c>
      <c r="D446" s="33" t="s">
        <v>359</v>
      </c>
      <c r="E446" s="354"/>
      <c r="F446" s="168">
        <f>F447</f>
        <v>7608.4</v>
      </c>
      <c r="G446" s="327"/>
      <c r="H446" s="168">
        <f>H447</f>
        <v>7608.4</v>
      </c>
      <c r="I446" s="168"/>
      <c r="J446" s="497">
        <f>J447</f>
        <v>7388.2</v>
      </c>
      <c r="K446" s="575">
        <f t="shared" si="168"/>
        <v>0.97105830397981185</v>
      </c>
      <c r="L446" s="168"/>
      <c r="M446" s="580"/>
      <c r="N446" s="161"/>
    </row>
    <row r="447" spans="1:14" s="145" customFormat="1" x14ac:dyDescent="0.25">
      <c r="A447" s="278" t="s">
        <v>123</v>
      </c>
      <c r="B447" s="209" t="s">
        <v>5</v>
      </c>
      <c r="C447" s="4" t="s">
        <v>7</v>
      </c>
      <c r="D447" s="33" t="s">
        <v>359</v>
      </c>
      <c r="E447" s="354" t="s">
        <v>39</v>
      </c>
      <c r="F447" s="168">
        <f>F448</f>
        <v>7608.4</v>
      </c>
      <c r="G447" s="327"/>
      <c r="H447" s="168">
        <f>H448</f>
        <v>7608.4</v>
      </c>
      <c r="I447" s="168"/>
      <c r="J447" s="497">
        <f>J448</f>
        <v>7388.2</v>
      </c>
      <c r="K447" s="575">
        <f t="shared" si="168"/>
        <v>0.97105830397981185</v>
      </c>
      <c r="L447" s="168"/>
      <c r="M447" s="580"/>
      <c r="N447" s="161"/>
    </row>
    <row r="448" spans="1:14" s="145" customFormat="1" ht="31.5" x14ac:dyDescent="0.25">
      <c r="A448" s="278" t="s">
        <v>54</v>
      </c>
      <c r="B448" s="209" t="s">
        <v>5</v>
      </c>
      <c r="C448" s="4" t="s">
        <v>7</v>
      </c>
      <c r="D448" s="33" t="s">
        <v>359</v>
      </c>
      <c r="E448" s="354" t="s">
        <v>67</v>
      </c>
      <c r="F448" s="168">
        <f>'ведом. 2023-2025'!AD323</f>
        <v>7608.4</v>
      </c>
      <c r="G448" s="327"/>
      <c r="H448" s="168">
        <f>'ведом. 2023-2025'!AE323</f>
        <v>7608.4</v>
      </c>
      <c r="I448" s="168"/>
      <c r="J448" s="497">
        <f>'ведом. 2023-2025'!AF323</f>
        <v>7388.2</v>
      </c>
      <c r="K448" s="575">
        <f t="shared" si="168"/>
        <v>0.97105830397981185</v>
      </c>
      <c r="L448" s="168"/>
      <c r="M448" s="580"/>
      <c r="N448" s="161"/>
    </row>
    <row r="449" spans="1:14" s="145" customFormat="1" ht="31.5" x14ac:dyDescent="0.25">
      <c r="A449" s="283" t="s">
        <v>261</v>
      </c>
      <c r="B449" s="209" t="s">
        <v>5</v>
      </c>
      <c r="C449" s="4" t="s">
        <v>7</v>
      </c>
      <c r="D449" s="33" t="s">
        <v>360</v>
      </c>
      <c r="E449" s="354"/>
      <c r="F449" s="168">
        <f>F450+F452+F454</f>
        <v>7042.7000000000007</v>
      </c>
      <c r="G449" s="168"/>
      <c r="H449" s="168">
        <f>H450+H452+H454</f>
        <v>7042.7000000000007</v>
      </c>
      <c r="I449" s="168"/>
      <c r="J449" s="497">
        <f>J450+J452+J454</f>
        <v>6933.9</v>
      </c>
      <c r="K449" s="575">
        <f t="shared" si="168"/>
        <v>0.98455137944254323</v>
      </c>
      <c r="L449" s="168"/>
      <c r="M449" s="580"/>
      <c r="N449" s="161"/>
    </row>
    <row r="450" spans="1:14" s="145" customFormat="1" ht="47.25" x14ac:dyDescent="0.25">
      <c r="A450" s="278" t="s">
        <v>43</v>
      </c>
      <c r="B450" s="209" t="s">
        <v>5</v>
      </c>
      <c r="C450" s="4" t="s">
        <v>7</v>
      </c>
      <c r="D450" s="33" t="s">
        <v>360</v>
      </c>
      <c r="E450" s="354" t="s">
        <v>129</v>
      </c>
      <c r="F450" s="168">
        <f>F451</f>
        <v>6401.7000000000007</v>
      </c>
      <c r="G450" s="327"/>
      <c r="H450" s="168">
        <f>H451</f>
        <v>6401.7000000000007</v>
      </c>
      <c r="I450" s="168"/>
      <c r="J450" s="497">
        <f>J451</f>
        <v>6401.7</v>
      </c>
      <c r="K450" s="575">
        <f t="shared" si="168"/>
        <v>0.99999999999999989</v>
      </c>
      <c r="L450" s="168"/>
      <c r="M450" s="580"/>
      <c r="N450" s="161"/>
    </row>
    <row r="451" spans="1:14" s="145" customFormat="1" x14ac:dyDescent="0.25">
      <c r="A451" s="278" t="s">
        <v>70</v>
      </c>
      <c r="B451" s="209" t="s">
        <v>5</v>
      </c>
      <c r="C451" s="4" t="s">
        <v>7</v>
      </c>
      <c r="D451" s="33" t="s">
        <v>360</v>
      </c>
      <c r="E451" s="354" t="s">
        <v>130</v>
      </c>
      <c r="F451" s="168">
        <f>'ведом. 2023-2025'!AD326</f>
        <v>6401.7000000000007</v>
      </c>
      <c r="G451" s="327"/>
      <c r="H451" s="168">
        <f>'ведом. 2023-2025'!AE326</f>
        <v>6401.7000000000007</v>
      </c>
      <c r="I451" s="168"/>
      <c r="J451" s="497">
        <f>'ведом. 2023-2025'!AF326</f>
        <v>6401.7</v>
      </c>
      <c r="K451" s="575">
        <f t="shared" si="168"/>
        <v>0.99999999999999989</v>
      </c>
      <c r="L451" s="168"/>
      <c r="M451" s="580"/>
      <c r="N451" s="161"/>
    </row>
    <row r="452" spans="1:14" s="145" customFormat="1" x14ac:dyDescent="0.25">
      <c r="A452" s="278" t="s">
        <v>123</v>
      </c>
      <c r="B452" s="209" t="s">
        <v>5</v>
      </c>
      <c r="C452" s="4" t="s">
        <v>7</v>
      </c>
      <c r="D452" s="33" t="s">
        <v>360</v>
      </c>
      <c r="E452" s="354" t="s">
        <v>39</v>
      </c>
      <c r="F452" s="168">
        <f>F453</f>
        <v>639.20000000000005</v>
      </c>
      <c r="G452" s="327"/>
      <c r="H452" s="168">
        <f>H453</f>
        <v>639.20000000000005</v>
      </c>
      <c r="I452" s="168"/>
      <c r="J452" s="497">
        <f>J453</f>
        <v>530.4</v>
      </c>
      <c r="K452" s="575">
        <f t="shared" si="168"/>
        <v>0.82978723404255306</v>
      </c>
      <c r="L452" s="168"/>
      <c r="M452" s="580"/>
      <c r="N452" s="161"/>
    </row>
    <row r="453" spans="1:14" s="145" customFormat="1" ht="31.5" x14ac:dyDescent="0.25">
      <c r="A453" s="278" t="s">
        <v>54</v>
      </c>
      <c r="B453" s="209" t="s">
        <v>5</v>
      </c>
      <c r="C453" s="4" t="s">
        <v>7</v>
      </c>
      <c r="D453" s="33" t="s">
        <v>360</v>
      </c>
      <c r="E453" s="354" t="s">
        <v>67</v>
      </c>
      <c r="F453" s="168">
        <f>'ведом. 2023-2025'!AD328</f>
        <v>639.20000000000005</v>
      </c>
      <c r="G453" s="327"/>
      <c r="H453" s="168">
        <f>'ведом. 2023-2025'!AE328</f>
        <v>639.20000000000005</v>
      </c>
      <c r="I453" s="168"/>
      <c r="J453" s="497">
        <f>'ведом. 2023-2025'!AF328</f>
        <v>530.4</v>
      </c>
      <c r="K453" s="575">
        <f t="shared" si="168"/>
        <v>0.82978723404255306</v>
      </c>
      <c r="L453" s="168"/>
      <c r="M453" s="580"/>
      <c r="N453" s="161"/>
    </row>
    <row r="454" spans="1:14" s="188" customFormat="1" x14ac:dyDescent="0.25">
      <c r="A454" s="278" t="s">
        <v>44</v>
      </c>
      <c r="B454" s="209" t="s">
        <v>5</v>
      </c>
      <c r="C454" s="4" t="s">
        <v>7</v>
      </c>
      <c r="D454" s="33" t="s">
        <v>360</v>
      </c>
      <c r="E454" s="354" t="s">
        <v>373</v>
      </c>
      <c r="F454" s="168">
        <f>F455</f>
        <v>1.8</v>
      </c>
      <c r="G454" s="168"/>
      <c r="H454" s="168">
        <f>H455</f>
        <v>1.8</v>
      </c>
      <c r="I454" s="168"/>
      <c r="J454" s="497">
        <f t="shared" ref="J454" si="189">J455</f>
        <v>1.8</v>
      </c>
      <c r="K454" s="575">
        <f t="shared" si="168"/>
        <v>1</v>
      </c>
      <c r="L454" s="168"/>
      <c r="M454" s="580"/>
      <c r="N454" s="161"/>
    </row>
    <row r="455" spans="1:14" s="188" customFormat="1" x14ac:dyDescent="0.25">
      <c r="A455" s="278" t="s">
        <v>60</v>
      </c>
      <c r="B455" s="209" t="s">
        <v>5</v>
      </c>
      <c r="C455" s="4" t="s">
        <v>7</v>
      </c>
      <c r="D455" s="33" t="s">
        <v>360</v>
      </c>
      <c r="E455" s="354" t="s">
        <v>472</v>
      </c>
      <c r="F455" s="168">
        <f>'ведом. 2023-2025'!AD330</f>
        <v>1.8</v>
      </c>
      <c r="G455" s="327"/>
      <c r="H455" s="168">
        <f>'ведом. 2023-2025'!AE330</f>
        <v>1.8</v>
      </c>
      <c r="I455" s="168"/>
      <c r="J455" s="497">
        <f>'ведом. 2023-2025'!AF330</f>
        <v>1.8</v>
      </c>
      <c r="K455" s="575">
        <f t="shared" si="168"/>
        <v>1</v>
      </c>
      <c r="L455" s="168"/>
      <c r="M455" s="580"/>
      <c r="N455" s="161"/>
    </row>
    <row r="456" spans="1:14" s="145" customFormat="1" ht="31.5" x14ac:dyDescent="0.25">
      <c r="A456" s="280" t="s">
        <v>315</v>
      </c>
      <c r="B456" s="209" t="s">
        <v>5</v>
      </c>
      <c r="C456" s="4" t="s">
        <v>7</v>
      </c>
      <c r="D456" s="163" t="s">
        <v>134</v>
      </c>
      <c r="E456" s="354"/>
      <c r="F456" s="168">
        <f>F457</f>
        <v>700</v>
      </c>
      <c r="G456" s="327"/>
      <c r="H456" s="168">
        <f>H457</f>
        <v>700</v>
      </c>
      <c r="I456" s="168"/>
      <c r="J456" s="497">
        <f t="shared" ref="J456" si="190">J457</f>
        <v>475</v>
      </c>
      <c r="K456" s="575">
        <f t="shared" si="168"/>
        <v>0.6785714285714286</v>
      </c>
      <c r="L456" s="168"/>
      <c r="M456" s="580"/>
      <c r="N456" s="161"/>
    </row>
    <row r="457" spans="1:14" s="145" customFormat="1" ht="47.25" x14ac:dyDescent="0.25">
      <c r="A457" s="280" t="s">
        <v>316</v>
      </c>
      <c r="B457" s="209" t="s">
        <v>5</v>
      </c>
      <c r="C457" s="4" t="s">
        <v>7</v>
      </c>
      <c r="D457" s="163" t="s">
        <v>317</v>
      </c>
      <c r="E457" s="352"/>
      <c r="F457" s="168">
        <f>F458</f>
        <v>700</v>
      </c>
      <c r="G457" s="327"/>
      <c r="H457" s="168">
        <f>H458</f>
        <v>700</v>
      </c>
      <c r="I457" s="168"/>
      <c r="J457" s="497">
        <f>J458</f>
        <v>475</v>
      </c>
      <c r="K457" s="575">
        <f t="shared" si="168"/>
        <v>0.6785714285714286</v>
      </c>
      <c r="L457" s="168"/>
      <c r="M457" s="580"/>
      <c r="N457" s="161"/>
    </row>
    <row r="458" spans="1:14" s="145" customFormat="1" ht="31.5" x14ac:dyDescent="0.25">
      <c r="A458" s="302" t="s">
        <v>321</v>
      </c>
      <c r="B458" s="209" t="s">
        <v>5</v>
      </c>
      <c r="C458" s="4" t="s">
        <v>7</v>
      </c>
      <c r="D458" s="163" t="s">
        <v>322</v>
      </c>
      <c r="E458" s="352"/>
      <c r="F458" s="168">
        <f>F459</f>
        <v>700</v>
      </c>
      <c r="G458" s="327"/>
      <c r="H458" s="168">
        <f>H459</f>
        <v>700</v>
      </c>
      <c r="I458" s="168"/>
      <c r="J458" s="497">
        <f>J459</f>
        <v>475</v>
      </c>
      <c r="K458" s="575">
        <f t="shared" si="168"/>
        <v>0.6785714285714286</v>
      </c>
      <c r="L458" s="168"/>
      <c r="M458" s="580"/>
      <c r="N458" s="161"/>
    </row>
    <row r="459" spans="1:14" s="145" customFormat="1" ht="47.25" x14ac:dyDescent="0.25">
      <c r="A459" s="296" t="s">
        <v>379</v>
      </c>
      <c r="B459" s="209" t="s">
        <v>5</v>
      </c>
      <c r="C459" s="4" t="s">
        <v>7</v>
      </c>
      <c r="D459" s="163" t="s">
        <v>323</v>
      </c>
      <c r="E459" s="352"/>
      <c r="F459" s="168">
        <f>F460</f>
        <v>700</v>
      </c>
      <c r="G459" s="327"/>
      <c r="H459" s="168">
        <f>H460</f>
        <v>700</v>
      </c>
      <c r="I459" s="168"/>
      <c r="J459" s="497">
        <f>J460</f>
        <v>475</v>
      </c>
      <c r="K459" s="575">
        <f t="shared" si="168"/>
        <v>0.6785714285714286</v>
      </c>
      <c r="L459" s="168"/>
      <c r="M459" s="580"/>
      <c r="N459" s="161"/>
    </row>
    <row r="460" spans="1:14" s="145" customFormat="1" x14ac:dyDescent="0.25">
      <c r="A460" s="401" t="s">
        <v>123</v>
      </c>
      <c r="B460" s="209" t="s">
        <v>5</v>
      </c>
      <c r="C460" s="4" t="s">
        <v>7</v>
      </c>
      <c r="D460" s="163" t="s">
        <v>323</v>
      </c>
      <c r="E460" s="352">
        <v>200</v>
      </c>
      <c r="F460" s="168">
        <f>F461</f>
        <v>700</v>
      </c>
      <c r="G460" s="327"/>
      <c r="H460" s="168">
        <f>H461</f>
        <v>700</v>
      </c>
      <c r="I460" s="168"/>
      <c r="J460" s="497">
        <f>J461</f>
        <v>475</v>
      </c>
      <c r="K460" s="575">
        <f t="shared" si="168"/>
        <v>0.6785714285714286</v>
      </c>
      <c r="L460" s="168"/>
      <c r="M460" s="580"/>
      <c r="N460" s="161"/>
    </row>
    <row r="461" spans="1:14" s="145" customFormat="1" ht="31.5" x14ac:dyDescent="0.25">
      <c r="A461" s="401" t="s">
        <v>54</v>
      </c>
      <c r="B461" s="209" t="s">
        <v>5</v>
      </c>
      <c r="C461" s="4" t="s">
        <v>7</v>
      </c>
      <c r="D461" s="163" t="s">
        <v>323</v>
      </c>
      <c r="E461" s="352">
        <v>240</v>
      </c>
      <c r="F461" s="168">
        <f>'ведом. 2023-2025'!AD336</f>
        <v>700</v>
      </c>
      <c r="G461" s="327"/>
      <c r="H461" s="168">
        <f>'ведом. 2023-2025'!AE336</f>
        <v>700</v>
      </c>
      <c r="I461" s="168"/>
      <c r="J461" s="497">
        <f>'ведом. 2023-2025'!AF336</f>
        <v>475</v>
      </c>
      <c r="K461" s="575">
        <f t="shared" si="168"/>
        <v>0.6785714285714286</v>
      </c>
      <c r="L461" s="168"/>
      <c r="M461" s="580"/>
      <c r="N461" s="161"/>
    </row>
    <row r="462" spans="1:14" s="145" customFormat="1" x14ac:dyDescent="0.25">
      <c r="A462" s="280" t="s">
        <v>255</v>
      </c>
      <c r="B462" s="209" t="s">
        <v>5</v>
      </c>
      <c r="C462" s="4" t="s">
        <v>7</v>
      </c>
      <c r="D462" s="163" t="s">
        <v>256</v>
      </c>
      <c r="E462" s="354"/>
      <c r="F462" s="169">
        <f>F463+F481</f>
        <v>729458.00000000012</v>
      </c>
      <c r="G462" s="374">
        <f>G463+G481</f>
        <v>515397.9</v>
      </c>
      <c r="H462" s="169">
        <f>H463+H481</f>
        <v>729438.00000000012</v>
      </c>
      <c r="I462" s="374">
        <f>I463+I481</f>
        <v>515378</v>
      </c>
      <c r="J462" s="507">
        <f>J463+J481</f>
        <v>728379</v>
      </c>
      <c r="K462" s="575">
        <f t="shared" si="168"/>
        <v>0.99854819737935219</v>
      </c>
      <c r="L462" s="169">
        <f>L463+L481</f>
        <v>515317.10000000003</v>
      </c>
      <c r="M462" s="580">
        <f t="shared" si="170"/>
        <v>0.9998818343041419</v>
      </c>
      <c r="N462" s="161"/>
    </row>
    <row r="463" spans="1:14" s="188" customFormat="1" x14ac:dyDescent="0.25">
      <c r="A463" s="284" t="s">
        <v>400</v>
      </c>
      <c r="B463" s="209" t="s">
        <v>5</v>
      </c>
      <c r="C463" s="4" t="s">
        <v>7</v>
      </c>
      <c r="D463" s="163" t="s">
        <v>401</v>
      </c>
      <c r="E463" s="354"/>
      <c r="F463" s="169">
        <f>F477+F464</f>
        <v>626942.20000000007</v>
      </c>
      <c r="G463" s="374">
        <f>G477+G464</f>
        <v>512115.5</v>
      </c>
      <c r="H463" s="169">
        <f>H477+H464</f>
        <v>626942.20000000007</v>
      </c>
      <c r="I463" s="374">
        <f>I477+I464</f>
        <v>512115.5</v>
      </c>
      <c r="J463" s="507">
        <f>J477+J464</f>
        <v>626868.69999999995</v>
      </c>
      <c r="K463" s="575">
        <f t="shared" ref="K463:K526" si="191">J463/H463</f>
        <v>0.99988276431224421</v>
      </c>
      <c r="L463" s="169">
        <f>L477+L464</f>
        <v>512054.7</v>
      </c>
      <c r="M463" s="580">
        <f t="shared" ref="M463:M526" si="192">L463/I463</f>
        <v>0.99988127678228844</v>
      </c>
      <c r="N463" s="161"/>
    </row>
    <row r="464" spans="1:14" s="188" customFormat="1" ht="31.5" x14ac:dyDescent="0.25">
      <c r="A464" s="284" t="s">
        <v>429</v>
      </c>
      <c r="B464" s="209" t="s">
        <v>5</v>
      </c>
      <c r="C464" s="4" t="s">
        <v>7</v>
      </c>
      <c r="D464" s="163" t="s">
        <v>430</v>
      </c>
      <c r="E464" s="354"/>
      <c r="F464" s="169">
        <f>F471+F474+F468+F465</f>
        <v>587960.70000000007</v>
      </c>
      <c r="G464" s="374">
        <f t="shared" ref="G464" si="193">G471+G474+G468</f>
        <v>479682.9</v>
      </c>
      <c r="H464" s="169">
        <f>H471+H474+H468+H465</f>
        <v>587960.70000000007</v>
      </c>
      <c r="I464" s="374">
        <f t="shared" ref="I464" si="194">I471+I474+I468</f>
        <v>479682.9</v>
      </c>
      <c r="J464" s="507">
        <f>J471+J474+J468+J465</f>
        <v>587960.29999999993</v>
      </c>
      <c r="K464" s="575">
        <f t="shared" si="191"/>
        <v>0.99999931968242073</v>
      </c>
      <c r="L464" s="169">
        <f>L471+L474+L468</f>
        <v>479682.9</v>
      </c>
      <c r="M464" s="580">
        <f t="shared" si="192"/>
        <v>1</v>
      </c>
      <c r="N464" s="161"/>
    </row>
    <row r="465" spans="1:14" s="188" customFormat="1" ht="31.5" x14ac:dyDescent="0.25">
      <c r="A465" s="284" t="s">
        <v>746</v>
      </c>
      <c r="B465" s="1" t="s">
        <v>5</v>
      </c>
      <c r="C465" s="4" t="s">
        <v>7</v>
      </c>
      <c r="D465" s="326" t="s">
        <v>747</v>
      </c>
      <c r="E465" s="317"/>
      <c r="F465" s="169">
        <f>F466</f>
        <v>120</v>
      </c>
      <c r="G465" s="169"/>
      <c r="H465" s="169">
        <f>H466</f>
        <v>120</v>
      </c>
      <c r="I465" s="169"/>
      <c r="J465" s="507">
        <f t="shared" ref="J465" si="195">J466</f>
        <v>119.6</v>
      </c>
      <c r="K465" s="575">
        <f t="shared" si="191"/>
        <v>0.99666666666666659</v>
      </c>
      <c r="L465" s="169"/>
      <c r="M465" s="580"/>
      <c r="N465" s="161"/>
    </row>
    <row r="466" spans="1:14" s="188" customFormat="1" x14ac:dyDescent="0.25">
      <c r="A466" s="278" t="s">
        <v>123</v>
      </c>
      <c r="B466" s="1" t="s">
        <v>5</v>
      </c>
      <c r="C466" s="4" t="s">
        <v>7</v>
      </c>
      <c r="D466" s="326" t="s">
        <v>747</v>
      </c>
      <c r="E466" s="317" t="s">
        <v>39</v>
      </c>
      <c r="F466" s="169">
        <f>F467</f>
        <v>120</v>
      </c>
      <c r="G466" s="169"/>
      <c r="H466" s="169">
        <f>H467</f>
        <v>120</v>
      </c>
      <c r="I466" s="169"/>
      <c r="J466" s="507">
        <f t="shared" ref="J466" si="196">J467</f>
        <v>119.6</v>
      </c>
      <c r="K466" s="575">
        <f t="shared" si="191"/>
        <v>0.99666666666666659</v>
      </c>
      <c r="L466" s="169"/>
      <c r="M466" s="580"/>
      <c r="N466" s="161"/>
    </row>
    <row r="467" spans="1:14" s="188" customFormat="1" ht="31.5" x14ac:dyDescent="0.25">
      <c r="A467" s="278" t="s">
        <v>54</v>
      </c>
      <c r="B467" s="1" t="s">
        <v>5</v>
      </c>
      <c r="C467" s="4" t="s">
        <v>7</v>
      </c>
      <c r="D467" s="326" t="s">
        <v>747</v>
      </c>
      <c r="E467" s="317" t="s">
        <v>67</v>
      </c>
      <c r="F467" s="169">
        <f>'ведом. 2023-2025'!AD888</f>
        <v>120</v>
      </c>
      <c r="G467" s="374"/>
      <c r="H467" s="169">
        <f>'ведом. 2023-2025'!AE888</f>
        <v>120</v>
      </c>
      <c r="I467" s="374"/>
      <c r="J467" s="507">
        <f>'ведом. 2023-2025'!AF888</f>
        <v>119.6</v>
      </c>
      <c r="K467" s="575">
        <f t="shared" si="191"/>
        <v>0.99666666666666659</v>
      </c>
      <c r="L467" s="169"/>
      <c r="M467" s="580"/>
      <c r="N467" s="161"/>
    </row>
    <row r="468" spans="1:14" s="188" customFormat="1" ht="31.5" x14ac:dyDescent="0.25">
      <c r="A468" s="278" t="s">
        <v>649</v>
      </c>
      <c r="B468" s="209" t="s">
        <v>5</v>
      </c>
      <c r="C468" s="4" t="s">
        <v>7</v>
      </c>
      <c r="D468" s="163" t="s">
        <v>439</v>
      </c>
      <c r="E468" s="352"/>
      <c r="F468" s="169">
        <f>F469</f>
        <v>8523.7000000000007</v>
      </c>
      <c r="G468" s="374">
        <f>G469</f>
        <v>2557.1</v>
      </c>
      <c r="H468" s="169">
        <f>H469</f>
        <v>8523.7000000000007</v>
      </c>
      <c r="I468" s="374">
        <f>I469</f>
        <v>2557.1</v>
      </c>
      <c r="J468" s="507">
        <f t="shared" ref="J468" si="197">J469</f>
        <v>8523.7000000000007</v>
      </c>
      <c r="K468" s="575">
        <f t="shared" si="191"/>
        <v>1</v>
      </c>
      <c r="L468" s="169">
        <f>L469</f>
        <v>2557.1</v>
      </c>
      <c r="M468" s="580">
        <f t="shared" si="192"/>
        <v>1</v>
      </c>
      <c r="N468" s="161"/>
    </row>
    <row r="469" spans="1:14" s="188" customFormat="1" x14ac:dyDescent="0.25">
      <c r="A469" s="278" t="s">
        <v>123</v>
      </c>
      <c r="B469" s="209" t="s">
        <v>5</v>
      </c>
      <c r="C469" s="4" t="s">
        <v>7</v>
      </c>
      <c r="D469" s="163" t="s">
        <v>439</v>
      </c>
      <c r="E469" s="354" t="s">
        <v>39</v>
      </c>
      <c r="F469" s="169">
        <f>F470</f>
        <v>8523.7000000000007</v>
      </c>
      <c r="G469" s="374">
        <f t="shared" ref="G469:J469" si="198">G470</f>
        <v>2557.1</v>
      </c>
      <c r="H469" s="169">
        <f>H470</f>
        <v>8523.7000000000007</v>
      </c>
      <c r="I469" s="374">
        <f t="shared" si="198"/>
        <v>2557.1</v>
      </c>
      <c r="J469" s="507">
        <f t="shared" si="198"/>
        <v>8523.7000000000007</v>
      </c>
      <c r="K469" s="575">
        <f t="shared" si="191"/>
        <v>1</v>
      </c>
      <c r="L469" s="169">
        <f>L470</f>
        <v>2557.1</v>
      </c>
      <c r="M469" s="580">
        <f t="shared" si="192"/>
        <v>1</v>
      </c>
      <c r="N469" s="161"/>
    </row>
    <row r="470" spans="1:14" s="188" customFormat="1" ht="31.5" x14ac:dyDescent="0.25">
      <c r="A470" s="278" t="s">
        <v>54</v>
      </c>
      <c r="B470" s="209" t="s">
        <v>5</v>
      </c>
      <c r="C470" s="4" t="s">
        <v>7</v>
      </c>
      <c r="D470" s="163" t="s">
        <v>439</v>
      </c>
      <c r="E470" s="354" t="s">
        <v>67</v>
      </c>
      <c r="F470" s="169">
        <f>'ведом. 2023-2025'!AD891</f>
        <v>8523.7000000000007</v>
      </c>
      <c r="G470" s="374">
        <f>2656.5-99.4</f>
        <v>2557.1</v>
      </c>
      <c r="H470" s="169">
        <f>'ведом. 2023-2025'!AE891</f>
        <v>8523.7000000000007</v>
      </c>
      <c r="I470" s="374">
        <f>2656.5-99.4</f>
        <v>2557.1</v>
      </c>
      <c r="J470" s="507">
        <f>'ведом. 2023-2025'!AF891</f>
        <v>8523.7000000000007</v>
      </c>
      <c r="K470" s="575">
        <f t="shared" si="191"/>
        <v>1</v>
      </c>
      <c r="L470" s="169">
        <f>2656.5-99.4</f>
        <v>2557.1</v>
      </c>
      <c r="M470" s="580">
        <f t="shared" si="192"/>
        <v>1</v>
      </c>
      <c r="N470" s="161"/>
    </row>
    <row r="471" spans="1:14" s="188" customFormat="1" x14ac:dyDescent="0.25">
      <c r="A471" s="282" t="s">
        <v>486</v>
      </c>
      <c r="B471" s="209" t="s">
        <v>5</v>
      </c>
      <c r="C471" s="4" t="s">
        <v>7</v>
      </c>
      <c r="D471" s="163" t="s">
        <v>438</v>
      </c>
      <c r="E471" s="354"/>
      <c r="F471" s="169">
        <f>F472</f>
        <v>9146.4</v>
      </c>
      <c r="G471" s="374">
        <f t="shared" ref="G471:J471" si="199">G472</f>
        <v>2743.8999999999996</v>
      </c>
      <c r="H471" s="169">
        <f>H472</f>
        <v>9146.4</v>
      </c>
      <c r="I471" s="374">
        <f t="shared" si="199"/>
        <v>2743.8999999999996</v>
      </c>
      <c r="J471" s="507">
        <f t="shared" si="199"/>
        <v>9146.4</v>
      </c>
      <c r="K471" s="575">
        <f t="shared" si="191"/>
        <v>1</v>
      </c>
      <c r="L471" s="169">
        <f>L472</f>
        <v>2743.8999999999996</v>
      </c>
      <c r="M471" s="580">
        <f t="shared" si="192"/>
        <v>1</v>
      </c>
      <c r="N471" s="161"/>
    </row>
    <row r="472" spans="1:14" s="188" customFormat="1" x14ac:dyDescent="0.25">
      <c r="A472" s="278" t="s">
        <v>123</v>
      </c>
      <c r="B472" s="209" t="s">
        <v>5</v>
      </c>
      <c r="C472" s="4" t="s">
        <v>7</v>
      </c>
      <c r="D472" s="163" t="s">
        <v>438</v>
      </c>
      <c r="E472" s="354" t="s">
        <v>39</v>
      </c>
      <c r="F472" s="169">
        <f>F473</f>
        <v>9146.4</v>
      </c>
      <c r="G472" s="374">
        <f t="shared" ref="G472:J472" si="200">G473</f>
        <v>2743.8999999999996</v>
      </c>
      <c r="H472" s="169">
        <f>H473</f>
        <v>9146.4</v>
      </c>
      <c r="I472" s="374">
        <f t="shared" si="200"/>
        <v>2743.8999999999996</v>
      </c>
      <c r="J472" s="507">
        <f t="shared" si="200"/>
        <v>9146.4</v>
      </c>
      <c r="K472" s="575">
        <f t="shared" si="191"/>
        <v>1</v>
      </c>
      <c r="L472" s="169">
        <f>L473</f>
        <v>2743.8999999999996</v>
      </c>
      <c r="M472" s="580">
        <f t="shared" si="192"/>
        <v>1</v>
      </c>
      <c r="N472" s="161"/>
    </row>
    <row r="473" spans="1:14" s="188" customFormat="1" ht="31.5" x14ac:dyDescent="0.25">
      <c r="A473" s="278" t="s">
        <v>54</v>
      </c>
      <c r="B473" s="209" t="s">
        <v>5</v>
      </c>
      <c r="C473" s="4" t="s">
        <v>7</v>
      </c>
      <c r="D473" s="163" t="s">
        <v>438</v>
      </c>
      <c r="E473" s="354" t="s">
        <v>67</v>
      </c>
      <c r="F473" s="169">
        <f>'ведом. 2023-2025'!AD894</f>
        <v>9146.4</v>
      </c>
      <c r="G473" s="374">
        <f>750+262.3+2504.1-772.5</f>
        <v>2743.8999999999996</v>
      </c>
      <c r="H473" s="169">
        <f>'ведом. 2023-2025'!AE894</f>
        <v>9146.4</v>
      </c>
      <c r="I473" s="374">
        <f>750+262.3+2504.1-772.5</f>
        <v>2743.8999999999996</v>
      </c>
      <c r="J473" s="507">
        <f>'ведом. 2023-2025'!AF894</f>
        <v>9146.4</v>
      </c>
      <c r="K473" s="575">
        <f t="shared" si="191"/>
        <v>1</v>
      </c>
      <c r="L473" s="169">
        <f>750+262.3+2504.1-772.5</f>
        <v>2743.8999999999996</v>
      </c>
      <c r="M473" s="580">
        <f t="shared" si="192"/>
        <v>1</v>
      </c>
      <c r="N473" s="161"/>
    </row>
    <row r="474" spans="1:14" s="188" customFormat="1" x14ac:dyDescent="0.25">
      <c r="A474" s="278" t="s">
        <v>436</v>
      </c>
      <c r="B474" s="209" t="s">
        <v>5</v>
      </c>
      <c r="C474" s="4" t="s">
        <v>7</v>
      </c>
      <c r="D474" s="163" t="s">
        <v>437</v>
      </c>
      <c r="E474" s="354"/>
      <c r="F474" s="169">
        <f>F475</f>
        <v>570170.60000000009</v>
      </c>
      <c r="G474" s="374">
        <f>G475</f>
        <v>474381.9</v>
      </c>
      <c r="H474" s="169">
        <f>H475</f>
        <v>570170.60000000009</v>
      </c>
      <c r="I474" s="374">
        <f>I475</f>
        <v>474381.9</v>
      </c>
      <c r="J474" s="507">
        <f t="shared" ref="J474" si="201">J475</f>
        <v>570170.6</v>
      </c>
      <c r="K474" s="575">
        <f t="shared" si="191"/>
        <v>0.99999999999999978</v>
      </c>
      <c r="L474" s="169">
        <f>L475</f>
        <v>474381.9</v>
      </c>
      <c r="M474" s="580">
        <f t="shared" si="192"/>
        <v>1</v>
      </c>
      <c r="N474" s="161"/>
    </row>
    <row r="475" spans="1:14" s="188" customFormat="1" x14ac:dyDescent="0.25">
      <c r="A475" s="278" t="s">
        <v>123</v>
      </c>
      <c r="B475" s="209" t="s">
        <v>5</v>
      </c>
      <c r="C475" s="4" t="s">
        <v>7</v>
      </c>
      <c r="D475" s="163" t="s">
        <v>437</v>
      </c>
      <c r="E475" s="354" t="s">
        <v>39</v>
      </c>
      <c r="F475" s="169">
        <f>F476</f>
        <v>570170.60000000009</v>
      </c>
      <c r="G475" s="374">
        <f t="shared" ref="G475:J475" si="202">G476</f>
        <v>474381.9</v>
      </c>
      <c r="H475" s="169">
        <f>H476</f>
        <v>570170.60000000009</v>
      </c>
      <c r="I475" s="374">
        <f t="shared" si="202"/>
        <v>474381.9</v>
      </c>
      <c r="J475" s="507">
        <f t="shared" si="202"/>
        <v>570170.6</v>
      </c>
      <c r="K475" s="575">
        <f t="shared" si="191"/>
        <v>0.99999999999999978</v>
      </c>
      <c r="L475" s="169">
        <f>L476</f>
        <v>474381.9</v>
      </c>
      <c r="M475" s="580">
        <f t="shared" si="192"/>
        <v>1</v>
      </c>
      <c r="N475" s="161"/>
    </row>
    <row r="476" spans="1:14" s="188" customFormat="1" ht="31.5" x14ac:dyDescent="0.25">
      <c r="A476" s="278" t="s">
        <v>54</v>
      </c>
      <c r="B476" s="209" t="s">
        <v>5</v>
      </c>
      <c r="C476" s="4" t="s">
        <v>7</v>
      </c>
      <c r="D476" s="163" t="s">
        <v>437</v>
      </c>
      <c r="E476" s="354" t="s">
        <v>67</v>
      </c>
      <c r="F476" s="169">
        <f>'ведом. 2023-2025'!AD897</f>
        <v>570170.60000000009</v>
      </c>
      <c r="G476" s="374">
        <f>589672.4-115290.5</f>
        <v>474381.9</v>
      </c>
      <c r="H476" s="169">
        <f>'ведом. 2023-2025'!AE897</f>
        <v>570170.60000000009</v>
      </c>
      <c r="I476" s="374">
        <f>589672.4-115290.5</f>
        <v>474381.9</v>
      </c>
      <c r="J476" s="507">
        <f>'ведом. 2023-2025'!AF897</f>
        <v>570170.6</v>
      </c>
      <c r="K476" s="575">
        <f t="shared" si="191"/>
        <v>0.99999999999999978</v>
      </c>
      <c r="L476" s="169">
        <f>589672.4-115290.5</f>
        <v>474381.9</v>
      </c>
      <c r="M476" s="580">
        <f t="shared" si="192"/>
        <v>1</v>
      </c>
      <c r="N476" s="161"/>
    </row>
    <row r="477" spans="1:14" s="188" customFormat="1" x14ac:dyDescent="0.25">
      <c r="A477" s="282" t="s">
        <v>402</v>
      </c>
      <c r="B477" s="209" t="s">
        <v>5</v>
      </c>
      <c r="C477" s="4" t="s">
        <v>7</v>
      </c>
      <c r="D477" s="163" t="s">
        <v>403</v>
      </c>
      <c r="E477" s="354"/>
      <c r="F477" s="169">
        <f>F478</f>
        <v>38981.5</v>
      </c>
      <c r="G477" s="169">
        <f t="shared" ref="G477:J477" si="203">G478</f>
        <v>32432.6</v>
      </c>
      <c r="H477" s="169">
        <f t="shared" si="203"/>
        <v>38981.5</v>
      </c>
      <c r="I477" s="169">
        <f t="shared" si="203"/>
        <v>32432.6</v>
      </c>
      <c r="J477" s="507">
        <f t="shared" si="203"/>
        <v>38908.400000000001</v>
      </c>
      <c r="K477" s="575">
        <f t="shared" si="191"/>
        <v>0.99812475148467872</v>
      </c>
      <c r="L477" s="169">
        <f>L478</f>
        <v>32371.8</v>
      </c>
      <c r="M477" s="580">
        <f t="shared" si="192"/>
        <v>0.99812534301906108</v>
      </c>
      <c r="N477" s="161"/>
    </row>
    <row r="478" spans="1:14" s="188" customFormat="1" ht="47.25" x14ac:dyDescent="0.25">
      <c r="A478" s="278" t="s">
        <v>625</v>
      </c>
      <c r="B478" s="209" t="s">
        <v>5</v>
      </c>
      <c r="C478" s="4" t="s">
        <v>7</v>
      </c>
      <c r="D478" s="163" t="s">
        <v>624</v>
      </c>
      <c r="E478" s="354"/>
      <c r="F478" s="169">
        <f t="shared" ref="F478:I479" si="204">F479</f>
        <v>38981.5</v>
      </c>
      <c r="G478" s="374">
        <f t="shared" si="204"/>
        <v>32432.6</v>
      </c>
      <c r="H478" s="169">
        <f t="shared" si="204"/>
        <v>38981.5</v>
      </c>
      <c r="I478" s="374">
        <f t="shared" si="204"/>
        <v>32432.6</v>
      </c>
      <c r="J478" s="507">
        <f>J479</f>
        <v>38908.400000000001</v>
      </c>
      <c r="K478" s="575">
        <f t="shared" si="191"/>
        <v>0.99812475148467872</v>
      </c>
      <c r="L478" s="169">
        <f>L479</f>
        <v>32371.8</v>
      </c>
      <c r="M478" s="580">
        <f t="shared" si="192"/>
        <v>0.99812534301906108</v>
      </c>
      <c r="N478" s="161"/>
    </row>
    <row r="479" spans="1:14" s="188" customFormat="1" x14ac:dyDescent="0.25">
      <c r="A479" s="278" t="s">
        <v>123</v>
      </c>
      <c r="B479" s="209" t="s">
        <v>5</v>
      </c>
      <c r="C479" s="4" t="s">
        <v>7</v>
      </c>
      <c r="D479" s="163" t="s">
        <v>624</v>
      </c>
      <c r="E479" s="354" t="s">
        <v>39</v>
      </c>
      <c r="F479" s="169">
        <f t="shared" si="204"/>
        <v>38981.5</v>
      </c>
      <c r="G479" s="374">
        <f t="shared" si="204"/>
        <v>32432.6</v>
      </c>
      <c r="H479" s="169">
        <f t="shared" si="204"/>
        <v>38981.5</v>
      </c>
      <c r="I479" s="374">
        <f t="shared" si="204"/>
        <v>32432.6</v>
      </c>
      <c r="J479" s="507">
        <f>J480</f>
        <v>38908.400000000001</v>
      </c>
      <c r="K479" s="575">
        <f t="shared" si="191"/>
        <v>0.99812475148467872</v>
      </c>
      <c r="L479" s="169">
        <f>L480</f>
        <v>32371.8</v>
      </c>
      <c r="M479" s="580">
        <f t="shared" si="192"/>
        <v>0.99812534301906108</v>
      </c>
      <c r="N479" s="161"/>
    </row>
    <row r="480" spans="1:14" s="188" customFormat="1" ht="31.5" x14ac:dyDescent="0.25">
      <c r="A480" s="278" t="s">
        <v>54</v>
      </c>
      <c r="B480" s="209" t="s">
        <v>5</v>
      </c>
      <c r="C480" s="4" t="s">
        <v>7</v>
      </c>
      <c r="D480" s="163" t="s">
        <v>624</v>
      </c>
      <c r="E480" s="354" t="s">
        <v>67</v>
      </c>
      <c r="F480" s="169">
        <f>'ведом. 2023-2025'!AD901</f>
        <v>38981.5</v>
      </c>
      <c r="G480" s="374">
        <f>33280-847.4</f>
        <v>32432.6</v>
      </c>
      <c r="H480" s="169">
        <f>'ведом. 2023-2025'!AE901</f>
        <v>38981.5</v>
      </c>
      <c r="I480" s="374">
        <v>32432.6</v>
      </c>
      <c r="J480" s="507">
        <f>'ведом. 2023-2025'!AF901</f>
        <v>38908.400000000001</v>
      </c>
      <c r="K480" s="575">
        <f t="shared" si="191"/>
        <v>0.99812475148467872</v>
      </c>
      <c r="L480" s="169">
        <v>32371.8</v>
      </c>
      <c r="M480" s="580">
        <f t="shared" si="192"/>
        <v>0.99812534301906108</v>
      </c>
      <c r="N480" s="161"/>
    </row>
    <row r="481" spans="1:14" s="145" customFormat="1" ht="31.5" x14ac:dyDescent="0.25">
      <c r="A481" s="280" t="s">
        <v>626</v>
      </c>
      <c r="B481" s="209" t="s">
        <v>5</v>
      </c>
      <c r="C481" s="4" t="s">
        <v>7</v>
      </c>
      <c r="D481" s="163" t="s">
        <v>257</v>
      </c>
      <c r="E481" s="354"/>
      <c r="F481" s="169">
        <f>F482</f>
        <v>102515.8</v>
      </c>
      <c r="G481" s="169">
        <f t="shared" ref="G481:J481" si="205">G482</f>
        <v>3282.4</v>
      </c>
      <c r="H481" s="169">
        <f>H482</f>
        <v>102495.8</v>
      </c>
      <c r="I481" s="169">
        <f t="shared" si="205"/>
        <v>3262.5</v>
      </c>
      <c r="J481" s="507">
        <f t="shared" si="205"/>
        <v>101510.29999999999</v>
      </c>
      <c r="K481" s="575">
        <f t="shared" si="191"/>
        <v>0.99038497187201802</v>
      </c>
      <c r="L481" s="169">
        <f>L482</f>
        <v>3262.4</v>
      </c>
      <c r="M481" s="580">
        <f t="shared" si="192"/>
        <v>0.99996934865900389</v>
      </c>
      <c r="N481" s="161"/>
    </row>
    <row r="482" spans="1:14" s="145" customFormat="1" ht="31.5" x14ac:dyDescent="0.25">
      <c r="A482" s="282" t="s">
        <v>627</v>
      </c>
      <c r="B482" s="209" t="s">
        <v>5</v>
      </c>
      <c r="C482" s="4" t="s">
        <v>7</v>
      </c>
      <c r="D482" s="163" t="s">
        <v>258</v>
      </c>
      <c r="E482" s="352"/>
      <c r="F482" s="169">
        <f>F487+F493+F490+F483+F496</f>
        <v>102515.8</v>
      </c>
      <c r="G482" s="169">
        <f t="shared" ref="G482:J482" si="206">G487+G493+G490+G483+G496</f>
        <v>3282.4</v>
      </c>
      <c r="H482" s="169">
        <f>H487+H493+H490+H483+H496</f>
        <v>102495.8</v>
      </c>
      <c r="I482" s="169">
        <f t="shared" ref="I482" si="207">I487+I493+I490+I483+I496</f>
        <v>3262.5</v>
      </c>
      <c r="J482" s="507">
        <f t="shared" si="206"/>
        <v>101510.29999999999</v>
      </c>
      <c r="K482" s="575">
        <f t="shared" si="191"/>
        <v>0.99038497187201802</v>
      </c>
      <c r="L482" s="169">
        <f>L487+L493+L490+L483+L496</f>
        <v>3262.4</v>
      </c>
      <c r="M482" s="580">
        <f t="shared" si="192"/>
        <v>0.99996934865900389</v>
      </c>
      <c r="N482" s="161"/>
    </row>
    <row r="483" spans="1:14" s="188" customFormat="1" x14ac:dyDescent="0.25">
      <c r="A483" s="282" t="s">
        <v>671</v>
      </c>
      <c r="B483" s="209" t="s">
        <v>5</v>
      </c>
      <c r="C483" s="4" t="s">
        <v>7</v>
      </c>
      <c r="D483" s="163" t="s">
        <v>259</v>
      </c>
      <c r="E483" s="352"/>
      <c r="F483" s="169">
        <f>F484</f>
        <v>20083.399999999998</v>
      </c>
      <c r="G483" s="169"/>
      <c r="H483" s="169">
        <f>H484</f>
        <v>20083.399999999998</v>
      </c>
      <c r="I483" s="169"/>
      <c r="J483" s="507">
        <f t="shared" ref="J483" si="208">J484</f>
        <v>19764.2</v>
      </c>
      <c r="K483" s="575">
        <f t="shared" si="191"/>
        <v>0.98410627682563723</v>
      </c>
      <c r="L483" s="169"/>
      <c r="M483" s="580"/>
      <c r="N483" s="161"/>
    </row>
    <row r="484" spans="1:14" s="188" customFormat="1" x14ac:dyDescent="0.25">
      <c r="A484" s="282" t="s">
        <v>698</v>
      </c>
      <c r="B484" s="209" t="s">
        <v>5</v>
      </c>
      <c r="C484" s="4" t="s">
        <v>7</v>
      </c>
      <c r="D484" s="163" t="s">
        <v>699</v>
      </c>
      <c r="E484" s="352"/>
      <c r="F484" s="169">
        <f>F485</f>
        <v>20083.399999999998</v>
      </c>
      <c r="G484" s="169"/>
      <c r="H484" s="169">
        <f>H485</f>
        <v>20083.399999999998</v>
      </c>
      <c r="I484" s="169"/>
      <c r="J484" s="507">
        <f t="shared" ref="J484" si="209">J485</f>
        <v>19764.2</v>
      </c>
      <c r="K484" s="575">
        <f t="shared" si="191"/>
        <v>0.98410627682563723</v>
      </c>
      <c r="L484" s="169"/>
      <c r="M484" s="580"/>
      <c r="N484" s="161"/>
    </row>
    <row r="485" spans="1:14" s="188" customFormat="1" x14ac:dyDescent="0.25">
      <c r="A485" s="278" t="s">
        <v>123</v>
      </c>
      <c r="B485" s="209" t="s">
        <v>5</v>
      </c>
      <c r="C485" s="4" t="s">
        <v>7</v>
      </c>
      <c r="D485" s="163" t="s">
        <v>699</v>
      </c>
      <c r="E485" s="351">
        <v>200</v>
      </c>
      <c r="F485" s="169">
        <f>F486</f>
        <v>20083.399999999998</v>
      </c>
      <c r="G485" s="374"/>
      <c r="H485" s="169">
        <f>H486</f>
        <v>20083.399999999998</v>
      </c>
      <c r="I485" s="374"/>
      <c r="J485" s="507">
        <f t="shared" ref="J485" si="210">J486</f>
        <v>19764.2</v>
      </c>
      <c r="K485" s="575">
        <f t="shared" si="191"/>
        <v>0.98410627682563723</v>
      </c>
      <c r="L485" s="169"/>
      <c r="M485" s="580"/>
      <c r="N485" s="161"/>
    </row>
    <row r="486" spans="1:14" s="188" customFormat="1" ht="31.5" x14ac:dyDescent="0.25">
      <c r="A486" s="278" t="s">
        <v>54</v>
      </c>
      <c r="B486" s="209" t="s">
        <v>5</v>
      </c>
      <c r="C486" s="4" t="s">
        <v>7</v>
      </c>
      <c r="D486" s="163" t="s">
        <v>699</v>
      </c>
      <c r="E486" s="352">
        <v>240</v>
      </c>
      <c r="F486" s="169">
        <f>'ведом. 2023-2025'!AD907</f>
        <v>20083.399999999998</v>
      </c>
      <c r="G486" s="374"/>
      <c r="H486" s="169">
        <f>'ведом. 2023-2025'!AE907</f>
        <v>20083.399999999998</v>
      </c>
      <c r="I486" s="374"/>
      <c r="J486" s="507">
        <f>'ведом. 2023-2025'!AF907</f>
        <v>19764.2</v>
      </c>
      <c r="K486" s="575">
        <f t="shared" si="191"/>
        <v>0.98410627682563723</v>
      </c>
      <c r="L486" s="169"/>
      <c r="M486" s="580"/>
      <c r="N486" s="161"/>
    </row>
    <row r="487" spans="1:14" s="145" customFormat="1" x14ac:dyDescent="0.25">
      <c r="A487" s="301" t="s">
        <v>666</v>
      </c>
      <c r="B487" s="209" t="s">
        <v>5</v>
      </c>
      <c r="C487" s="4" t="s">
        <v>7</v>
      </c>
      <c r="D487" s="163" t="s">
        <v>665</v>
      </c>
      <c r="E487" s="352"/>
      <c r="F487" s="372">
        <f>F488</f>
        <v>10154.1</v>
      </c>
      <c r="G487" s="375"/>
      <c r="H487" s="372">
        <f>H488</f>
        <v>10154.1</v>
      </c>
      <c r="I487" s="375"/>
      <c r="J487" s="508">
        <f t="shared" ref="J487" si="211">J488</f>
        <v>10019</v>
      </c>
      <c r="K487" s="575">
        <f t="shared" si="191"/>
        <v>0.98669502959395705</v>
      </c>
      <c r="L487" s="372"/>
      <c r="M487" s="580"/>
      <c r="N487" s="161"/>
    </row>
    <row r="488" spans="1:14" s="145" customFormat="1" x14ac:dyDescent="0.25">
      <c r="A488" s="278" t="s">
        <v>123</v>
      </c>
      <c r="B488" s="209" t="s">
        <v>5</v>
      </c>
      <c r="C488" s="4" t="s">
        <v>7</v>
      </c>
      <c r="D488" s="163" t="s">
        <v>665</v>
      </c>
      <c r="E488" s="351">
        <v>200</v>
      </c>
      <c r="F488" s="169">
        <f>F489</f>
        <v>10154.1</v>
      </c>
      <c r="G488" s="376"/>
      <c r="H488" s="169">
        <f>H489</f>
        <v>10154.1</v>
      </c>
      <c r="I488" s="376"/>
      <c r="J488" s="507">
        <f>J489</f>
        <v>10019</v>
      </c>
      <c r="K488" s="575">
        <f t="shared" si="191"/>
        <v>0.98669502959395705</v>
      </c>
      <c r="L488" s="583"/>
      <c r="M488" s="580"/>
      <c r="N488" s="161"/>
    </row>
    <row r="489" spans="1:14" s="145" customFormat="1" ht="31.5" x14ac:dyDescent="0.25">
      <c r="A489" s="278" t="s">
        <v>54</v>
      </c>
      <c r="B489" s="209" t="s">
        <v>5</v>
      </c>
      <c r="C489" s="4" t="s">
        <v>7</v>
      </c>
      <c r="D489" s="163" t="s">
        <v>665</v>
      </c>
      <c r="E489" s="352">
        <v>240</v>
      </c>
      <c r="F489" s="169">
        <f>'ведом. 2023-2025'!AD910</f>
        <v>10154.1</v>
      </c>
      <c r="G489" s="376"/>
      <c r="H489" s="169">
        <f>'ведом. 2023-2025'!AE910</f>
        <v>10154.1</v>
      </c>
      <c r="I489" s="376"/>
      <c r="J489" s="507">
        <f>'ведом. 2023-2025'!AF910</f>
        <v>10019</v>
      </c>
      <c r="K489" s="575">
        <f t="shared" si="191"/>
        <v>0.98669502959395705</v>
      </c>
      <c r="L489" s="583"/>
      <c r="M489" s="580"/>
      <c r="N489" s="161"/>
    </row>
    <row r="490" spans="1:14" s="188" customFormat="1" x14ac:dyDescent="0.25">
      <c r="A490" s="278" t="s">
        <v>489</v>
      </c>
      <c r="B490" s="209" t="s">
        <v>5</v>
      </c>
      <c r="C490" s="4" t="s">
        <v>7</v>
      </c>
      <c r="D490" s="163" t="s">
        <v>445</v>
      </c>
      <c r="E490" s="352"/>
      <c r="F490" s="169">
        <f>F491</f>
        <v>19689.900000000001</v>
      </c>
      <c r="G490" s="374"/>
      <c r="H490" s="169">
        <f>H491</f>
        <v>19689.900000000001</v>
      </c>
      <c r="I490" s="374"/>
      <c r="J490" s="507">
        <f t="shared" ref="J490" si="212">J491</f>
        <v>19162.8</v>
      </c>
      <c r="K490" s="575">
        <f t="shared" si="191"/>
        <v>0.97322993006566805</v>
      </c>
      <c r="L490" s="169"/>
      <c r="M490" s="580"/>
      <c r="N490" s="161"/>
    </row>
    <row r="491" spans="1:14" s="188" customFormat="1" x14ac:dyDescent="0.25">
      <c r="A491" s="278" t="s">
        <v>123</v>
      </c>
      <c r="B491" s="209" t="s">
        <v>5</v>
      </c>
      <c r="C491" s="4" t="s">
        <v>7</v>
      </c>
      <c r="D491" s="163" t="s">
        <v>445</v>
      </c>
      <c r="E491" s="351">
        <v>200</v>
      </c>
      <c r="F491" s="169">
        <f>F492</f>
        <v>19689.900000000001</v>
      </c>
      <c r="G491" s="374"/>
      <c r="H491" s="169">
        <f>H492</f>
        <v>19689.900000000001</v>
      </c>
      <c r="I491" s="374"/>
      <c r="J491" s="507">
        <f t="shared" ref="J491" si="213">J492</f>
        <v>19162.8</v>
      </c>
      <c r="K491" s="575">
        <f t="shared" si="191"/>
        <v>0.97322993006566805</v>
      </c>
      <c r="L491" s="169"/>
      <c r="M491" s="580"/>
      <c r="N491" s="161"/>
    </row>
    <row r="492" spans="1:14" s="188" customFormat="1" ht="31.5" x14ac:dyDescent="0.25">
      <c r="A492" s="278" t="s">
        <v>54</v>
      </c>
      <c r="B492" s="209" t="s">
        <v>5</v>
      </c>
      <c r="C492" s="4" t="s">
        <v>7</v>
      </c>
      <c r="D492" s="163" t="s">
        <v>445</v>
      </c>
      <c r="E492" s="352">
        <v>240</v>
      </c>
      <c r="F492" s="169">
        <f>'ведом. 2023-2025'!AD913</f>
        <v>19689.900000000001</v>
      </c>
      <c r="G492" s="376"/>
      <c r="H492" s="169">
        <f>'ведом. 2023-2025'!AE913</f>
        <v>19689.900000000001</v>
      </c>
      <c r="I492" s="376"/>
      <c r="J492" s="507">
        <f>'ведом. 2023-2025'!AF913</f>
        <v>19162.8</v>
      </c>
      <c r="K492" s="575">
        <f t="shared" si="191"/>
        <v>0.97322993006566805</v>
      </c>
      <c r="L492" s="583"/>
      <c r="M492" s="580"/>
      <c r="N492" s="161"/>
    </row>
    <row r="493" spans="1:14" s="145" customFormat="1" ht="31.5" x14ac:dyDescent="0.25">
      <c r="A493" s="281" t="s">
        <v>682</v>
      </c>
      <c r="B493" s="209" t="s">
        <v>5</v>
      </c>
      <c r="C493" s="4" t="s">
        <v>7</v>
      </c>
      <c r="D493" s="163" t="s">
        <v>463</v>
      </c>
      <c r="E493" s="352"/>
      <c r="F493" s="169">
        <f>F494</f>
        <v>48643.1</v>
      </c>
      <c r="G493" s="376"/>
      <c r="H493" s="169">
        <f>H494</f>
        <v>48643.1</v>
      </c>
      <c r="I493" s="376"/>
      <c r="J493" s="507">
        <f>J494</f>
        <v>48643.1</v>
      </c>
      <c r="K493" s="575">
        <f t="shared" si="191"/>
        <v>1</v>
      </c>
      <c r="L493" s="583"/>
      <c r="M493" s="580"/>
      <c r="N493" s="161"/>
    </row>
    <row r="494" spans="1:14" s="145" customFormat="1" ht="31.5" x14ac:dyDescent="0.25">
      <c r="A494" s="401" t="s">
        <v>62</v>
      </c>
      <c r="B494" s="209" t="s">
        <v>5</v>
      </c>
      <c r="C494" s="4" t="s">
        <v>7</v>
      </c>
      <c r="D494" s="163" t="s">
        <v>463</v>
      </c>
      <c r="E494" s="351">
        <v>600</v>
      </c>
      <c r="F494" s="169">
        <f>F495</f>
        <v>48643.1</v>
      </c>
      <c r="G494" s="376"/>
      <c r="H494" s="169">
        <f>H495</f>
        <v>48643.1</v>
      </c>
      <c r="I494" s="376"/>
      <c r="J494" s="507">
        <f>J495</f>
        <v>48643.1</v>
      </c>
      <c r="K494" s="575">
        <f t="shared" si="191"/>
        <v>1</v>
      </c>
      <c r="L494" s="583"/>
      <c r="M494" s="580"/>
      <c r="N494" s="161"/>
    </row>
    <row r="495" spans="1:14" s="145" customFormat="1" x14ac:dyDescent="0.25">
      <c r="A495" s="401" t="s">
        <v>63</v>
      </c>
      <c r="B495" s="209" t="s">
        <v>5</v>
      </c>
      <c r="C495" s="4" t="s">
        <v>7</v>
      </c>
      <c r="D495" s="163" t="s">
        <v>463</v>
      </c>
      <c r="E495" s="352">
        <v>610</v>
      </c>
      <c r="F495" s="169">
        <f>'ведом. 2023-2025'!AD342</f>
        <v>48643.1</v>
      </c>
      <c r="G495" s="376"/>
      <c r="H495" s="169">
        <f>'ведом. 2023-2025'!AE342</f>
        <v>48643.1</v>
      </c>
      <c r="I495" s="376"/>
      <c r="J495" s="507">
        <f>'ведом. 2023-2025'!AF342</f>
        <v>48643.1</v>
      </c>
      <c r="K495" s="575">
        <f t="shared" si="191"/>
        <v>1</v>
      </c>
      <c r="L495" s="583"/>
      <c r="M495" s="580"/>
      <c r="N495" s="161"/>
    </row>
    <row r="496" spans="1:14" s="188" customFormat="1" x14ac:dyDescent="0.25">
      <c r="A496" s="278" t="s">
        <v>475</v>
      </c>
      <c r="B496" s="209" t="s">
        <v>5</v>
      </c>
      <c r="C496" s="4" t="s">
        <v>7</v>
      </c>
      <c r="D496" s="163" t="s">
        <v>476</v>
      </c>
      <c r="E496" s="352"/>
      <c r="F496" s="169">
        <f t="shared" ref="F496:I497" si="214">F497</f>
        <v>3945.3</v>
      </c>
      <c r="G496" s="169">
        <f t="shared" si="214"/>
        <v>3282.4</v>
      </c>
      <c r="H496" s="169">
        <f t="shared" si="214"/>
        <v>3925.3</v>
      </c>
      <c r="I496" s="169">
        <f t="shared" si="214"/>
        <v>3262.5</v>
      </c>
      <c r="J496" s="507">
        <f t="shared" ref="J496:J497" si="215">J497</f>
        <v>3921.2</v>
      </c>
      <c r="K496" s="575">
        <f t="shared" si="191"/>
        <v>0.99895549384760396</v>
      </c>
      <c r="L496" s="169">
        <f>L497</f>
        <v>3262.4</v>
      </c>
      <c r="M496" s="580">
        <f t="shared" si="192"/>
        <v>0.99996934865900389</v>
      </c>
      <c r="N496" s="161"/>
    </row>
    <row r="497" spans="1:14" s="188" customFormat="1" x14ac:dyDescent="0.25">
      <c r="A497" s="278" t="s">
        <v>123</v>
      </c>
      <c r="B497" s="209" t="s">
        <v>5</v>
      </c>
      <c r="C497" s="4" t="s">
        <v>7</v>
      </c>
      <c r="D497" s="163" t="s">
        <v>476</v>
      </c>
      <c r="E497" s="351">
        <v>200</v>
      </c>
      <c r="F497" s="169">
        <f t="shared" si="214"/>
        <v>3945.3</v>
      </c>
      <c r="G497" s="169">
        <f t="shared" si="214"/>
        <v>3282.4</v>
      </c>
      <c r="H497" s="169">
        <f t="shared" si="214"/>
        <v>3925.3</v>
      </c>
      <c r="I497" s="169">
        <f t="shared" si="214"/>
        <v>3262.5</v>
      </c>
      <c r="J497" s="507">
        <f t="shared" si="215"/>
        <v>3921.2</v>
      </c>
      <c r="K497" s="575">
        <f t="shared" si="191"/>
        <v>0.99895549384760396</v>
      </c>
      <c r="L497" s="169">
        <f>L498</f>
        <v>3262.4</v>
      </c>
      <c r="M497" s="580">
        <f t="shared" si="192"/>
        <v>0.99996934865900389</v>
      </c>
      <c r="N497" s="161"/>
    </row>
    <row r="498" spans="1:14" s="188" customFormat="1" ht="31.5" x14ac:dyDescent="0.25">
      <c r="A498" s="278" t="s">
        <v>54</v>
      </c>
      <c r="B498" s="209" t="s">
        <v>5</v>
      </c>
      <c r="C498" s="4" t="s">
        <v>7</v>
      </c>
      <c r="D498" s="163" t="s">
        <v>476</v>
      </c>
      <c r="E498" s="352">
        <v>240</v>
      </c>
      <c r="F498" s="169">
        <f>'ведом. 2023-2025'!AD916</f>
        <v>3945.3</v>
      </c>
      <c r="G498" s="327">
        <f>3579.6-297.2</f>
        <v>3282.4</v>
      </c>
      <c r="H498" s="169">
        <f>'ведом. 2023-2025'!AE916</f>
        <v>3925.3</v>
      </c>
      <c r="I498" s="327">
        <v>3262.5</v>
      </c>
      <c r="J498" s="507">
        <f>'ведом. 2023-2025'!AF916</f>
        <v>3921.2</v>
      </c>
      <c r="K498" s="575">
        <f t="shared" si="191"/>
        <v>0.99895549384760396</v>
      </c>
      <c r="L498" s="168">
        <v>3262.4</v>
      </c>
      <c r="M498" s="580">
        <f t="shared" si="192"/>
        <v>0.99996934865900389</v>
      </c>
      <c r="N498" s="161"/>
    </row>
    <row r="499" spans="1:14" s="188" customFormat="1" x14ac:dyDescent="0.25">
      <c r="A499" s="284" t="s">
        <v>234</v>
      </c>
      <c r="B499" s="1" t="s">
        <v>5</v>
      </c>
      <c r="C499" s="4" t="s">
        <v>7</v>
      </c>
      <c r="D499" s="326" t="s">
        <v>140</v>
      </c>
      <c r="E499" s="309"/>
      <c r="F499" s="169">
        <f>F500</f>
        <v>387.6</v>
      </c>
      <c r="G499" s="169"/>
      <c r="H499" s="169">
        <f>H500</f>
        <v>387.6</v>
      </c>
      <c r="I499" s="169"/>
      <c r="J499" s="507">
        <f t="shared" ref="J499:J502" si="216">J500</f>
        <v>387.6</v>
      </c>
      <c r="K499" s="575">
        <f t="shared" si="191"/>
        <v>1</v>
      </c>
      <c r="L499" s="169"/>
      <c r="M499" s="580"/>
      <c r="N499" s="161"/>
    </row>
    <row r="500" spans="1:14" s="188" customFormat="1" x14ac:dyDescent="0.25">
      <c r="A500" s="469" t="s">
        <v>470</v>
      </c>
      <c r="B500" s="1" t="s">
        <v>5</v>
      </c>
      <c r="C500" s="4" t="s">
        <v>7</v>
      </c>
      <c r="D500" s="326" t="s">
        <v>471</v>
      </c>
      <c r="E500" s="309"/>
      <c r="F500" s="169">
        <f>F501</f>
        <v>387.6</v>
      </c>
      <c r="G500" s="169"/>
      <c r="H500" s="169">
        <f>H501</f>
        <v>387.6</v>
      </c>
      <c r="I500" s="169"/>
      <c r="J500" s="507">
        <f>J501</f>
        <v>387.6</v>
      </c>
      <c r="K500" s="575">
        <f t="shared" si="191"/>
        <v>1</v>
      </c>
      <c r="L500" s="169"/>
      <c r="M500" s="580"/>
      <c r="N500" s="161"/>
    </row>
    <row r="501" spans="1:14" s="188" customFormat="1" ht="47.25" x14ac:dyDescent="0.25">
      <c r="A501" s="278" t="s">
        <v>714</v>
      </c>
      <c r="B501" s="1" t="s">
        <v>5</v>
      </c>
      <c r="C501" s="4" t="s">
        <v>7</v>
      </c>
      <c r="D501" s="326" t="s">
        <v>713</v>
      </c>
      <c r="E501" s="309"/>
      <c r="F501" s="169">
        <f>F502</f>
        <v>387.6</v>
      </c>
      <c r="G501" s="169"/>
      <c r="H501" s="169">
        <f>H502</f>
        <v>387.6</v>
      </c>
      <c r="I501" s="169"/>
      <c r="J501" s="507">
        <f t="shared" si="216"/>
        <v>387.6</v>
      </c>
      <c r="K501" s="575">
        <f t="shared" si="191"/>
        <v>1</v>
      </c>
      <c r="L501" s="169"/>
      <c r="M501" s="580"/>
      <c r="N501" s="161"/>
    </row>
    <row r="502" spans="1:14" s="188" customFormat="1" x14ac:dyDescent="0.25">
      <c r="A502" s="278" t="s">
        <v>44</v>
      </c>
      <c r="B502" s="1" t="s">
        <v>5</v>
      </c>
      <c r="C502" s="4" t="s">
        <v>7</v>
      </c>
      <c r="D502" s="326" t="s">
        <v>713</v>
      </c>
      <c r="E502" s="309">
        <v>800</v>
      </c>
      <c r="F502" s="169">
        <f>F503</f>
        <v>387.6</v>
      </c>
      <c r="G502" s="169"/>
      <c r="H502" s="169">
        <f>H503</f>
        <v>387.6</v>
      </c>
      <c r="I502" s="169"/>
      <c r="J502" s="507">
        <f t="shared" si="216"/>
        <v>387.6</v>
      </c>
      <c r="K502" s="575">
        <f t="shared" si="191"/>
        <v>1</v>
      </c>
      <c r="L502" s="169"/>
      <c r="M502" s="580"/>
      <c r="N502" s="161"/>
    </row>
    <row r="503" spans="1:14" s="188" customFormat="1" x14ac:dyDescent="0.25">
      <c r="A503" s="278" t="s">
        <v>60</v>
      </c>
      <c r="B503" s="1" t="s">
        <v>5</v>
      </c>
      <c r="C503" s="4" t="s">
        <v>7</v>
      </c>
      <c r="D503" s="326" t="s">
        <v>713</v>
      </c>
      <c r="E503" s="309">
        <v>850</v>
      </c>
      <c r="F503" s="169">
        <f>'ведом. 2023-2025'!AD921</f>
        <v>387.6</v>
      </c>
      <c r="G503" s="376"/>
      <c r="H503" s="169">
        <f>'ведом. 2023-2025'!AE921</f>
        <v>387.6</v>
      </c>
      <c r="I503" s="376"/>
      <c r="J503" s="507">
        <f>'ведом. 2023-2025'!AF921</f>
        <v>387.6</v>
      </c>
      <c r="K503" s="575">
        <f t="shared" si="191"/>
        <v>1</v>
      </c>
      <c r="L503" s="583"/>
      <c r="M503" s="580"/>
      <c r="N503" s="161"/>
    </row>
    <row r="504" spans="1:14" s="145" customFormat="1" x14ac:dyDescent="0.25">
      <c r="A504" s="401" t="s">
        <v>29</v>
      </c>
      <c r="B504" s="209" t="s">
        <v>5</v>
      </c>
      <c r="C504" s="4" t="s">
        <v>5</v>
      </c>
      <c r="D504" s="33"/>
      <c r="E504" s="351"/>
      <c r="F504" s="168">
        <f>F519+F505+F513+F542</f>
        <v>22815.7</v>
      </c>
      <c r="G504" s="168">
        <f t="shared" ref="G504:J504" si="217">G519+G505+G513+G542</f>
        <v>1830</v>
      </c>
      <c r="H504" s="168">
        <f t="shared" si="217"/>
        <v>22950.9</v>
      </c>
      <c r="I504" s="168">
        <f t="shared" ref="I504" si="218">I519+I505+I513+I542</f>
        <v>1830</v>
      </c>
      <c r="J504" s="497">
        <f t="shared" si="217"/>
        <v>22756.500000000004</v>
      </c>
      <c r="K504" s="575">
        <f t="shared" si="191"/>
        <v>0.99152974393161064</v>
      </c>
      <c r="L504" s="168">
        <f>L519+L505+L513+L542</f>
        <v>1817.6</v>
      </c>
      <c r="M504" s="580">
        <f t="shared" si="192"/>
        <v>0.99322404371584694</v>
      </c>
      <c r="N504" s="161"/>
    </row>
    <row r="505" spans="1:14" s="188" customFormat="1" ht="31.5" x14ac:dyDescent="0.25">
      <c r="A505" s="421" t="s">
        <v>685</v>
      </c>
      <c r="B505" s="209" t="s">
        <v>5</v>
      </c>
      <c r="C505" s="4" t="s">
        <v>5</v>
      </c>
      <c r="D505" s="163" t="s">
        <v>114</v>
      </c>
      <c r="E505" s="352"/>
      <c r="F505" s="168">
        <f>F506</f>
        <v>435</v>
      </c>
      <c r="G505" s="327">
        <f t="shared" ref="G505:J505" si="219">G506</f>
        <v>435</v>
      </c>
      <c r="H505" s="168">
        <f>H506</f>
        <v>435</v>
      </c>
      <c r="I505" s="327">
        <f t="shared" si="219"/>
        <v>435</v>
      </c>
      <c r="J505" s="497">
        <f t="shared" si="219"/>
        <v>431.4</v>
      </c>
      <c r="K505" s="575">
        <f t="shared" si="191"/>
        <v>0.99172413793103442</v>
      </c>
      <c r="L505" s="168">
        <f>L506</f>
        <v>431.4</v>
      </c>
      <c r="M505" s="580">
        <f t="shared" si="192"/>
        <v>0.99172413793103442</v>
      </c>
      <c r="N505" s="161"/>
    </row>
    <row r="506" spans="1:14" s="188" customFormat="1" x14ac:dyDescent="0.25">
      <c r="A506" s="278" t="s">
        <v>609</v>
      </c>
      <c r="B506" s="209" t="s">
        <v>5</v>
      </c>
      <c r="C506" s="4" t="s">
        <v>5</v>
      </c>
      <c r="D506" s="163" t="s">
        <v>483</v>
      </c>
      <c r="E506" s="352"/>
      <c r="F506" s="168">
        <f>F507</f>
        <v>435</v>
      </c>
      <c r="G506" s="327">
        <f t="shared" ref="G506:J506" si="220">G507</f>
        <v>435</v>
      </c>
      <c r="H506" s="168">
        <f>H507</f>
        <v>435</v>
      </c>
      <c r="I506" s="327">
        <f t="shared" si="220"/>
        <v>435</v>
      </c>
      <c r="J506" s="497">
        <f t="shared" si="220"/>
        <v>431.4</v>
      </c>
      <c r="K506" s="575">
        <f t="shared" si="191"/>
        <v>0.99172413793103442</v>
      </c>
      <c r="L506" s="168">
        <f>L507</f>
        <v>431.4</v>
      </c>
      <c r="M506" s="580">
        <f t="shared" si="192"/>
        <v>0.99172413793103442</v>
      </c>
      <c r="N506" s="161"/>
    </row>
    <row r="507" spans="1:14" s="188" customFormat="1" ht="31.5" x14ac:dyDescent="0.25">
      <c r="A507" s="278" t="s">
        <v>643</v>
      </c>
      <c r="B507" s="209" t="s">
        <v>5</v>
      </c>
      <c r="C507" s="4" t="s">
        <v>5</v>
      </c>
      <c r="D507" s="163" t="s">
        <v>641</v>
      </c>
      <c r="E507" s="352"/>
      <c r="F507" s="168">
        <f>F508</f>
        <v>435</v>
      </c>
      <c r="G507" s="327">
        <f t="shared" ref="G507:J507" si="221">G508</f>
        <v>435</v>
      </c>
      <c r="H507" s="168">
        <f>H508</f>
        <v>435</v>
      </c>
      <c r="I507" s="327">
        <f t="shared" si="221"/>
        <v>435</v>
      </c>
      <c r="J507" s="497">
        <f t="shared" si="221"/>
        <v>431.4</v>
      </c>
      <c r="K507" s="575">
        <f t="shared" si="191"/>
        <v>0.99172413793103442</v>
      </c>
      <c r="L507" s="168">
        <f>L508</f>
        <v>431.4</v>
      </c>
      <c r="M507" s="580">
        <f t="shared" si="192"/>
        <v>0.99172413793103442</v>
      </c>
      <c r="N507" s="161"/>
    </row>
    <row r="508" spans="1:14" s="188" customFormat="1" ht="47.25" x14ac:dyDescent="0.25">
      <c r="A508" s="278" t="s">
        <v>484</v>
      </c>
      <c r="B508" s="209" t="s">
        <v>5</v>
      </c>
      <c r="C508" s="4" t="s">
        <v>5</v>
      </c>
      <c r="D508" s="163" t="s">
        <v>642</v>
      </c>
      <c r="E508" s="352"/>
      <c r="F508" s="168">
        <f>F509+F511</f>
        <v>435</v>
      </c>
      <c r="G508" s="327">
        <f t="shared" ref="G508:J508" si="222">G509+G511</f>
        <v>435</v>
      </c>
      <c r="H508" s="168">
        <f>H509+H511</f>
        <v>435</v>
      </c>
      <c r="I508" s="327">
        <f t="shared" ref="I508" si="223">I509+I511</f>
        <v>435</v>
      </c>
      <c r="J508" s="497">
        <f t="shared" si="222"/>
        <v>431.4</v>
      </c>
      <c r="K508" s="575">
        <f t="shared" si="191"/>
        <v>0.99172413793103442</v>
      </c>
      <c r="L508" s="168">
        <f>L509+L511</f>
        <v>431.4</v>
      </c>
      <c r="M508" s="580">
        <f t="shared" si="192"/>
        <v>0.99172413793103442</v>
      </c>
      <c r="N508" s="161"/>
    </row>
    <row r="509" spans="1:14" s="188" customFormat="1" ht="47.25" x14ac:dyDescent="0.25">
      <c r="A509" s="278" t="s">
        <v>43</v>
      </c>
      <c r="B509" s="209" t="s">
        <v>5</v>
      </c>
      <c r="C509" s="4" t="s">
        <v>5</v>
      </c>
      <c r="D509" s="163" t="s">
        <v>642</v>
      </c>
      <c r="E509" s="352">
        <v>100</v>
      </c>
      <c r="F509" s="168">
        <f>F510</f>
        <v>412</v>
      </c>
      <c r="G509" s="327">
        <f t="shared" ref="G509:J509" si="224">G510</f>
        <v>412</v>
      </c>
      <c r="H509" s="168">
        <f>H510</f>
        <v>412</v>
      </c>
      <c r="I509" s="327">
        <f t="shared" si="224"/>
        <v>412</v>
      </c>
      <c r="J509" s="497">
        <f t="shared" si="224"/>
        <v>411.4</v>
      </c>
      <c r="K509" s="575">
        <f t="shared" si="191"/>
        <v>0.99854368932038828</v>
      </c>
      <c r="L509" s="168">
        <f>L510</f>
        <v>411.4</v>
      </c>
      <c r="M509" s="580">
        <f t="shared" si="192"/>
        <v>0.99854368932038828</v>
      </c>
      <c r="N509" s="161"/>
    </row>
    <row r="510" spans="1:14" s="188" customFormat="1" x14ac:dyDescent="0.25">
      <c r="A510" s="278" t="s">
        <v>99</v>
      </c>
      <c r="B510" s="209" t="s">
        <v>5</v>
      </c>
      <c r="C510" s="4" t="s">
        <v>5</v>
      </c>
      <c r="D510" s="163" t="s">
        <v>642</v>
      </c>
      <c r="E510" s="352">
        <v>120</v>
      </c>
      <c r="F510" s="168">
        <f>'ведом. 2023-2025'!AD928</f>
        <v>412</v>
      </c>
      <c r="G510" s="327">
        <f>F510</f>
        <v>412</v>
      </c>
      <c r="H510" s="168">
        <f>'ведом. 2023-2025'!AE928</f>
        <v>412</v>
      </c>
      <c r="I510" s="327">
        <f>H510</f>
        <v>412</v>
      </c>
      <c r="J510" s="497">
        <f>'ведом. 2023-2025'!AF928</f>
        <v>411.4</v>
      </c>
      <c r="K510" s="575">
        <f t="shared" si="191"/>
        <v>0.99854368932038828</v>
      </c>
      <c r="L510" s="168">
        <f>J510</f>
        <v>411.4</v>
      </c>
      <c r="M510" s="580">
        <f t="shared" si="192"/>
        <v>0.99854368932038828</v>
      </c>
      <c r="N510" s="161"/>
    </row>
    <row r="511" spans="1:14" s="188" customFormat="1" x14ac:dyDescent="0.25">
      <c r="A511" s="278" t="s">
        <v>123</v>
      </c>
      <c r="B511" s="209" t="s">
        <v>5</v>
      </c>
      <c r="C511" s="4" t="s">
        <v>5</v>
      </c>
      <c r="D511" s="163" t="s">
        <v>642</v>
      </c>
      <c r="E511" s="352">
        <v>200</v>
      </c>
      <c r="F511" s="168">
        <f>F512</f>
        <v>23</v>
      </c>
      <c r="G511" s="327">
        <f t="shared" ref="G511:J511" si="225">G512</f>
        <v>23</v>
      </c>
      <c r="H511" s="168">
        <f>H512</f>
        <v>23</v>
      </c>
      <c r="I511" s="327">
        <f t="shared" si="225"/>
        <v>23</v>
      </c>
      <c r="J511" s="497">
        <f t="shared" si="225"/>
        <v>20</v>
      </c>
      <c r="K511" s="575">
        <f t="shared" si="191"/>
        <v>0.86956521739130432</v>
      </c>
      <c r="L511" s="168">
        <f>L512</f>
        <v>20</v>
      </c>
      <c r="M511" s="580">
        <f t="shared" si="192"/>
        <v>0.86956521739130432</v>
      </c>
      <c r="N511" s="161"/>
    </row>
    <row r="512" spans="1:14" s="188" customFormat="1" ht="31.5" x14ac:dyDescent="0.25">
      <c r="A512" s="278" t="s">
        <v>54</v>
      </c>
      <c r="B512" s="209" t="s">
        <v>5</v>
      </c>
      <c r="C512" s="4" t="s">
        <v>5</v>
      </c>
      <c r="D512" s="163" t="s">
        <v>642</v>
      </c>
      <c r="E512" s="352">
        <v>240</v>
      </c>
      <c r="F512" s="168">
        <f>'ведом. 2023-2025'!AD930</f>
        <v>23</v>
      </c>
      <c r="G512" s="327">
        <v>23</v>
      </c>
      <c r="H512" s="168">
        <f>'ведом. 2023-2025'!AE930</f>
        <v>23</v>
      </c>
      <c r="I512" s="327">
        <v>23</v>
      </c>
      <c r="J512" s="497">
        <f>'ведом. 2023-2025'!AF930</f>
        <v>20</v>
      </c>
      <c r="K512" s="575">
        <f t="shared" si="191"/>
        <v>0.86956521739130432</v>
      </c>
      <c r="L512" s="168">
        <v>20</v>
      </c>
      <c r="M512" s="580">
        <f t="shared" si="192"/>
        <v>0.86956521739130432</v>
      </c>
      <c r="N512" s="161"/>
    </row>
    <row r="513" spans="1:14" s="188" customFormat="1" x14ac:dyDescent="0.25">
      <c r="A513" s="284" t="s">
        <v>193</v>
      </c>
      <c r="B513" s="1" t="s">
        <v>5</v>
      </c>
      <c r="C513" s="4" t="s">
        <v>5</v>
      </c>
      <c r="D513" s="326" t="s">
        <v>115</v>
      </c>
      <c r="E513" s="309"/>
      <c r="F513" s="168">
        <f>F514</f>
        <v>111.19999999999999</v>
      </c>
      <c r="G513" s="168"/>
      <c r="H513" s="168">
        <f>H514</f>
        <v>111.19999999999999</v>
      </c>
      <c r="I513" s="168"/>
      <c r="J513" s="497">
        <f t="shared" ref="J513" si="226">J514</f>
        <v>111.2</v>
      </c>
      <c r="K513" s="575">
        <f t="shared" si="191"/>
        <v>1.0000000000000002</v>
      </c>
      <c r="L513" s="168"/>
      <c r="M513" s="580"/>
      <c r="N513" s="161"/>
    </row>
    <row r="514" spans="1:14" s="188" customFormat="1" x14ac:dyDescent="0.25">
      <c r="A514" s="284" t="s">
        <v>198</v>
      </c>
      <c r="B514" s="1" t="s">
        <v>5</v>
      </c>
      <c r="C514" s="4" t="s">
        <v>5</v>
      </c>
      <c r="D514" s="326" t="s">
        <v>199</v>
      </c>
      <c r="E514" s="309"/>
      <c r="F514" s="168">
        <f>F515</f>
        <v>111.19999999999999</v>
      </c>
      <c r="G514" s="168"/>
      <c r="H514" s="168">
        <f>H515</f>
        <v>111.19999999999999</v>
      </c>
      <c r="I514" s="168"/>
      <c r="J514" s="497">
        <f t="shared" ref="J514" si="227">J515</f>
        <v>111.2</v>
      </c>
      <c r="K514" s="575">
        <f t="shared" si="191"/>
        <v>1.0000000000000002</v>
      </c>
      <c r="L514" s="168"/>
      <c r="M514" s="580"/>
      <c r="N514" s="161"/>
    </row>
    <row r="515" spans="1:14" s="188" customFormat="1" ht="31.5" x14ac:dyDescent="0.25">
      <c r="A515" s="278" t="s">
        <v>615</v>
      </c>
      <c r="B515" s="1" t="s">
        <v>5</v>
      </c>
      <c r="C515" s="4" t="s">
        <v>5</v>
      </c>
      <c r="D515" s="338" t="s">
        <v>616</v>
      </c>
      <c r="E515" s="309"/>
      <c r="F515" s="168">
        <f>F516</f>
        <v>111.19999999999999</v>
      </c>
      <c r="G515" s="168"/>
      <c r="H515" s="168">
        <f>H516</f>
        <v>111.19999999999999</v>
      </c>
      <c r="I515" s="168"/>
      <c r="J515" s="497">
        <f t="shared" ref="J515" si="228">J516</f>
        <v>111.2</v>
      </c>
      <c r="K515" s="575">
        <f t="shared" si="191"/>
        <v>1.0000000000000002</v>
      </c>
      <c r="L515" s="168"/>
      <c r="M515" s="580"/>
      <c r="N515" s="161"/>
    </row>
    <row r="516" spans="1:14" s="188" customFormat="1" ht="78.75" x14ac:dyDescent="0.25">
      <c r="A516" s="278" t="s">
        <v>449</v>
      </c>
      <c r="B516" s="1" t="s">
        <v>5</v>
      </c>
      <c r="C516" s="4" t="s">
        <v>5</v>
      </c>
      <c r="D516" s="326" t="s">
        <v>617</v>
      </c>
      <c r="E516" s="309"/>
      <c r="F516" s="168">
        <f>F517</f>
        <v>111.19999999999999</v>
      </c>
      <c r="G516" s="168"/>
      <c r="H516" s="168">
        <f>H517</f>
        <v>111.19999999999999</v>
      </c>
      <c r="I516" s="168"/>
      <c r="J516" s="497">
        <f t="shared" ref="J516" si="229">J517</f>
        <v>111.2</v>
      </c>
      <c r="K516" s="575">
        <f t="shared" si="191"/>
        <v>1.0000000000000002</v>
      </c>
      <c r="L516" s="168"/>
      <c r="M516" s="580"/>
      <c r="N516" s="161"/>
    </row>
    <row r="517" spans="1:14" s="188" customFormat="1" x14ac:dyDescent="0.25">
      <c r="A517" s="278" t="s">
        <v>123</v>
      </c>
      <c r="B517" s="1" t="s">
        <v>5</v>
      </c>
      <c r="C517" s="4" t="s">
        <v>5</v>
      </c>
      <c r="D517" s="326" t="s">
        <v>617</v>
      </c>
      <c r="E517" s="309">
        <v>200</v>
      </c>
      <c r="F517" s="168">
        <f>F518</f>
        <v>111.19999999999999</v>
      </c>
      <c r="G517" s="168"/>
      <c r="H517" s="168">
        <f>H518</f>
        <v>111.19999999999999</v>
      </c>
      <c r="I517" s="168"/>
      <c r="J517" s="497">
        <f t="shared" ref="J517" si="230">J518</f>
        <v>111.2</v>
      </c>
      <c r="K517" s="575">
        <f t="shared" si="191"/>
        <v>1.0000000000000002</v>
      </c>
      <c r="L517" s="168"/>
      <c r="M517" s="580"/>
      <c r="N517" s="161"/>
    </row>
    <row r="518" spans="1:14" s="188" customFormat="1" ht="31.5" x14ac:dyDescent="0.25">
      <c r="A518" s="278" t="s">
        <v>54</v>
      </c>
      <c r="B518" s="1" t="s">
        <v>5</v>
      </c>
      <c r="C518" s="4" t="s">
        <v>5</v>
      </c>
      <c r="D518" s="326" t="s">
        <v>617</v>
      </c>
      <c r="E518" s="309">
        <v>240</v>
      </c>
      <c r="F518" s="168">
        <f>'ведом. 2023-2025'!AD936</f>
        <v>111.19999999999999</v>
      </c>
      <c r="G518" s="168"/>
      <c r="H518" s="168">
        <f>'ведом. 2023-2025'!AE936</f>
        <v>111.19999999999999</v>
      </c>
      <c r="I518" s="168"/>
      <c r="J518" s="497">
        <f>'ведом. 2023-2025'!AF936</f>
        <v>111.2</v>
      </c>
      <c r="K518" s="575">
        <f t="shared" si="191"/>
        <v>1.0000000000000002</v>
      </c>
      <c r="L518" s="168"/>
      <c r="M518" s="580"/>
      <c r="N518" s="161"/>
    </row>
    <row r="519" spans="1:14" s="145" customFormat="1" x14ac:dyDescent="0.25">
      <c r="A519" s="280" t="s">
        <v>255</v>
      </c>
      <c r="B519" s="209" t="s">
        <v>5</v>
      </c>
      <c r="C519" s="4" t="s">
        <v>5</v>
      </c>
      <c r="D519" s="163" t="s">
        <v>256</v>
      </c>
      <c r="E519" s="352"/>
      <c r="F519" s="168">
        <f t="shared" ref="F519:J519" si="231">F520+F527</f>
        <v>22269.5</v>
      </c>
      <c r="G519" s="327">
        <f t="shared" si="231"/>
        <v>1395</v>
      </c>
      <c r="H519" s="168">
        <f t="shared" ref="H519:I519" si="232">H520+H527</f>
        <v>22269.5</v>
      </c>
      <c r="I519" s="327">
        <f t="shared" si="232"/>
        <v>1395</v>
      </c>
      <c r="J519" s="497">
        <f t="shared" si="231"/>
        <v>22078.7</v>
      </c>
      <c r="K519" s="575">
        <f t="shared" si="191"/>
        <v>0.99143222793506813</v>
      </c>
      <c r="L519" s="168">
        <f>L520+L527</f>
        <v>1386.2</v>
      </c>
      <c r="M519" s="580">
        <f t="shared" si="192"/>
        <v>0.99369175627240147</v>
      </c>
      <c r="N519" s="161"/>
    </row>
    <row r="520" spans="1:14" s="188" customFormat="1" ht="31.5" x14ac:dyDescent="0.25">
      <c r="A520" s="280" t="s">
        <v>626</v>
      </c>
      <c r="B520" s="209" t="s">
        <v>5</v>
      </c>
      <c r="C520" s="4" t="s">
        <v>5</v>
      </c>
      <c r="D520" s="163" t="s">
        <v>257</v>
      </c>
      <c r="E520" s="352"/>
      <c r="F520" s="168">
        <f>F521</f>
        <v>1395</v>
      </c>
      <c r="G520" s="327">
        <f t="shared" ref="G520:J521" si="233">G521</f>
        <v>1395</v>
      </c>
      <c r="H520" s="168">
        <f>H521</f>
        <v>1395</v>
      </c>
      <c r="I520" s="327">
        <f t="shared" si="233"/>
        <v>1395</v>
      </c>
      <c r="J520" s="497">
        <f t="shared" si="233"/>
        <v>1386.2</v>
      </c>
      <c r="K520" s="575">
        <f t="shared" si="191"/>
        <v>0.99369175627240147</v>
      </c>
      <c r="L520" s="168">
        <f>L521</f>
        <v>1386.2</v>
      </c>
      <c r="M520" s="580">
        <f t="shared" si="192"/>
        <v>0.99369175627240147</v>
      </c>
      <c r="N520" s="161"/>
    </row>
    <row r="521" spans="1:14" s="188" customFormat="1" ht="31.5" x14ac:dyDescent="0.25">
      <c r="A521" s="282" t="s">
        <v>371</v>
      </c>
      <c r="B521" s="209" t="s">
        <v>5</v>
      </c>
      <c r="C521" s="4" t="s">
        <v>5</v>
      </c>
      <c r="D521" s="163" t="s">
        <v>258</v>
      </c>
      <c r="E521" s="352"/>
      <c r="F521" s="168">
        <f>F522</f>
        <v>1395</v>
      </c>
      <c r="G521" s="327">
        <f t="shared" si="233"/>
        <v>1395</v>
      </c>
      <c r="H521" s="168">
        <f>H522</f>
        <v>1395</v>
      </c>
      <c r="I521" s="327">
        <f t="shared" si="233"/>
        <v>1395</v>
      </c>
      <c r="J521" s="497">
        <f t="shared" si="233"/>
        <v>1386.2</v>
      </c>
      <c r="K521" s="575">
        <f t="shared" si="191"/>
        <v>0.99369175627240147</v>
      </c>
      <c r="L521" s="168">
        <f>L522</f>
        <v>1386.2</v>
      </c>
      <c r="M521" s="580">
        <f t="shared" si="192"/>
        <v>0.99369175627240147</v>
      </c>
      <c r="N521" s="161"/>
    </row>
    <row r="522" spans="1:14" s="188" customFormat="1" ht="31.5" x14ac:dyDescent="0.25">
      <c r="A522" s="297" t="s">
        <v>350</v>
      </c>
      <c r="B522" s="209" t="s">
        <v>5</v>
      </c>
      <c r="C522" s="4" t="s">
        <v>5</v>
      </c>
      <c r="D522" s="163" t="s">
        <v>629</v>
      </c>
      <c r="E522" s="352"/>
      <c r="F522" s="168">
        <f>F523+F525</f>
        <v>1395</v>
      </c>
      <c r="G522" s="327">
        <f t="shared" ref="G522:J522" si="234">G523+G525</f>
        <v>1395</v>
      </c>
      <c r="H522" s="168">
        <f>H523+H525</f>
        <v>1395</v>
      </c>
      <c r="I522" s="327">
        <f t="shared" ref="I522" si="235">I523+I525</f>
        <v>1395</v>
      </c>
      <c r="J522" s="497">
        <f t="shared" si="234"/>
        <v>1386.2</v>
      </c>
      <c r="K522" s="575">
        <f t="shared" si="191"/>
        <v>0.99369175627240147</v>
      </c>
      <c r="L522" s="168">
        <f>L523+L525</f>
        <v>1386.2</v>
      </c>
      <c r="M522" s="580">
        <f t="shared" si="192"/>
        <v>0.99369175627240147</v>
      </c>
      <c r="N522" s="161"/>
    </row>
    <row r="523" spans="1:14" s="188" customFormat="1" ht="47.25" x14ac:dyDescent="0.25">
      <c r="A523" s="297" t="s">
        <v>43</v>
      </c>
      <c r="B523" s="209" t="s">
        <v>5</v>
      </c>
      <c r="C523" s="4" t="s">
        <v>5</v>
      </c>
      <c r="D523" s="163" t="s">
        <v>629</v>
      </c>
      <c r="E523" s="352">
        <v>100</v>
      </c>
      <c r="F523" s="168">
        <f>F524</f>
        <v>1331</v>
      </c>
      <c r="G523" s="327">
        <f t="shared" ref="G523:J523" si="236">G524</f>
        <v>1331</v>
      </c>
      <c r="H523" s="168">
        <f>H524</f>
        <v>1331</v>
      </c>
      <c r="I523" s="327">
        <f t="shared" si="236"/>
        <v>1331</v>
      </c>
      <c r="J523" s="497">
        <f t="shared" si="236"/>
        <v>1328.3</v>
      </c>
      <c r="K523" s="575">
        <f t="shared" si="191"/>
        <v>0.99797145003756571</v>
      </c>
      <c r="L523" s="168">
        <f>L524</f>
        <v>1328.3</v>
      </c>
      <c r="M523" s="580">
        <f t="shared" si="192"/>
        <v>0.99797145003756571</v>
      </c>
      <c r="N523" s="161"/>
    </row>
    <row r="524" spans="1:14" s="188" customFormat="1" x14ac:dyDescent="0.25">
      <c r="A524" s="297" t="s">
        <v>99</v>
      </c>
      <c r="B524" s="209" t="s">
        <v>5</v>
      </c>
      <c r="C524" s="4" t="s">
        <v>5</v>
      </c>
      <c r="D524" s="163" t="s">
        <v>629</v>
      </c>
      <c r="E524" s="352">
        <v>120</v>
      </c>
      <c r="F524" s="168">
        <f>'ведом. 2023-2025'!AD942</f>
        <v>1331</v>
      </c>
      <c r="G524" s="327">
        <f>F524</f>
        <v>1331</v>
      </c>
      <c r="H524" s="168">
        <f>'ведом. 2023-2025'!AE942</f>
        <v>1331</v>
      </c>
      <c r="I524" s="327">
        <f>H524</f>
        <v>1331</v>
      </c>
      <c r="J524" s="497">
        <f>'ведом. 2023-2025'!AF942</f>
        <v>1328.3</v>
      </c>
      <c r="K524" s="575">
        <f t="shared" si="191"/>
        <v>0.99797145003756571</v>
      </c>
      <c r="L524" s="168">
        <f>J524</f>
        <v>1328.3</v>
      </c>
      <c r="M524" s="580">
        <f t="shared" si="192"/>
        <v>0.99797145003756571</v>
      </c>
      <c r="N524" s="161"/>
    </row>
    <row r="525" spans="1:14" s="188" customFormat="1" x14ac:dyDescent="0.25">
      <c r="A525" s="297" t="s">
        <v>123</v>
      </c>
      <c r="B525" s="209" t="s">
        <v>5</v>
      </c>
      <c r="C525" s="4" t="s">
        <v>5</v>
      </c>
      <c r="D525" s="163" t="s">
        <v>629</v>
      </c>
      <c r="E525" s="352">
        <v>200</v>
      </c>
      <c r="F525" s="168">
        <f>F526</f>
        <v>64</v>
      </c>
      <c r="G525" s="327">
        <f t="shared" ref="G525:J525" si="237">G526</f>
        <v>64</v>
      </c>
      <c r="H525" s="168">
        <f>H526</f>
        <v>64</v>
      </c>
      <c r="I525" s="327">
        <f t="shared" si="237"/>
        <v>64</v>
      </c>
      <c r="J525" s="497">
        <f t="shared" si="237"/>
        <v>57.9</v>
      </c>
      <c r="K525" s="575">
        <f t="shared" si="191"/>
        <v>0.90468749999999998</v>
      </c>
      <c r="L525" s="168">
        <f>L526</f>
        <v>57.9</v>
      </c>
      <c r="M525" s="580">
        <f t="shared" si="192"/>
        <v>0.90468749999999998</v>
      </c>
      <c r="N525" s="161"/>
    </row>
    <row r="526" spans="1:14" s="188" customFormat="1" ht="31.5" x14ac:dyDescent="0.25">
      <c r="A526" s="297" t="s">
        <v>54</v>
      </c>
      <c r="B526" s="209" t="s">
        <v>5</v>
      </c>
      <c r="C526" s="4" t="s">
        <v>5</v>
      </c>
      <c r="D526" s="163" t="s">
        <v>629</v>
      </c>
      <c r="E526" s="352">
        <v>240</v>
      </c>
      <c r="F526" s="168">
        <f>'ведом. 2023-2025'!AD944</f>
        <v>64</v>
      </c>
      <c r="G526" s="327">
        <f>F526</f>
        <v>64</v>
      </c>
      <c r="H526" s="168">
        <f>'ведом. 2023-2025'!AE944</f>
        <v>64</v>
      </c>
      <c r="I526" s="327">
        <f>H526</f>
        <v>64</v>
      </c>
      <c r="J526" s="497">
        <f>'ведом. 2023-2025'!AF944</f>
        <v>57.9</v>
      </c>
      <c r="K526" s="575">
        <f t="shared" si="191"/>
        <v>0.90468749999999998</v>
      </c>
      <c r="L526" s="168">
        <f>J526</f>
        <v>57.9</v>
      </c>
      <c r="M526" s="580">
        <f t="shared" si="192"/>
        <v>0.90468749999999998</v>
      </c>
      <c r="N526" s="161"/>
    </row>
    <row r="527" spans="1:14" s="145" customFormat="1" x14ac:dyDescent="0.25">
      <c r="A527" s="280" t="s">
        <v>198</v>
      </c>
      <c r="B527" s="209" t="s">
        <v>5</v>
      </c>
      <c r="C527" s="4" t="s">
        <v>5</v>
      </c>
      <c r="D527" s="163" t="s">
        <v>340</v>
      </c>
      <c r="E527" s="352"/>
      <c r="F527" s="168">
        <f t="shared" ref="F527:J528" si="238">F528</f>
        <v>20874.5</v>
      </c>
      <c r="G527" s="327"/>
      <c r="H527" s="168">
        <f t="shared" si="238"/>
        <v>20874.5</v>
      </c>
      <c r="I527" s="327"/>
      <c r="J527" s="497">
        <f t="shared" si="238"/>
        <v>20692.5</v>
      </c>
      <c r="K527" s="575">
        <f t="shared" ref="K527:K591" si="239">J527/H527</f>
        <v>0.99128122829289322</v>
      </c>
      <c r="L527" s="168"/>
      <c r="M527" s="580"/>
      <c r="N527" s="161"/>
    </row>
    <row r="528" spans="1:14" s="145" customFormat="1" ht="31.5" x14ac:dyDescent="0.25">
      <c r="A528" s="280" t="s">
        <v>200</v>
      </c>
      <c r="B528" s="209" t="s">
        <v>5</v>
      </c>
      <c r="C528" s="4" t="s">
        <v>5</v>
      </c>
      <c r="D528" s="163" t="s">
        <v>344</v>
      </c>
      <c r="E528" s="352"/>
      <c r="F528" s="168">
        <f>F529</f>
        <v>20874.5</v>
      </c>
      <c r="G528" s="327"/>
      <c r="H528" s="168">
        <f>H529</f>
        <v>20874.5</v>
      </c>
      <c r="I528" s="327"/>
      <c r="J528" s="497">
        <f t="shared" si="238"/>
        <v>20692.5</v>
      </c>
      <c r="K528" s="575">
        <f t="shared" si="239"/>
        <v>0.99128122829289322</v>
      </c>
      <c r="L528" s="168"/>
      <c r="M528" s="580"/>
      <c r="N528" s="161"/>
    </row>
    <row r="529" spans="1:23" s="145" customFormat="1" x14ac:dyDescent="0.25">
      <c r="A529" s="281" t="s">
        <v>214</v>
      </c>
      <c r="B529" s="209" t="s">
        <v>5</v>
      </c>
      <c r="C529" s="4" t="s">
        <v>5</v>
      </c>
      <c r="D529" s="163" t="s">
        <v>632</v>
      </c>
      <c r="E529" s="352"/>
      <c r="F529" s="168">
        <f>F530+F535+F538</f>
        <v>20874.5</v>
      </c>
      <c r="G529" s="327"/>
      <c r="H529" s="168">
        <f>H530+H535+H538</f>
        <v>20874.5</v>
      </c>
      <c r="I529" s="327"/>
      <c r="J529" s="497">
        <f>J530+J535+J538</f>
        <v>20692.5</v>
      </c>
      <c r="K529" s="575">
        <f t="shared" si="239"/>
        <v>0.99128122829289322</v>
      </c>
      <c r="L529" s="168"/>
      <c r="M529" s="580"/>
      <c r="N529" s="161"/>
    </row>
    <row r="530" spans="1:23" s="145" customFormat="1" ht="31.5" x14ac:dyDescent="0.25">
      <c r="A530" s="401" t="s">
        <v>215</v>
      </c>
      <c r="B530" s="209" t="s">
        <v>5</v>
      </c>
      <c r="C530" s="4" t="s">
        <v>5</v>
      </c>
      <c r="D530" s="163" t="s">
        <v>633</v>
      </c>
      <c r="E530" s="366"/>
      <c r="F530" s="168">
        <f>F531+F533</f>
        <v>2049.4999999999995</v>
      </c>
      <c r="G530" s="327"/>
      <c r="H530" s="168">
        <f>H531+H533</f>
        <v>2049.4999999999995</v>
      </c>
      <c r="I530" s="327"/>
      <c r="J530" s="497">
        <f>J531+J533</f>
        <v>1893</v>
      </c>
      <c r="K530" s="575">
        <f t="shared" si="239"/>
        <v>0.92363991217370112</v>
      </c>
      <c r="L530" s="168"/>
      <c r="M530" s="580"/>
      <c r="N530" s="161"/>
    </row>
    <row r="531" spans="1:23" s="145" customFormat="1" x14ac:dyDescent="0.25">
      <c r="A531" s="401" t="s">
        <v>123</v>
      </c>
      <c r="B531" s="209" t="s">
        <v>5</v>
      </c>
      <c r="C531" s="4" t="s">
        <v>5</v>
      </c>
      <c r="D531" s="163" t="s">
        <v>633</v>
      </c>
      <c r="E531" s="352">
        <v>200</v>
      </c>
      <c r="F531" s="168">
        <f>F532</f>
        <v>2034.1999999999996</v>
      </c>
      <c r="G531" s="327"/>
      <c r="H531" s="168">
        <f>H532</f>
        <v>2034.1999999999996</v>
      </c>
      <c r="I531" s="327"/>
      <c r="J531" s="497">
        <f>J532</f>
        <v>1877.7</v>
      </c>
      <c r="K531" s="575">
        <f t="shared" si="239"/>
        <v>0.92306557860584038</v>
      </c>
      <c r="L531" s="168"/>
      <c r="M531" s="580"/>
      <c r="N531" s="161"/>
    </row>
    <row r="532" spans="1:23" s="145" customFormat="1" ht="31.5" x14ac:dyDescent="0.25">
      <c r="A532" s="401" t="s">
        <v>54</v>
      </c>
      <c r="B532" s="209" t="s">
        <v>5</v>
      </c>
      <c r="C532" s="4" t="s">
        <v>5</v>
      </c>
      <c r="D532" s="163" t="s">
        <v>633</v>
      </c>
      <c r="E532" s="352">
        <v>240</v>
      </c>
      <c r="F532" s="168">
        <f>'ведом. 2023-2025'!AD950</f>
        <v>2034.1999999999996</v>
      </c>
      <c r="G532" s="327"/>
      <c r="H532" s="168">
        <f>'ведом. 2023-2025'!AE950</f>
        <v>2034.1999999999996</v>
      </c>
      <c r="I532" s="327"/>
      <c r="J532" s="497">
        <f>'ведом. 2023-2025'!AF950</f>
        <v>1877.7</v>
      </c>
      <c r="K532" s="575">
        <f t="shared" si="239"/>
        <v>0.92306557860584038</v>
      </c>
      <c r="L532" s="168"/>
      <c r="M532" s="580"/>
      <c r="N532" s="161"/>
    </row>
    <row r="533" spans="1:23" s="188" customFormat="1" x14ac:dyDescent="0.25">
      <c r="A533" s="278" t="s">
        <v>44</v>
      </c>
      <c r="B533" s="209" t="s">
        <v>5</v>
      </c>
      <c r="C533" s="4" t="s">
        <v>5</v>
      </c>
      <c r="D533" s="163" t="s">
        <v>633</v>
      </c>
      <c r="E533" s="309">
        <v>800</v>
      </c>
      <c r="F533" s="168">
        <f>F534</f>
        <v>15.3</v>
      </c>
      <c r="G533" s="168"/>
      <c r="H533" s="168">
        <f>H534</f>
        <v>15.3</v>
      </c>
      <c r="I533" s="168"/>
      <c r="J533" s="497">
        <f t="shared" ref="J533" si="240">J534</f>
        <v>15.3</v>
      </c>
      <c r="K533" s="575">
        <f t="shared" si="239"/>
        <v>1</v>
      </c>
      <c r="L533" s="168"/>
      <c r="M533" s="580"/>
      <c r="N533" s="161"/>
    </row>
    <row r="534" spans="1:23" s="188" customFormat="1" x14ac:dyDescent="0.25">
      <c r="A534" s="278" t="s">
        <v>60</v>
      </c>
      <c r="B534" s="209" t="s">
        <v>5</v>
      </c>
      <c r="C534" s="4" t="s">
        <v>5</v>
      </c>
      <c r="D534" s="163" t="s">
        <v>633</v>
      </c>
      <c r="E534" s="309">
        <v>850</v>
      </c>
      <c r="F534" s="168">
        <f>'ведом. 2023-2025'!AD952</f>
        <v>15.3</v>
      </c>
      <c r="G534" s="327"/>
      <c r="H534" s="168">
        <f>'ведом. 2023-2025'!AE952</f>
        <v>15.3</v>
      </c>
      <c r="I534" s="327"/>
      <c r="J534" s="497">
        <f>'ведом. 2023-2025'!AF952</f>
        <v>15.3</v>
      </c>
      <c r="K534" s="575">
        <f t="shared" si="239"/>
        <v>1</v>
      </c>
      <c r="L534" s="168"/>
      <c r="M534" s="580"/>
      <c r="N534" s="161"/>
    </row>
    <row r="535" spans="1:23" s="145" customFormat="1" ht="31.5" x14ac:dyDescent="0.25">
      <c r="A535" s="401" t="s">
        <v>216</v>
      </c>
      <c r="B535" s="209" t="s">
        <v>5</v>
      </c>
      <c r="C535" s="4" t="s">
        <v>5</v>
      </c>
      <c r="D535" s="163" t="s">
        <v>634</v>
      </c>
      <c r="E535" s="366"/>
      <c r="F535" s="168">
        <f>F536</f>
        <v>11762.500000000002</v>
      </c>
      <c r="G535" s="327"/>
      <c r="H535" s="168">
        <f>H536</f>
        <v>11762.500000000002</v>
      </c>
      <c r="I535" s="327"/>
      <c r="J535" s="497">
        <f>J536</f>
        <v>11758.6</v>
      </c>
      <c r="K535" s="575">
        <f t="shared" si="239"/>
        <v>0.99966843783209336</v>
      </c>
      <c r="L535" s="168"/>
      <c r="M535" s="580"/>
      <c r="N535" s="161"/>
    </row>
    <row r="536" spans="1:23" s="145" customFormat="1" ht="47.25" x14ac:dyDescent="0.25">
      <c r="A536" s="401" t="s">
        <v>43</v>
      </c>
      <c r="B536" s="209" t="s">
        <v>5</v>
      </c>
      <c r="C536" s="4" t="s">
        <v>5</v>
      </c>
      <c r="D536" s="163" t="s">
        <v>634</v>
      </c>
      <c r="E536" s="352">
        <v>100</v>
      </c>
      <c r="F536" s="168">
        <f>F537</f>
        <v>11762.500000000002</v>
      </c>
      <c r="G536" s="327"/>
      <c r="H536" s="168">
        <f>H537</f>
        <v>11762.500000000002</v>
      </c>
      <c r="I536" s="327"/>
      <c r="J536" s="497">
        <f>J537</f>
        <v>11758.6</v>
      </c>
      <c r="K536" s="575">
        <f t="shared" si="239"/>
        <v>0.99966843783209336</v>
      </c>
      <c r="L536" s="168"/>
      <c r="M536" s="580"/>
      <c r="N536" s="161"/>
    </row>
    <row r="537" spans="1:23" s="145" customFormat="1" x14ac:dyDescent="0.25">
      <c r="A537" s="401" t="s">
        <v>99</v>
      </c>
      <c r="B537" s="209" t="s">
        <v>5</v>
      </c>
      <c r="C537" s="4" t="s">
        <v>5</v>
      </c>
      <c r="D537" s="163" t="s">
        <v>634</v>
      </c>
      <c r="E537" s="352">
        <v>120</v>
      </c>
      <c r="F537" s="168">
        <f>'ведом. 2023-2025'!AD955</f>
        <v>11762.500000000002</v>
      </c>
      <c r="G537" s="327"/>
      <c r="H537" s="168">
        <f>'ведом. 2023-2025'!AE955</f>
        <v>11762.500000000002</v>
      </c>
      <c r="I537" s="327"/>
      <c r="J537" s="497">
        <f>'ведом. 2023-2025'!AF955</f>
        <v>11758.6</v>
      </c>
      <c r="K537" s="575">
        <f t="shared" si="239"/>
        <v>0.99966843783209336</v>
      </c>
      <c r="L537" s="168"/>
      <c r="M537" s="580"/>
      <c r="N537" s="161"/>
    </row>
    <row r="538" spans="1:23" s="145" customFormat="1" ht="31.5" x14ac:dyDescent="0.25">
      <c r="A538" s="401" t="s">
        <v>217</v>
      </c>
      <c r="B538" s="209" t="s">
        <v>5</v>
      </c>
      <c r="C538" s="4" t="s">
        <v>5</v>
      </c>
      <c r="D538" s="163" t="s">
        <v>635</v>
      </c>
      <c r="E538" s="366"/>
      <c r="F538" s="168">
        <f>F539</f>
        <v>7062.5</v>
      </c>
      <c r="G538" s="327"/>
      <c r="H538" s="168">
        <f>H539</f>
        <v>7062.5</v>
      </c>
      <c r="I538" s="327"/>
      <c r="J538" s="497">
        <f>J539</f>
        <v>7040.9</v>
      </c>
      <c r="K538" s="575">
        <f t="shared" si="239"/>
        <v>0.99694159292035389</v>
      </c>
      <c r="L538" s="168"/>
      <c r="M538" s="580"/>
      <c r="N538" s="161"/>
    </row>
    <row r="539" spans="1:23" s="145" customFormat="1" ht="47.25" x14ac:dyDescent="0.25">
      <c r="A539" s="401" t="s">
        <v>43</v>
      </c>
      <c r="B539" s="209" t="s">
        <v>5</v>
      </c>
      <c r="C539" s="4" t="s">
        <v>5</v>
      </c>
      <c r="D539" s="163" t="s">
        <v>635</v>
      </c>
      <c r="E539" s="352">
        <v>100</v>
      </c>
      <c r="F539" s="168">
        <f>F540</f>
        <v>7062.5</v>
      </c>
      <c r="G539" s="327"/>
      <c r="H539" s="168">
        <f>H540</f>
        <v>7062.5</v>
      </c>
      <c r="I539" s="327"/>
      <c r="J539" s="497">
        <f>J540</f>
        <v>7040.9</v>
      </c>
      <c r="K539" s="575">
        <f t="shared" si="239"/>
        <v>0.99694159292035389</v>
      </c>
      <c r="L539" s="168"/>
      <c r="M539" s="580"/>
      <c r="N539" s="161"/>
    </row>
    <row r="540" spans="1:23" s="162" customFormat="1" x14ac:dyDescent="0.25">
      <c r="A540" s="401" t="s">
        <v>99</v>
      </c>
      <c r="B540" s="209" t="s">
        <v>5</v>
      </c>
      <c r="C540" s="4" t="s">
        <v>5</v>
      </c>
      <c r="D540" s="163" t="s">
        <v>635</v>
      </c>
      <c r="E540" s="352">
        <v>120</v>
      </c>
      <c r="F540" s="168">
        <f>'ведом. 2023-2025'!AD958</f>
        <v>7062.5</v>
      </c>
      <c r="G540" s="327"/>
      <c r="H540" s="168">
        <f>'ведом. 2023-2025'!AE958</f>
        <v>7062.5</v>
      </c>
      <c r="I540" s="327"/>
      <c r="J540" s="497">
        <f>'ведом. 2023-2025'!AF958</f>
        <v>7040.9</v>
      </c>
      <c r="K540" s="575">
        <f t="shared" si="239"/>
        <v>0.99694159292035389</v>
      </c>
      <c r="L540" s="168"/>
      <c r="M540" s="580"/>
      <c r="N540" s="161"/>
      <c r="Q540" s="28"/>
      <c r="R540" s="224"/>
      <c r="S540" s="225"/>
      <c r="T540" s="225"/>
      <c r="U540" s="226"/>
      <c r="V540" s="226"/>
      <c r="W540" s="227"/>
    </row>
    <row r="541" spans="1:23" s="162" customFormat="1" x14ac:dyDescent="0.25">
      <c r="A541" s="297" t="s">
        <v>354</v>
      </c>
      <c r="B541" s="209" t="s">
        <v>5</v>
      </c>
      <c r="C541" s="4" t="s">
        <v>5</v>
      </c>
      <c r="D541" s="326" t="s">
        <v>140</v>
      </c>
      <c r="E541" s="352"/>
      <c r="F541" s="168">
        <f>F542</f>
        <v>0</v>
      </c>
      <c r="G541" s="168"/>
      <c r="H541" s="168">
        <f t="shared" ref="H541:J541" si="241">H542</f>
        <v>135.19999999999999</v>
      </c>
      <c r="I541" s="168"/>
      <c r="J541" s="497">
        <f t="shared" si="241"/>
        <v>135.19999999999999</v>
      </c>
      <c r="K541" s="575">
        <f t="shared" si="239"/>
        <v>1</v>
      </c>
      <c r="L541" s="168"/>
      <c r="M541" s="580"/>
      <c r="N541" s="161"/>
      <c r="Q541" s="28"/>
      <c r="R541" s="224"/>
      <c r="S541" s="225"/>
      <c r="T541" s="225"/>
      <c r="U541" s="226"/>
      <c r="V541" s="226"/>
      <c r="W541" s="227"/>
    </row>
    <row r="542" spans="1:23" s="162" customFormat="1" ht="31.5" x14ac:dyDescent="0.25">
      <c r="A542" s="284" t="s">
        <v>798</v>
      </c>
      <c r="B542" s="1" t="s">
        <v>5</v>
      </c>
      <c r="C542" s="4" t="s">
        <v>5</v>
      </c>
      <c r="D542" s="326" t="s">
        <v>799</v>
      </c>
      <c r="E542" s="322"/>
      <c r="F542" s="168">
        <f>F543</f>
        <v>0</v>
      </c>
      <c r="G542" s="168"/>
      <c r="H542" s="168">
        <f t="shared" ref="H542:J543" si="242">H543</f>
        <v>135.19999999999999</v>
      </c>
      <c r="I542" s="168"/>
      <c r="J542" s="497">
        <f t="shared" si="242"/>
        <v>135.19999999999999</v>
      </c>
      <c r="K542" s="575">
        <f t="shared" si="239"/>
        <v>1</v>
      </c>
      <c r="L542" s="168"/>
      <c r="M542" s="580"/>
      <c r="N542" s="161"/>
      <c r="Q542" s="28"/>
      <c r="R542" s="224"/>
      <c r="S542" s="225"/>
      <c r="T542" s="225"/>
      <c r="U542" s="226"/>
      <c r="V542" s="226"/>
      <c r="W542" s="227"/>
    </row>
    <row r="543" spans="1:23" s="162" customFormat="1" ht="47.25" x14ac:dyDescent="0.25">
      <c r="A543" s="278" t="s">
        <v>43</v>
      </c>
      <c r="B543" s="1" t="s">
        <v>5</v>
      </c>
      <c r="C543" s="4" t="s">
        <v>5</v>
      </c>
      <c r="D543" s="326" t="s">
        <v>799</v>
      </c>
      <c r="E543" s="311">
        <v>100</v>
      </c>
      <c r="F543" s="168">
        <f>F544</f>
        <v>0</v>
      </c>
      <c r="G543" s="168"/>
      <c r="H543" s="168">
        <f t="shared" si="242"/>
        <v>135.19999999999999</v>
      </c>
      <c r="I543" s="168"/>
      <c r="J543" s="497">
        <f t="shared" si="242"/>
        <v>135.19999999999999</v>
      </c>
      <c r="K543" s="575">
        <f t="shared" si="239"/>
        <v>1</v>
      </c>
      <c r="L543" s="168"/>
      <c r="M543" s="580"/>
      <c r="N543" s="161"/>
      <c r="Q543" s="28"/>
      <c r="R543" s="224"/>
      <c r="S543" s="225"/>
      <c r="T543" s="225"/>
      <c r="U543" s="226"/>
      <c r="V543" s="226"/>
      <c r="W543" s="227"/>
    </row>
    <row r="544" spans="1:23" s="162" customFormat="1" x14ac:dyDescent="0.25">
      <c r="A544" s="278" t="s">
        <v>99</v>
      </c>
      <c r="B544" s="1" t="s">
        <v>5</v>
      </c>
      <c r="C544" s="4" t="s">
        <v>5</v>
      </c>
      <c r="D544" s="326" t="s">
        <v>799</v>
      </c>
      <c r="E544" s="311">
        <v>120</v>
      </c>
      <c r="F544" s="168">
        <f>'ведом. 2023-2025'!AD962</f>
        <v>0</v>
      </c>
      <c r="G544" s="327"/>
      <c r="H544" s="168">
        <f>'ведом. 2023-2025'!AE962</f>
        <v>135.19999999999999</v>
      </c>
      <c r="I544" s="327"/>
      <c r="J544" s="497">
        <f>'ведом. 2023-2025'!AF962</f>
        <v>135.19999999999999</v>
      </c>
      <c r="K544" s="575">
        <f t="shared" si="239"/>
        <v>1</v>
      </c>
      <c r="L544" s="168"/>
      <c r="M544" s="580"/>
      <c r="N544" s="161"/>
      <c r="Q544" s="28"/>
      <c r="R544" s="224"/>
      <c r="S544" s="225"/>
      <c r="T544" s="225"/>
      <c r="U544" s="226"/>
      <c r="V544" s="226"/>
      <c r="W544" s="227"/>
    </row>
    <row r="545" spans="1:23" s="141" customFormat="1" x14ac:dyDescent="0.25">
      <c r="A545" s="279" t="s">
        <v>41</v>
      </c>
      <c r="B545" s="211" t="s">
        <v>98</v>
      </c>
      <c r="C545" s="206"/>
      <c r="D545" s="305"/>
      <c r="E545" s="363"/>
      <c r="F545" s="170">
        <f>F554+F546</f>
        <v>617856.5</v>
      </c>
      <c r="G545" s="170">
        <f t="shared" ref="G545:J545" si="243">G554+G546</f>
        <v>611653</v>
      </c>
      <c r="H545" s="170">
        <f>H554+H546</f>
        <v>617856.5</v>
      </c>
      <c r="I545" s="170">
        <f t="shared" ref="I545" si="244">I554+I546</f>
        <v>611653</v>
      </c>
      <c r="J545" s="505">
        <f t="shared" si="243"/>
        <v>617856.5</v>
      </c>
      <c r="K545" s="574">
        <f t="shared" si="239"/>
        <v>1</v>
      </c>
      <c r="L545" s="170">
        <f>L554+L546</f>
        <v>611653</v>
      </c>
      <c r="M545" s="581">
        <f t="shared" ref="M545:M586" si="245">L545/I545</f>
        <v>1</v>
      </c>
      <c r="N545" s="548"/>
      <c r="Q545" s="549"/>
      <c r="R545" s="550"/>
      <c r="S545" s="551"/>
      <c r="T545" s="551"/>
      <c r="U545" s="552"/>
      <c r="V545" s="552"/>
      <c r="W545" s="553"/>
    </row>
    <row r="546" spans="1:23" s="162" customFormat="1" x14ac:dyDescent="0.25">
      <c r="A546" s="278" t="s">
        <v>95</v>
      </c>
      <c r="B546" s="18" t="s">
        <v>98</v>
      </c>
      <c r="C546" s="1" t="s">
        <v>32</v>
      </c>
      <c r="D546" s="33"/>
      <c r="E546" s="352"/>
      <c r="F546" s="168">
        <f t="shared" ref="F546:H552" si="246">F547</f>
        <v>617831.5</v>
      </c>
      <c r="G546" s="168">
        <f t="shared" ref="G546:J546" si="247">G547</f>
        <v>611653</v>
      </c>
      <c r="H546" s="168">
        <f t="shared" si="246"/>
        <v>617831.5</v>
      </c>
      <c r="I546" s="168">
        <f t="shared" si="247"/>
        <v>611653</v>
      </c>
      <c r="J546" s="497">
        <f t="shared" si="247"/>
        <v>617831.5</v>
      </c>
      <c r="K546" s="575">
        <f t="shared" si="239"/>
        <v>1</v>
      </c>
      <c r="L546" s="168">
        <f t="shared" ref="L546:L552" si="248">L547</f>
        <v>611653</v>
      </c>
      <c r="M546" s="580">
        <f t="shared" si="245"/>
        <v>1</v>
      </c>
      <c r="N546" s="161"/>
      <c r="Q546" s="28"/>
      <c r="R546" s="224"/>
      <c r="S546" s="225"/>
      <c r="T546" s="225"/>
      <c r="U546" s="226"/>
      <c r="V546" s="226"/>
      <c r="W546" s="227"/>
    </row>
    <row r="547" spans="1:23" s="162" customFormat="1" x14ac:dyDescent="0.25">
      <c r="A547" s="280" t="s">
        <v>686</v>
      </c>
      <c r="B547" s="18" t="s">
        <v>98</v>
      </c>
      <c r="C547" s="1" t="s">
        <v>32</v>
      </c>
      <c r="D547" s="463" t="s">
        <v>114</v>
      </c>
      <c r="E547" s="4"/>
      <c r="F547" s="168">
        <f t="shared" si="246"/>
        <v>617831.5</v>
      </c>
      <c r="G547" s="168">
        <f t="shared" ref="G547:J547" si="249">G548</f>
        <v>611653</v>
      </c>
      <c r="H547" s="168">
        <f t="shared" si="246"/>
        <v>617831.5</v>
      </c>
      <c r="I547" s="168">
        <f t="shared" si="249"/>
        <v>611653</v>
      </c>
      <c r="J547" s="497">
        <f t="shared" si="249"/>
        <v>617831.5</v>
      </c>
      <c r="K547" s="575">
        <f t="shared" si="239"/>
        <v>1</v>
      </c>
      <c r="L547" s="168">
        <f t="shared" si="248"/>
        <v>611653</v>
      </c>
      <c r="M547" s="580">
        <f t="shared" si="245"/>
        <v>1</v>
      </c>
      <c r="N547" s="161"/>
      <c r="Q547" s="28"/>
      <c r="R547" s="224"/>
      <c r="S547" s="225"/>
      <c r="T547" s="225"/>
      <c r="U547" s="226"/>
      <c r="V547" s="226"/>
      <c r="W547" s="227"/>
    </row>
    <row r="548" spans="1:23" s="162" customFormat="1" x14ac:dyDescent="0.25">
      <c r="A548" s="280" t="s">
        <v>687</v>
      </c>
      <c r="B548" s="18" t="s">
        <v>98</v>
      </c>
      <c r="C548" s="1" t="s">
        <v>32</v>
      </c>
      <c r="D548" s="463" t="s">
        <v>688</v>
      </c>
      <c r="E548" s="4"/>
      <c r="F548" s="168">
        <f t="shared" si="246"/>
        <v>617831.5</v>
      </c>
      <c r="G548" s="168">
        <f t="shared" ref="G548:J548" si="250">G549</f>
        <v>611653</v>
      </c>
      <c r="H548" s="168">
        <f t="shared" si="246"/>
        <v>617831.5</v>
      </c>
      <c r="I548" s="168">
        <f t="shared" si="250"/>
        <v>611653</v>
      </c>
      <c r="J548" s="497">
        <f t="shared" si="250"/>
        <v>617831.5</v>
      </c>
      <c r="K548" s="575">
        <f t="shared" si="239"/>
        <v>1</v>
      </c>
      <c r="L548" s="168">
        <f t="shared" si="248"/>
        <v>611653</v>
      </c>
      <c r="M548" s="580">
        <f t="shared" si="245"/>
        <v>1</v>
      </c>
      <c r="N548" s="161"/>
      <c r="Q548" s="28"/>
      <c r="R548" s="224"/>
      <c r="S548" s="225"/>
      <c r="T548" s="225"/>
      <c r="U548" s="226"/>
      <c r="V548" s="226"/>
      <c r="W548" s="227"/>
    </row>
    <row r="549" spans="1:23" s="162" customFormat="1" x14ac:dyDescent="0.25">
      <c r="A549" s="281" t="s">
        <v>689</v>
      </c>
      <c r="B549" s="18" t="s">
        <v>98</v>
      </c>
      <c r="C549" s="1" t="s">
        <v>32</v>
      </c>
      <c r="D549" s="463" t="s">
        <v>690</v>
      </c>
      <c r="E549" s="203"/>
      <c r="F549" s="168">
        <f t="shared" si="246"/>
        <v>617831.5</v>
      </c>
      <c r="G549" s="168">
        <f t="shared" ref="G549:J549" si="251">G550</f>
        <v>611653</v>
      </c>
      <c r="H549" s="168">
        <f t="shared" si="246"/>
        <v>617831.5</v>
      </c>
      <c r="I549" s="168">
        <f t="shared" si="251"/>
        <v>611653</v>
      </c>
      <c r="J549" s="497">
        <f t="shared" si="251"/>
        <v>617831.5</v>
      </c>
      <c r="K549" s="575">
        <f t="shared" si="239"/>
        <v>1</v>
      </c>
      <c r="L549" s="168">
        <f t="shared" si="248"/>
        <v>611653</v>
      </c>
      <c r="M549" s="580">
        <f t="shared" si="245"/>
        <v>1</v>
      </c>
      <c r="N549" s="161"/>
      <c r="Q549" s="28"/>
      <c r="R549" s="224"/>
      <c r="S549" s="225"/>
      <c r="T549" s="225"/>
      <c r="U549" s="226"/>
      <c r="V549" s="226"/>
      <c r="W549" s="227"/>
    </row>
    <row r="550" spans="1:23" s="162" customFormat="1" x14ac:dyDescent="0.25">
      <c r="A550" s="281" t="s">
        <v>691</v>
      </c>
      <c r="B550" s="18" t="s">
        <v>98</v>
      </c>
      <c r="C550" s="1" t="s">
        <v>32</v>
      </c>
      <c r="D550" s="463" t="s">
        <v>692</v>
      </c>
      <c r="E550" s="203"/>
      <c r="F550" s="168">
        <f t="shared" si="246"/>
        <v>617831.5</v>
      </c>
      <c r="G550" s="168">
        <f t="shared" ref="G550:J550" si="252">G551</f>
        <v>611653</v>
      </c>
      <c r="H550" s="168">
        <f t="shared" si="246"/>
        <v>617831.5</v>
      </c>
      <c r="I550" s="168">
        <f t="shared" si="252"/>
        <v>611653</v>
      </c>
      <c r="J550" s="497">
        <f t="shared" si="252"/>
        <v>617831.5</v>
      </c>
      <c r="K550" s="575">
        <f t="shared" si="239"/>
        <v>1</v>
      </c>
      <c r="L550" s="168">
        <f t="shared" si="248"/>
        <v>611653</v>
      </c>
      <c r="M550" s="580">
        <f t="shared" si="245"/>
        <v>1</v>
      </c>
      <c r="N550" s="161"/>
      <c r="Q550" s="28"/>
      <c r="R550" s="224"/>
      <c r="S550" s="225"/>
      <c r="T550" s="225"/>
      <c r="U550" s="226"/>
      <c r="V550" s="226"/>
      <c r="W550" s="227"/>
    </row>
    <row r="551" spans="1:23" s="162" customFormat="1" ht="31.5" x14ac:dyDescent="0.25">
      <c r="A551" s="281" t="s">
        <v>693</v>
      </c>
      <c r="B551" s="18" t="s">
        <v>98</v>
      </c>
      <c r="C551" s="1" t="s">
        <v>32</v>
      </c>
      <c r="D551" s="463" t="s">
        <v>694</v>
      </c>
      <c r="E551" s="203"/>
      <c r="F551" s="168">
        <f t="shared" si="246"/>
        <v>617831.5</v>
      </c>
      <c r="G551" s="168">
        <f t="shared" ref="G551:J551" si="253">G552</f>
        <v>611653</v>
      </c>
      <c r="H551" s="168">
        <f t="shared" si="246"/>
        <v>617831.5</v>
      </c>
      <c r="I551" s="168">
        <f t="shared" si="253"/>
        <v>611653</v>
      </c>
      <c r="J551" s="497">
        <f t="shared" si="253"/>
        <v>617831.5</v>
      </c>
      <c r="K551" s="575">
        <f t="shared" si="239"/>
        <v>1</v>
      </c>
      <c r="L551" s="168">
        <f t="shared" si="248"/>
        <v>611653</v>
      </c>
      <c r="M551" s="580">
        <f t="shared" si="245"/>
        <v>1</v>
      </c>
      <c r="N551" s="161"/>
      <c r="Q551" s="28"/>
      <c r="R551" s="224"/>
      <c r="S551" s="225"/>
      <c r="T551" s="225"/>
      <c r="U551" s="226"/>
      <c r="V551" s="226"/>
      <c r="W551" s="227"/>
    </row>
    <row r="552" spans="1:23" s="162" customFormat="1" x14ac:dyDescent="0.25">
      <c r="A552" s="408" t="s">
        <v>157</v>
      </c>
      <c r="B552" s="18" t="s">
        <v>98</v>
      </c>
      <c r="C552" s="1" t="s">
        <v>32</v>
      </c>
      <c r="D552" s="463" t="s">
        <v>694</v>
      </c>
      <c r="E552" s="203" t="s">
        <v>158</v>
      </c>
      <c r="F552" s="168">
        <f t="shared" si="246"/>
        <v>617831.5</v>
      </c>
      <c r="G552" s="168">
        <f t="shared" ref="G552:J552" si="254">G553</f>
        <v>611653</v>
      </c>
      <c r="H552" s="168">
        <f t="shared" si="246"/>
        <v>617831.5</v>
      </c>
      <c r="I552" s="168">
        <f t="shared" si="254"/>
        <v>611653</v>
      </c>
      <c r="J552" s="497">
        <f t="shared" si="254"/>
        <v>617831.5</v>
      </c>
      <c r="K552" s="575">
        <f t="shared" si="239"/>
        <v>1</v>
      </c>
      <c r="L552" s="168">
        <f t="shared" si="248"/>
        <v>611653</v>
      </c>
      <c r="M552" s="580">
        <f t="shared" si="245"/>
        <v>1</v>
      </c>
      <c r="N552" s="161"/>
      <c r="Q552" s="28"/>
      <c r="R552" s="224"/>
      <c r="S552" s="225"/>
      <c r="T552" s="225"/>
      <c r="U552" s="226"/>
      <c r="V552" s="226"/>
      <c r="W552" s="227"/>
    </row>
    <row r="553" spans="1:23" s="162" customFormat="1" x14ac:dyDescent="0.25">
      <c r="A553" s="278" t="s">
        <v>9</v>
      </c>
      <c r="B553" s="18" t="s">
        <v>98</v>
      </c>
      <c r="C553" s="1" t="s">
        <v>32</v>
      </c>
      <c r="D553" s="463" t="s">
        <v>694</v>
      </c>
      <c r="E553" s="203" t="s">
        <v>159</v>
      </c>
      <c r="F553" s="168">
        <f>'ведом. 2023-2025'!AD971</f>
        <v>617831.5</v>
      </c>
      <c r="G553" s="327">
        <v>611653</v>
      </c>
      <c r="H553" s="168">
        <f>'ведом. 2023-2025'!AE971</f>
        <v>617831.5</v>
      </c>
      <c r="I553" s="327">
        <v>611653</v>
      </c>
      <c r="J553" s="497">
        <f>'ведом. 2023-2025'!AF971</f>
        <v>617831.5</v>
      </c>
      <c r="K553" s="575">
        <f t="shared" si="239"/>
        <v>1</v>
      </c>
      <c r="L553" s="168">
        <v>611653</v>
      </c>
      <c r="M553" s="580">
        <f t="shared" si="245"/>
        <v>1</v>
      </c>
      <c r="N553" s="161"/>
      <c r="Q553" s="28"/>
      <c r="R553" s="224"/>
      <c r="S553" s="225"/>
      <c r="T553" s="225"/>
      <c r="U553" s="226"/>
      <c r="V553" s="226"/>
      <c r="W553" s="227"/>
    </row>
    <row r="554" spans="1:23" s="162" customFormat="1" x14ac:dyDescent="0.25">
      <c r="A554" s="422" t="s">
        <v>26</v>
      </c>
      <c r="B554" s="11" t="s">
        <v>98</v>
      </c>
      <c r="C554" s="4" t="s">
        <v>5</v>
      </c>
      <c r="D554" s="163"/>
      <c r="E554" s="352"/>
      <c r="F554" s="168">
        <f t="shared" ref="F554:H559" si="255">F555</f>
        <v>25</v>
      </c>
      <c r="G554" s="327"/>
      <c r="H554" s="168">
        <f t="shared" si="255"/>
        <v>25</v>
      </c>
      <c r="I554" s="168"/>
      <c r="J554" s="497">
        <f t="shared" ref="J554" si="256">J555</f>
        <v>25</v>
      </c>
      <c r="K554" s="575">
        <f t="shared" si="239"/>
        <v>1</v>
      </c>
      <c r="L554" s="168"/>
      <c r="M554" s="580"/>
      <c r="N554" s="161"/>
      <c r="Q554" s="28"/>
      <c r="R554" s="224"/>
      <c r="S554" s="225"/>
      <c r="T554" s="225"/>
      <c r="U554" s="226"/>
      <c r="V554" s="226"/>
      <c r="W554" s="227"/>
    </row>
    <row r="555" spans="1:23" s="162" customFormat="1" x14ac:dyDescent="0.25">
      <c r="A555" s="278" t="s">
        <v>433</v>
      </c>
      <c r="B555" s="11" t="s">
        <v>98</v>
      </c>
      <c r="C555" s="4" t="s">
        <v>5</v>
      </c>
      <c r="D555" s="163" t="s">
        <v>434</v>
      </c>
      <c r="E555" s="352"/>
      <c r="F555" s="168">
        <f t="shared" si="255"/>
        <v>25</v>
      </c>
      <c r="G555" s="327"/>
      <c r="H555" s="168">
        <f t="shared" si="255"/>
        <v>25</v>
      </c>
      <c r="I555" s="168"/>
      <c r="J555" s="497">
        <f t="shared" ref="J555" si="257">J556</f>
        <v>25</v>
      </c>
      <c r="K555" s="575">
        <f t="shared" si="239"/>
        <v>1</v>
      </c>
      <c r="L555" s="168"/>
      <c r="M555" s="580"/>
      <c r="N555" s="161"/>
      <c r="Q555" s="28"/>
      <c r="R555" s="224"/>
      <c r="S555" s="225"/>
      <c r="T555" s="225"/>
      <c r="U555" s="226"/>
      <c r="V555" s="226"/>
      <c r="W555" s="227"/>
    </row>
    <row r="556" spans="1:23" s="162" customFormat="1" x14ac:dyDescent="0.25">
      <c r="A556" s="278" t="s">
        <v>675</v>
      </c>
      <c r="B556" s="11" t="s">
        <v>98</v>
      </c>
      <c r="C556" s="4" t="s">
        <v>5</v>
      </c>
      <c r="D556" s="163" t="s">
        <v>676</v>
      </c>
      <c r="E556" s="352"/>
      <c r="F556" s="168">
        <f t="shared" si="255"/>
        <v>25</v>
      </c>
      <c r="G556" s="327"/>
      <c r="H556" s="168">
        <f t="shared" si="255"/>
        <v>25</v>
      </c>
      <c r="I556" s="168"/>
      <c r="J556" s="497">
        <f t="shared" ref="J556" si="258">J557</f>
        <v>25</v>
      </c>
      <c r="K556" s="575">
        <f t="shared" si="239"/>
        <v>1</v>
      </c>
      <c r="L556" s="168"/>
      <c r="M556" s="580"/>
      <c r="N556" s="161"/>
      <c r="Q556" s="28"/>
      <c r="R556" s="224"/>
      <c r="S556" s="225"/>
      <c r="T556" s="225"/>
      <c r="U556" s="226"/>
      <c r="V556" s="226"/>
      <c r="W556" s="227"/>
    </row>
    <row r="557" spans="1:23" s="162" customFormat="1" x14ac:dyDescent="0.25">
      <c r="A557" s="278" t="s">
        <v>677</v>
      </c>
      <c r="B557" s="11" t="s">
        <v>98</v>
      </c>
      <c r="C557" s="4" t="s">
        <v>5</v>
      </c>
      <c r="D557" s="163" t="s">
        <v>678</v>
      </c>
      <c r="E557" s="352"/>
      <c r="F557" s="168">
        <f t="shared" si="255"/>
        <v>25</v>
      </c>
      <c r="G557" s="327"/>
      <c r="H557" s="168">
        <f t="shared" si="255"/>
        <v>25</v>
      </c>
      <c r="I557" s="168"/>
      <c r="J557" s="497">
        <f t="shared" ref="J557" si="259">J558</f>
        <v>25</v>
      </c>
      <c r="K557" s="575">
        <f t="shared" si="239"/>
        <v>1</v>
      </c>
      <c r="L557" s="168"/>
      <c r="M557" s="580"/>
      <c r="N557" s="161"/>
      <c r="Q557" s="28"/>
      <c r="R557" s="224"/>
      <c r="S557" s="225"/>
      <c r="T557" s="225"/>
      <c r="U557" s="226"/>
      <c r="V557" s="226"/>
      <c r="W557" s="227"/>
    </row>
    <row r="558" spans="1:23" s="162" customFormat="1" x14ac:dyDescent="0.25">
      <c r="A558" s="278" t="s">
        <v>680</v>
      </c>
      <c r="B558" s="11" t="s">
        <v>98</v>
      </c>
      <c r="C558" s="4" t="s">
        <v>5</v>
      </c>
      <c r="D558" s="163" t="s">
        <v>679</v>
      </c>
      <c r="E558" s="352"/>
      <c r="F558" s="168">
        <f t="shared" si="255"/>
        <v>25</v>
      </c>
      <c r="G558" s="327"/>
      <c r="H558" s="168">
        <f t="shared" si="255"/>
        <v>25</v>
      </c>
      <c r="I558" s="168"/>
      <c r="J558" s="497">
        <f t="shared" ref="J558" si="260">J559</f>
        <v>25</v>
      </c>
      <c r="K558" s="575">
        <f t="shared" si="239"/>
        <v>1</v>
      </c>
      <c r="L558" s="168"/>
      <c r="M558" s="580"/>
      <c r="N558" s="161"/>
      <c r="Q558" s="28"/>
      <c r="R558" s="224"/>
      <c r="S558" s="225"/>
      <c r="T558" s="225"/>
      <c r="U558" s="226"/>
      <c r="V558" s="226"/>
      <c r="W558" s="227"/>
    </row>
    <row r="559" spans="1:23" s="162" customFormat="1" ht="31.5" x14ac:dyDescent="0.25">
      <c r="A559" s="403" t="s">
        <v>62</v>
      </c>
      <c r="B559" s="11" t="s">
        <v>98</v>
      </c>
      <c r="C559" s="4" t="s">
        <v>5</v>
      </c>
      <c r="D559" s="163" t="s">
        <v>679</v>
      </c>
      <c r="E559" s="352">
        <v>600</v>
      </c>
      <c r="F559" s="168">
        <f t="shared" si="255"/>
        <v>25</v>
      </c>
      <c r="G559" s="327"/>
      <c r="H559" s="168">
        <f t="shared" si="255"/>
        <v>25</v>
      </c>
      <c r="I559" s="168"/>
      <c r="J559" s="497">
        <f t="shared" ref="J559" si="261">J560</f>
        <v>25</v>
      </c>
      <c r="K559" s="575">
        <f t="shared" si="239"/>
        <v>1</v>
      </c>
      <c r="L559" s="168"/>
      <c r="M559" s="580"/>
      <c r="N559" s="161"/>
      <c r="Q559" s="28"/>
      <c r="R559" s="224"/>
      <c r="S559" s="225"/>
      <c r="T559" s="225"/>
      <c r="U559" s="226"/>
      <c r="V559" s="226"/>
      <c r="W559" s="227"/>
    </row>
    <row r="560" spans="1:23" s="162" customFormat="1" x14ac:dyDescent="0.25">
      <c r="A560" s="278" t="s">
        <v>63</v>
      </c>
      <c r="B560" s="11" t="s">
        <v>98</v>
      </c>
      <c r="C560" s="4" t="s">
        <v>5</v>
      </c>
      <c r="D560" s="163" t="s">
        <v>679</v>
      </c>
      <c r="E560" s="352">
        <v>610</v>
      </c>
      <c r="F560" s="168">
        <f>'ведом. 2023-2025'!AD350</f>
        <v>25</v>
      </c>
      <c r="G560" s="327"/>
      <c r="H560" s="168">
        <f>'ведом. 2023-2025'!AE350</f>
        <v>25</v>
      </c>
      <c r="I560" s="168"/>
      <c r="J560" s="497">
        <f>'ведом. 2023-2025'!AF350</f>
        <v>25</v>
      </c>
      <c r="K560" s="575">
        <f t="shared" si="239"/>
        <v>1</v>
      </c>
      <c r="L560" s="168"/>
      <c r="M560" s="580"/>
      <c r="N560" s="161"/>
      <c r="Q560" s="28"/>
      <c r="R560" s="224"/>
      <c r="S560" s="225"/>
      <c r="T560" s="225"/>
      <c r="U560" s="226"/>
      <c r="V560" s="226"/>
      <c r="W560" s="227"/>
    </row>
    <row r="561" spans="1:14" s="141" customFormat="1" x14ac:dyDescent="0.25">
      <c r="A561" s="417" t="s">
        <v>4</v>
      </c>
      <c r="B561" s="211" t="s">
        <v>8</v>
      </c>
      <c r="C561" s="200"/>
      <c r="D561" s="305"/>
      <c r="E561" s="356"/>
      <c r="F561" s="170">
        <f>F562+F592+F666+F693+F711</f>
        <v>1758872.4</v>
      </c>
      <c r="G561" s="373">
        <f>G562+G592+G666+G693+G711</f>
        <v>1280448.5</v>
      </c>
      <c r="H561" s="170">
        <f>H562+H592+H666+H693+H711</f>
        <v>1749735.4999999998</v>
      </c>
      <c r="I561" s="373">
        <f>I562+I592+I666+I693+I711</f>
        <v>1259933.7</v>
      </c>
      <c r="J561" s="505">
        <f>J562+J592+J666+J693+J711</f>
        <v>1720024.7</v>
      </c>
      <c r="K561" s="574">
        <f t="shared" si="239"/>
        <v>0.98301983356913103</v>
      </c>
      <c r="L561" s="170">
        <f>L562+L592+L666+L693+L711</f>
        <v>1246781.5</v>
      </c>
      <c r="M561" s="581">
        <f t="shared" si="245"/>
        <v>0.98956119675186083</v>
      </c>
      <c r="N561" s="548"/>
    </row>
    <row r="562" spans="1:14" s="145" customFormat="1" x14ac:dyDescent="0.25">
      <c r="A562" s="401" t="s">
        <v>20</v>
      </c>
      <c r="B562" s="209" t="s">
        <v>8</v>
      </c>
      <c r="C562" s="4" t="s">
        <v>31</v>
      </c>
      <c r="D562" s="163"/>
      <c r="E562" s="351"/>
      <c r="F562" s="168">
        <f t="shared" ref="F562:J562" si="262">F563+F580+F587</f>
        <v>467676.60000000003</v>
      </c>
      <c r="G562" s="168">
        <f t="shared" si="262"/>
        <v>315353</v>
      </c>
      <c r="H562" s="168">
        <f t="shared" ref="H562:I562" si="263">H563+H580+H587</f>
        <v>451734.60000000003</v>
      </c>
      <c r="I562" s="168">
        <f t="shared" si="263"/>
        <v>299411</v>
      </c>
      <c r="J562" s="497">
        <f t="shared" si="262"/>
        <v>449352</v>
      </c>
      <c r="K562" s="575">
        <f t="shared" si="239"/>
        <v>0.99472566413996177</v>
      </c>
      <c r="L562" s="168">
        <f>L563+L580+L587</f>
        <v>297183.8</v>
      </c>
      <c r="M562" s="580">
        <f t="shared" si="245"/>
        <v>0.99256139553990996</v>
      </c>
      <c r="N562" s="161"/>
    </row>
    <row r="563" spans="1:14" s="188" customFormat="1" x14ac:dyDescent="0.25">
      <c r="A563" s="418" t="s">
        <v>278</v>
      </c>
      <c r="B563" s="214" t="s">
        <v>8</v>
      </c>
      <c r="C563" s="4" t="s">
        <v>31</v>
      </c>
      <c r="D563" s="163" t="s">
        <v>103</v>
      </c>
      <c r="E563" s="351"/>
      <c r="F563" s="168">
        <f>F564</f>
        <v>464170.7</v>
      </c>
      <c r="G563" s="327">
        <f t="shared" ref="G563:J563" si="264">G564</f>
        <v>313353</v>
      </c>
      <c r="H563" s="168">
        <f>H564</f>
        <v>448228.7</v>
      </c>
      <c r="I563" s="327">
        <f t="shared" si="264"/>
        <v>297411</v>
      </c>
      <c r="J563" s="497">
        <f t="shared" si="264"/>
        <v>446747.6</v>
      </c>
      <c r="K563" s="575">
        <f t="shared" si="239"/>
        <v>0.99669566005032695</v>
      </c>
      <c r="L563" s="168">
        <f>L564</f>
        <v>295933.8</v>
      </c>
      <c r="M563" s="580">
        <f t="shared" si="245"/>
        <v>0.99503313596336385</v>
      </c>
      <c r="N563" s="161"/>
    </row>
    <row r="564" spans="1:14" s="145" customFormat="1" x14ac:dyDescent="0.25">
      <c r="A564" s="280" t="s">
        <v>282</v>
      </c>
      <c r="B564" s="214" t="s">
        <v>8</v>
      </c>
      <c r="C564" s="4" t="s">
        <v>31</v>
      </c>
      <c r="D564" s="163" t="s">
        <v>120</v>
      </c>
      <c r="E564" s="352"/>
      <c r="F564" s="168">
        <f t="shared" ref="F564:G564" si="265">F565+F576</f>
        <v>464170.7</v>
      </c>
      <c r="G564" s="168">
        <f t="shared" si="265"/>
        <v>313353</v>
      </c>
      <c r="H564" s="168">
        <f t="shared" ref="H564:J564" si="266">H565+H576</f>
        <v>448228.7</v>
      </c>
      <c r="I564" s="168">
        <f t="shared" si="266"/>
        <v>297411</v>
      </c>
      <c r="J564" s="497">
        <f t="shared" si="266"/>
        <v>446747.6</v>
      </c>
      <c r="K564" s="575">
        <f t="shared" si="239"/>
        <v>0.99669566005032695</v>
      </c>
      <c r="L564" s="168">
        <f>L565+L576</f>
        <v>295933.8</v>
      </c>
      <c r="M564" s="580">
        <f t="shared" si="245"/>
        <v>0.99503313596336385</v>
      </c>
      <c r="N564" s="161"/>
    </row>
    <row r="565" spans="1:14" s="145" customFormat="1" ht="31.5" x14ac:dyDescent="0.25">
      <c r="A565" s="280" t="s">
        <v>506</v>
      </c>
      <c r="B565" s="214" t="s">
        <v>8</v>
      </c>
      <c r="C565" s="4" t="s">
        <v>31</v>
      </c>
      <c r="D565" s="163" t="s">
        <v>505</v>
      </c>
      <c r="E565" s="352"/>
      <c r="F565" s="168">
        <f>F566+F573</f>
        <v>462742.7</v>
      </c>
      <c r="G565" s="168">
        <f t="shared" ref="G565:J565" si="267">G566+G573</f>
        <v>311925</v>
      </c>
      <c r="H565" s="168">
        <f>H566+H573</f>
        <v>446800.7</v>
      </c>
      <c r="I565" s="168">
        <f t="shared" ref="I565" si="268">I566+I573</f>
        <v>295983</v>
      </c>
      <c r="J565" s="497">
        <f t="shared" si="267"/>
        <v>445704.3</v>
      </c>
      <c r="K565" s="575">
        <f t="shared" si="239"/>
        <v>0.99754610948460909</v>
      </c>
      <c r="L565" s="168">
        <f>L566+L573</f>
        <v>294890.5</v>
      </c>
      <c r="M565" s="580">
        <f t="shared" si="245"/>
        <v>0.99630890963332353</v>
      </c>
      <c r="N565" s="161"/>
    </row>
    <row r="566" spans="1:14" s="145" customFormat="1" ht="31.5" x14ac:dyDescent="0.25">
      <c r="A566" s="401" t="s">
        <v>280</v>
      </c>
      <c r="B566" s="214" t="s">
        <v>8</v>
      </c>
      <c r="C566" s="4" t="s">
        <v>31</v>
      </c>
      <c r="D566" s="163" t="s">
        <v>508</v>
      </c>
      <c r="E566" s="367"/>
      <c r="F566" s="168">
        <f>F567+F570</f>
        <v>150817.70000000001</v>
      </c>
      <c r="G566" s="327"/>
      <c r="H566" s="168">
        <f>H567+H570</f>
        <v>150817.70000000001</v>
      </c>
      <c r="I566" s="168"/>
      <c r="J566" s="497">
        <f>J567+J570</f>
        <v>150813.79999999999</v>
      </c>
      <c r="K566" s="575">
        <f t="shared" si="239"/>
        <v>0.99997414096621273</v>
      </c>
      <c r="L566" s="168"/>
      <c r="M566" s="580"/>
      <c r="N566" s="161"/>
    </row>
    <row r="567" spans="1:14" s="145" customFormat="1" ht="31.5" x14ac:dyDescent="0.25">
      <c r="A567" s="401" t="s">
        <v>356</v>
      </c>
      <c r="B567" s="214" t="s">
        <v>8</v>
      </c>
      <c r="C567" s="4" t="s">
        <v>31</v>
      </c>
      <c r="D567" s="163" t="s">
        <v>509</v>
      </c>
      <c r="E567" s="352"/>
      <c r="F567" s="168">
        <f>F568</f>
        <v>146419</v>
      </c>
      <c r="G567" s="327"/>
      <c r="H567" s="168">
        <f>H568</f>
        <v>146419</v>
      </c>
      <c r="I567" s="168"/>
      <c r="J567" s="497">
        <f>J568</f>
        <v>146419</v>
      </c>
      <c r="K567" s="575">
        <f t="shared" si="239"/>
        <v>1</v>
      </c>
      <c r="L567" s="168"/>
      <c r="M567" s="580"/>
      <c r="N567" s="161"/>
    </row>
    <row r="568" spans="1:14" s="145" customFormat="1" ht="31.5" x14ac:dyDescent="0.25">
      <c r="A568" s="401" t="s">
        <v>62</v>
      </c>
      <c r="B568" s="214" t="s">
        <v>8</v>
      </c>
      <c r="C568" s="4" t="s">
        <v>31</v>
      </c>
      <c r="D568" s="163" t="s">
        <v>509</v>
      </c>
      <c r="E568" s="352">
        <v>600</v>
      </c>
      <c r="F568" s="168">
        <f>F569</f>
        <v>146419</v>
      </c>
      <c r="G568" s="327"/>
      <c r="H568" s="168">
        <f>H569</f>
        <v>146419</v>
      </c>
      <c r="I568" s="168"/>
      <c r="J568" s="497">
        <f>J569</f>
        <v>146419</v>
      </c>
      <c r="K568" s="575">
        <f t="shared" si="239"/>
        <v>1</v>
      </c>
      <c r="L568" s="168"/>
      <c r="M568" s="580"/>
      <c r="N568" s="161"/>
    </row>
    <row r="569" spans="1:14" s="145" customFormat="1" x14ac:dyDescent="0.25">
      <c r="A569" s="401" t="s">
        <v>63</v>
      </c>
      <c r="B569" s="209" t="s">
        <v>8</v>
      </c>
      <c r="C569" s="4" t="s">
        <v>31</v>
      </c>
      <c r="D569" s="163" t="s">
        <v>509</v>
      </c>
      <c r="E569" s="352">
        <v>610</v>
      </c>
      <c r="F569" s="168">
        <f>'ведом. 2023-2025'!AD655</f>
        <v>146419</v>
      </c>
      <c r="G569" s="327"/>
      <c r="H569" s="168">
        <f>'ведом. 2023-2025'!AE655</f>
        <v>146419</v>
      </c>
      <c r="I569" s="168"/>
      <c r="J569" s="497">
        <f>'ведом. 2023-2025'!AF655</f>
        <v>146419</v>
      </c>
      <c r="K569" s="575">
        <f t="shared" si="239"/>
        <v>1</v>
      </c>
      <c r="L569" s="168"/>
      <c r="M569" s="580"/>
      <c r="N569" s="161"/>
    </row>
    <row r="570" spans="1:14" s="145" customFormat="1" ht="31.5" x14ac:dyDescent="0.25">
      <c r="A570" s="401" t="s">
        <v>281</v>
      </c>
      <c r="B570" s="209" t="s">
        <v>8</v>
      </c>
      <c r="C570" s="4" t="s">
        <v>31</v>
      </c>
      <c r="D570" s="163" t="s">
        <v>528</v>
      </c>
      <c r="E570" s="352"/>
      <c r="F570" s="168">
        <f>F571</f>
        <v>4398.7</v>
      </c>
      <c r="G570" s="327"/>
      <c r="H570" s="168">
        <f>H571</f>
        <v>4398.7</v>
      </c>
      <c r="I570" s="168"/>
      <c r="J570" s="497">
        <f>J571</f>
        <v>4394.8</v>
      </c>
      <c r="K570" s="575">
        <f t="shared" si="239"/>
        <v>0.99911337440607462</v>
      </c>
      <c r="L570" s="168"/>
      <c r="M570" s="580"/>
      <c r="N570" s="161"/>
    </row>
    <row r="571" spans="1:14" s="145" customFormat="1" ht="31.5" x14ac:dyDescent="0.25">
      <c r="A571" s="401" t="s">
        <v>62</v>
      </c>
      <c r="B571" s="209" t="s">
        <v>8</v>
      </c>
      <c r="C571" s="4" t="s">
        <v>31</v>
      </c>
      <c r="D571" s="163" t="s">
        <v>528</v>
      </c>
      <c r="E571" s="352">
        <v>600</v>
      </c>
      <c r="F571" s="168">
        <f>F572</f>
        <v>4398.7</v>
      </c>
      <c r="G571" s="327"/>
      <c r="H571" s="168">
        <f>H572</f>
        <v>4398.7</v>
      </c>
      <c r="I571" s="168"/>
      <c r="J571" s="497">
        <f>J572</f>
        <v>4394.8</v>
      </c>
      <c r="K571" s="575">
        <f t="shared" si="239"/>
        <v>0.99911337440607462</v>
      </c>
      <c r="L571" s="168"/>
      <c r="M571" s="580"/>
      <c r="N571" s="161"/>
    </row>
    <row r="572" spans="1:14" s="145" customFormat="1" x14ac:dyDescent="0.25">
      <c r="A572" s="401" t="s">
        <v>63</v>
      </c>
      <c r="B572" s="214" t="s">
        <v>8</v>
      </c>
      <c r="C572" s="4" t="s">
        <v>31</v>
      </c>
      <c r="D572" s="163" t="s">
        <v>528</v>
      </c>
      <c r="E572" s="352">
        <v>610</v>
      </c>
      <c r="F572" s="168">
        <f>'ведом. 2023-2025'!AD658</f>
        <v>4398.7</v>
      </c>
      <c r="G572" s="327"/>
      <c r="H572" s="168">
        <f>'ведом. 2023-2025'!AE658</f>
        <v>4398.7</v>
      </c>
      <c r="I572" s="168"/>
      <c r="J572" s="497">
        <f>'ведом. 2023-2025'!AF658</f>
        <v>4394.8</v>
      </c>
      <c r="K572" s="575">
        <f t="shared" si="239"/>
        <v>0.99911337440607462</v>
      </c>
      <c r="L572" s="168"/>
      <c r="M572" s="580"/>
      <c r="N572" s="161"/>
    </row>
    <row r="573" spans="1:14" s="145" customFormat="1" ht="141.75" x14ac:dyDescent="0.25">
      <c r="A573" s="281" t="s">
        <v>443</v>
      </c>
      <c r="B573" s="210" t="s">
        <v>8</v>
      </c>
      <c r="C573" s="204" t="s">
        <v>31</v>
      </c>
      <c r="D573" s="163" t="s">
        <v>534</v>
      </c>
      <c r="E573" s="367"/>
      <c r="F573" s="168">
        <f t="shared" ref="F573:J574" si="269">F574</f>
        <v>311925</v>
      </c>
      <c r="G573" s="327">
        <f t="shared" si="269"/>
        <v>311925</v>
      </c>
      <c r="H573" s="168">
        <f t="shared" si="269"/>
        <v>295983</v>
      </c>
      <c r="I573" s="168">
        <f t="shared" si="269"/>
        <v>295983</v>
      </c>
      <c r="J573" s="497">
        <f t="shared" si="269"/>
        <v>294890.5</v>
      </c>
      <c r="K573" s="575">
        <f t="shared" si="239"/>
        <v>0.99630890963332353</v>
      </c>
      <c r="L573" s="168">
        <f>L574</f>
        <v>294890.5</v>
      </c>
      <c r="M573" s="580">
        <f t="shared" si="245"/>
        <v>0.99630890963332353</v>
      </c>
      <c r="N573" s="161"/>
    </row>
    <row r="574" spans="1:14" s="145" customFormat="1" ht="31.5" x14ac:dyDescent="0.25">
      <c r="A574" s="401" t="s">
        <v>62</v>
      </c>
      <c r="B574" s="210" t="s">
        <v>8</v>
      </c>
      <c r="C574" s="204" t="s">
        <v>31</v>
      </c>
      <c r="D574" s="163" t="s">
        <v>534</v>
      </c>
      <c r="E574" s="351">
        <v>600</v>
      </c>
      <c r="F574" s="168">
        <f t="shared" si="269"/>
        <v>311925</v>
      </c>
      <c r="G574" s="327">
        <f t="shared" si="269"/>
        <v>311925</v>
      </c>
      <c r="H574" s="168">
        <f t="shared" si="269"/>
        <v>295983</v>
      </c>
      <c r="I574" s="168">
        <f t="shared" si="269"/>
        <v>295983</v>
      </c>
      <c r="J574" s="497">
        <f t="shared" si="269"/>
        <v>294890.5</v>
      </c>
      <c r="K574" s="575">
        <f t="shared" si="239"/>
        <v>0.99630890963332353</v>
      </c>
      <c r="L574" s="168">
        <f>L575</f>
        <v>294890.5</v>
      </c>
      <c r="M574" s="580">
        <f t="shared" si="245"/>
        <v>0.99630890963332353</v>
      </c>
      <c r="N574" s="161"/>
    </row>
    <row r="575" spans="1:14" s="145" customFormat="1" x14ac:dyDescent="0.25">
      <c r="A575" s="401" t="s">
        <v>63</v>
      </c>
      <c r="B575" s="214" t="s">
        <v>8</v>
      </c>
      <c r="C575" s="4" t="s">
        <v>31</v>
      </c>
      <c r="D575" s="163" t="s">
        <v>534</v>
      </c>
      <c r="E575" s="351">
        <v>610</v>
      </c>
      <c r="F575" s="168">
        <f>'ведом. 2023-2025'!AD661</f>
        <v>311925</v>
      </c>
      <c r="G575" s="327">
        <f>F575</f>
        <v>311925</v>
      </c>
      <c r="H575" s="168">
        <f>'ведом. 2023-2025'!AE661</f>
        <v>295983</v>
      </c>
      <c r="I575" s="168">
        <v>295983</v>
      </c>
      <c r="J575" s="497">
        <f>'ведом. 2023-2025'!AF661</f>
        <v>294890.5</v>
      </c>
      <c r="K575" s="575">
        <f t="shared" si="239"/>
        <v>0.99630890963332353</v>
      </c>
      <c r="L575" s="168">
        <f>J575</f>
        <v>294890.5</v>
      </c>
      <c r="M575" s="580">
        <f t="shared" si="245"/>
        <v>0.99630890963332353</v>
      </c>
      <c r="N575" s="161"/>
    </row>
    <row r="576" spans="1:14" s="188" customFormat="1" ht="47.25" x14ac:dyDescent="0.25">
      <c r="A576" s="278" t="s">
        <v>507</v>
      </c>
      <c r="B576" s="2" t="s">
        <v>8</v>
      </c>
      <c r="C576" s="4" t="s">
        <v>31</v>
      </c>
      <c r="D576" s="326" t="s">
        <v>128</v>
      </c>
      <c r="E576" s="444"/>
      <c r="F576" s="492">
        <f t="shared" ref="F576:I578" si="270">F577</f>
        <v>1428</v>
      </c>
      <c r="G576" s="492">
        <f t="shared" si="270"/>
        <v>1428</v>
      </c>
      <c r="H576" s="492">
        <f t="shared" si="270"/>
        <v>1428</v>
      </c>
      <c r="I576" s="492">
        <f t="shared" si="270"/>
        <v>1428</v>
      </c>
      <c r="J576" s="509">
        <f t="shared" ref="J576:L578" si="271">J577</f>
        <v>1043.3</v>
      </c>
      <c r="K576" s="575">
        <f t="shared" si="239"/>
        <v>0.7306022408963585</v>
      </c>
      <c r="L576" s="168">
        <f t="shared" si="271"/>
        <v>1043.3</v>
      </c>
      <c r="M576" s="580">
        <f t="shared" si="245"/>
        <v>0.7306022408963585</v>
      </c>
      <c r="N576" s="161"/>
    </row>
    <row r="577" spans="1:14" s="188" customFormat="1" ht="63" x14ac:dyDescent="0.25">
      <c r="A577" s="278" t="s">
        <v>716</v>
      </c>
      <c r="B577" s="2" t="s">
        <v>8</v>
      </c>
      <c r="C577" s="4" t="s">
        <v>31</v>
      </c>
      <c r="D577" s="326" t="s">
        <v>717</v>
      </c>
      <c r="E577" s="444"/>
      <c r="F577" s="492">
        <f t="shared" si="270"/>
        <v>1428</v>
      </c>
      <c r="G577" s="492">
        <f t="shared" si="270"/>
        <v>1428</v>
      </c>
      <c r="H577" s="492">
        <f t="shared" si="270"/>
        <v>1428</v>
      </c>
      <c r="I577" s="492">
        <f t="shared" si="270"/>
        <v>1428</v>
      </c>
      <c r="J577" s="509">
        <f t="shared" si="271"/>
        <v>1043.3</v>
      </c>
      <c r="K577" s="575">
        <f t="shared" si="239"/>
        <v>0.7306022408963585</v>
      </c>
      <c r="L577" s="168">
        <f t="shared" si="271"/>
        <v>1043.3</v>
      </c>
      <c r="M577" s="580">
        <f t="shared" si="245"/>
        <v>0.7306022408963585</v>
      </c>
      <c r="N577" s="161"/>
    </row>
    <row r="578" spans="1:14" s="188" customFormat="1" ht="31.5" x14ac:dyDescent="0.25">
      <c r="A578" s="278" t="s">
        <v>62</v>
      </c>
      <c r="B578" s="2" t="s">
        <v>8</v>
      </c>
      <c r="C578" s="4" t="s">
        <v>31</v>
      </c>
      <c r="D578" s="326" t="s">
        <v>717</v>
      </c>
      <c r="E578" s="452">
        <v>600</v>
      </c>
      <c r="F578" s="492">
        <f t="shared" si="270"/>
        <v>1428</v>
      </c>
      <c r="G578" s="492">
        <f t="shared" si="270"/>
        <v>1428</v>
      </c>
      <c r="H578" s="492">
        <f t="shared" si="270"/>
        <v>1428</v>
      </c>
      <c r="I578" s="492">
        <f t="shared" si="270"/>
        <v>1428</v>
      </c>
      <c r="J578" s="509">
        <f t="shared" si="271"/>
        <v>1043.3</v>
      </c>
      <c r="K578" s="575">
        <f t="shared" si="239"/>
        <v>0.7306022408963585</v>
      </c>
      <c r="L578" s="168">
        <f t="shared" si="271"/>
        <v>1043.3</v>
      </c>
      <c r="M578" s="580">
        <f t="shared" si="245"/>
        <v>0.7306022408963585</v>
      </c>
      <c r="N578" s="161"/>
    </row>
    <row r="579" spans="1:14" s="188" customFormat="1" x14ac:dyDescent="0.25">
      <c r="A579" s="278" t="s">
        <v>63</v>
      </c>
      <c r="B579" s="2" t="s">
        <v>8</v>
      </c>
      <c r="C579" s="4" t="s">
        <v>31</v>
      </c>
      <c r="D579" s="326" t="s">
        <v>717</v>
      </c>
      <c r="E579" s="452">
        <v>610</v>
      </c>
      <c r="F579" s="492">
        <f>'ведом. 2023-2025'!AD670</f>
        <v>1428</v>
      </c>
      <c r="G579" s="492">
        <f>F579</f>
        <v>1428</v>
      </c>
      <c r="H579" s="492">
        <f>'ведом. 2023-2025'!AE670</f>
        <v>1428</v>
      </c>
      <c r="I579" s="492">
        <f>H579</f>
        <v>1428</v>
      </c>
      <c r="J579" s="509">
        <f>'ведом. 2023-2025'!AF670</f>
        <v>1043.3</v>
      </c>
      <c r="K579" s="575">
        <f t="shared" si="239"/>
        <v>0.7306022408963585</v>
      </c>
      <c r="L579" s="168">
        <f>J579</f>
        <v>1043.3</v>
      </c>
      <c r="M579" s="580">
        <f t="shared" si="245"/>
        <v>0.7306022408963585</v>
      </c>
      <c r="N579" s="161"/>
    </row>
    <row r="580" spans="1:14" s="188" customFormat="1" ht="31.5" x14ac:dyDescent="0.25">
      <c r="A580" s="278" t="s">
        <v>315</v>
      </c>
      <c r="B580" s="2" t="s">
        <v>8</v>
      </c>
      <c r="C580" s="4" t="s">
        <v>31</v>
      </c>
      <c r="D580" s="163" t="s">
        <v>134</v>
      </c>
      <c r="E580" s="452"/>
      <c r="F580" s="492">
        <f t="shared" ref="F580:I585" si="272">F581</f>
        <v>2403.9</v>
      </c>
      <c r="G580" s="492">
        <f t="shared" si="272"/>
        <v>2000</v>
      </c>
      <c r="H580" s="492">
        <f t="shared" si="272"/>
        <v>2403.9</v>
      </c>
      <c r="I580" s="492">
        <f t="shared" si="272"/>
        <v>2000</v>
      </c>
      <c r="J580" s="509">
        <f t="shared" ref="J580:L580" si="273">J581</f>
        <v>1502.4</v>
      </c>
      <c r="K580" s="575">
        <f t="shared" si="239"/>
        <v>0.62498440034943215</v>
      </c>
      <c r="L580" s="168">
        <f t="shared" si="273"/>
        <v>1250</v>
      </c>
      <c r="M580" s="580">
        <f t="shared" si="245"/>
        <v>0.625</v>
      </c>
      <c r="N580" s="161"/>
    </row>
    <row r="581" spans="1:14" s="188" customFormat="1" x14ac:dyDescent="0.25">
      <c r="A581" s="278" t="s">
        <v>765</v>
      </c>
      <c r="B581" s="2" t="s">
        <v>8</v>
      </c>
      <c r="C581" s="4" t="s">
        <v>31</v>
      </c>
      <c r="D581" s="163" t="s">
        <v>766</v>
      </c>
      <c r="E581" s="452"/>
      <c r="F581" s="492">
        <f t="shared" si="272"/>
        <v>2403.9</v>
      </c>
      <c r="G581" s="492">
        <f t="shared" si="272"/>
        <v>2000</v>
      </c>
      <c r="H581" s="492">
        <f t="shared" si="272"/>
        <v>2403.9</v>
      </c>
      <c r="I581" s="492">
        <f t="shared" si="272"/>
        <v>2000</v>
      </c>
      <c r="J581" s="509">
        <f t="shared" ref="J581:L581" si="274">J582</f>
        <v>1502.4</v>
      </c>
      <c r="K581" s="575">
        <f t="shared" si="239"/>
        <v>0.62498440034943215</v>
      </c>
      <c r="L581" s="168">
        <f t="shared" si="274"/>
        <v>1250</v>
      </c>
      <c r="M581" s="580">
        <f t="shared" si="245"/>
        <v>0.625</v>
      </c>
      <c r="N581" s="161"/>
    </row>
    <row r="582" spans="1:14" s="188" customFormat="1" x14ac:dyDescent="0.25">
      <c r="A582" s="278" t="s">
        <v>767</v>
      </c>
      <c r="B582" s="8" t="s">
        <v>8</v>
      </c>
      <c r="C582" s="204" t="s">
        <v>31</v>
      </c>
      <c r="D582" s="163" t="s">
        <v>768</v>
      </c>
      <c r="E582" s="452"/>
      <c r="F582" s="492">
        <f t="shared" si="272"/>
        <v>2403.9</v>
      </c>
      <c r="G582" s="492">
        <f t="shared" si="272"/>
        <v>2000</v>
      </c>
      <c r="H582" s="492">
        <f t="shared" si="272"/>
        <v>2403.9</v>
      </c>
      <c r="I582" s="492">
        <f t="shared" si="272"/>
        <v>2000</v>
      </c>
      <c r="J582" s="509">
        <f t="shared" ref="J582:L582" si="275">J583</f>
        <v>1502.4</v>
      </c>
      <c r="K582" s="575">
        <f t="shared" si="239"/>
        <v>0.62498440034943215</v>
      </c>
      <c r="L582" s="168">
        <f t="shared" si="275"/>
        <v>1250</v>
      </c>
      <c r="M582" s="580">
        <f t="shared" si="245"/>
        <v>0.625</v>
      </c>
      <c r="N582" s="161"/>
    </row>
    <row r="583" spans="1:14" s="188" customFormat="1" ht="31.5" x14ac:dyDescent="0.25">
      <c r="A583" s="278" t="s">
        <v>769</v>
      </c>
      <c r="B583" s="8" t="s">
        <v>8</v>
      </c>
      <c r="C583" s="204" t="s">
        <v>31</v>
      </c>
      <c r="D583" s="326" t="s">
        <v>770</v>
      </c>
      <c r="E583" s="452"/>
      <c r="F583" s="492">
        <f t="shared" si="272"/>
        <v>2403.9</v>
      </c>
      <c r="G583" s="492">
        <f t="shared" si="272"/>
        <v>2000</v>
      </c>
      <c r="H583" s="492">
        <f t="shared" si="272"/>
        <v>2403.9</v>
      </c>
      <c r="I583" s="492">
        <f t="shared" si="272"/>
        <v>2000</v>
      </c>
      <c r="J583" s="509">
        <f t="shared" ref="J583:L583" si="276">J584</f>
        <v>1502.4</v>
      </c>
      <c r="K583" s="575">
        <f t="shared" si="239"/>
        <v>0.62498440034943215</v>
      </c>
      <c r="L583" s="168">
        <f t="shared" si="276"/>
        <v>1250</v>
      </c>
      <c r="M583" s="580">
        <f t="shared" si="245"/>
        <v>0.625</v>
      </c>
      <c r="N583" s="161"/>
    </row>
    <row r="584" spans="1:14" s="188" customFormat="1" ht="63" x14ac:dyDescent="0.25">
      <c r="A584" s="278" t="s">
        <v>771</v>
      </c>
      <c r="B584" s="2" t="s">
        <v>8</v>
      </c>
      <c r="C584" s="4" t="s">
        <v>31</v>
      </c>
      <c r="D584" s="326" t="s">
        <v>772</v>
      </c>
      <c r="E584" s="452"/>
      <c r="F584" s="492">
        <f t="shared" si="272"/>
        <v>2403.9</v>
      </c>
      <c r="G584" s="492">
        <f t="shared" si="272"/>
        <v>2000</v>
      </c>
      <c r="H584" s="492">
        <f t="shared" si="272"/>
        <v>2403.9</v>
      </c>
      <c r="I584" s="492">
        <f t="shared" si="272"/>
        <v>2000</v>
      </c>
      <c r="J584" s="509">
        <f t="shared" ref="J584:L584" si="277">J585</f>
        <v>1502.4</v>
      </c>
      <c r="K584" s="575">
        <f t="shared" si="239"/>
        <v>0.62498440034943215</v>
      </c>
      <c r="L584" s="168">
        <f t="shared" si="277"/>
        <v>1250</v>
      </c>
      <c r="M584" s="580">
        <f t="shared" si="245"/>
        <v>0.625</v>
      </c>
      <c r="N584" s="161"/>
    </row>
    <row r="585" spans="1:14" s="188" customFormat="1" ht="31.5" x14ac:dyDescent="0.25">
      <c r="A585" s="278" t="s">
        <v>62</v>
      </c>
      <c r="B585" s="8" t="s">
        <v>8</v>
      </c>
      <c r="C585" s="204" t="s">
        <v>31</v>
      </c>
      <c r="D585" s="326" t="s">
        <v>772</v>
      </c>
      <c r="E585" s="452">
        <v>600</v>
      </c>
      <c r="F585" s="492">
        <f t="shared" si="272"/>
        <v>2403.9</v>
      </c>
      <c r="G585" s="492">
        <f t="shared" si="272"/>
        <v>2000</v>
      </c>
      <c r="H585" s="492">
        <f t="shared" si="272"/>
        <v>2403.9</v>
      </c>
      <c r="I585" s="492">
        <f t="shared" si="272"/>
        <v>2000</v>
      </c>
      <c r="J585" s="509">
        <f t="shared" ref="J585:L585" si="278">J586</f>
        <v>1502.4</v>
      </c>
      <c r="K585" s="575">
        <f t="shared" si="239"/>
        <v>0.62498440034943215</v>
      </c>
      <c r="L585" s="168">
        <f t="shared" si="278"/>
        <v>1250</v>
      </c>
      <c r="M585" s="580">
        <f t="shared" si="245"/>
        <v>0.625</v>
      </c>
      <c r="N585" s="161"/>
    </row>
    <row r="586" spans="1:14" s="188" customFormat="1" x14ac:dyDescent="0.25">
      <c r="A586" s="278" t="s">
        <v>63</v>
      </c>
      <c r="B586" s="2" t="s">
        <v>8</v>
      </c>
      <c r="C586" s="4" t="s">
        <v>31</v>
      </c>
      <c r="D586" s="326" t="s">
        <v>772</v>
      </c>
      <c r="E586" s="452">
        <v>610</v>
      </c>
      <c r="F586" s="492">
        <f>'ведом. 2023-2025'!AD677</f>
        <v>2403.9</v>
      </c>
      <c r="G586" s="492">
        <v>2000</v>
      </c>
      <c r="H586" s="492">
        <f>'ведом. 2023-2025'!AE677</f>
        <v>2403.9</v>
      </c>
      <c r="I586" s="492">
        <v>2000</v>
      </c>
      <c r="J586" s="509">
        <f>'ведом. 2023-2025'!AF677</f>
        <v>1502.4</v>
      </c>
      <c r="K586" s="575">
        <f t="shared" si="239"/>
        <v>0.62498440034943215</v>
      </c>
      <c r="L586" s="168">
        <v>1250</v>
      </c>
      <c r="M586" s="580">
        <f t="shared" si="245"/>
        <v>0.625</v>
      </c>
      <c r="N586" s="161"/>
    </row>
    <row r="587" spans="1:14" s="188" customFormat="1" x14ac:dyDescent="0.25">
      <c r="A587" s="297" t="s">
        <v>354</v>
      </c>
      <c r="B587" s="2" t="s">
        <v>8</v>
      </c>
      <c r="C587" s="4" t="s">
        <v>31</v>
      </c>
      <c r="D587" s="308" t="s">
        <v>140</v>
      </c>
      <c r="E587" s="452"/>
      <c r="F587" s="492">
        <f>F588</f>
        <v>1102</v>
      </c>
      <c r="G587" s="492"/>
      <c r="H587" s="492">
        <f>H588</f>
        <v>1102</v>
      </c>
      <c r="I587" s="492"/>
      <c r="J587" s="509">
        <f t="shared" ref="J587" si="279">J588</f>
        <v>1102</v>
      </c>
      <c r="K587" s="575">
        <f t="shared" si="239"/>
        <v>1</v>
      </c>
      <c r="L587" s="168"/>
      <c r="M587" s="580"/>
      <c r="N587" s="161"/>
    </row>
    <row r="588" spans="1:14" s="188" customFormat="1" x14ac:dyDescent="0.25">
      <c r="A588" s="278" t="s">
        <v>470</v>
      </c>
      <c r="B588" s="2" t="s">
        <v>8</v>
      </c>
      <c r="C588" s="4" t="s">
        <v>31</v>
      </c>
      <c r="D588" s="326" t="s">
        <v>471</v>
      </c>
      <c r="E588" s="452"/>
      <c r="F588" s="492">
        <f>F589</f>
        <v>1102</v>
      </c>
      <c r="G588" s="492"/>
      <c r="H588" s="492">
        <f>H589</f>
        <v>1102</v>
      </c>
      <c r="I588" s="492"/>
      <c r="J588" s="509">
        <f t="shared" ref="J588" si="280">J589</f>
        <v>1102</v>
      </c>
      <c r="K588" s="575">
        <f t="shared" si="239"/>
        <v>1</v>
      </c>
      <c r="L588" s="168"/>
      <c r="M588" s="580"/>
      <c r="N588" s="161"/>
    </row>
    <row r="589" spans="1:14" s="188" customFormat="1" ht="141.75" x14ac:dyDescent="0.25">
      <c r="A589" s="278" t="s">
        <v>777</v>
      </c>
      <c r="B589" s="2" t="s">
        <v>8</v>
      </c>
      <c r="C589" s="4" t="s">
        <v>31</v>
      </c>
      <c r="D589" s="326" t="s">
        <v>778</v>
      </c>
      <c r="E589" s="452"/>
      <c r="F589" s="492">
        <f>F590</f>
        <v>1102</v>
      </c>
      <c r="G589" s="492"/>
      <c r="H589" s="492">
        <f>H590</f>
        <v>1102</v>
      </c>
      <c r="I589" s="492"/>
      <c r="J589" s="509">
        <f t="shared" ref="J589" si="281">J590</f>
        <v>1102</v>
      </c>
      <c r="K589" s="575">
        <f t="shared" si="239"/>
        <v>1</v>
      </c>
      <c r="L589" s="168"/>
      <c r="M589" s="580"/>
      <c r="N589" s="161"/>
    </row>
    <row r="590" spans="1:14" s="188" customFormat="1" x14ac:dyDescent="0.25">
      <c r="A590" s="278" t="s">
        <v>44</v>
      </c>
      <c r="B590" s="2" t="s">
        <v>8</v>
      </c>
      <c r="C590" s="4" t="s">
        <v>31</v>
      </c>
      <c r="D590" s="326" t="s">
        <v>778</v>
      </c>
      <c r="E590" s="452">
        <v>800</v>
      </c>
      <c r="F590" s="492">
        <f>F591</f>
        <v>1102</v>
      </c>
      <c r="G590" s="492"/>
      <c r="H590" s="492">
        <f>H591</f>
        <v>1102</v>
      </c>
      <c r="I590" s="492"/>
      <c r="J590" s="509">
        <f t="shared" ref="J590" si="282">J591</f>
        <v>1102</v>
      </c>
      <c r="K590" s="575">
        <f t="shared" si="239"/>
        <v>1</v>
      </c>
      <c r="L590" s="168"/>
      <c r="M590" s="580"/>
      <c r="N590" s="161"/>
    </row>
    <row r="591" spans="1:14" s="188" customFormat="1" x14ac:dyDescent="0.25">
      <c r="A591" s="278" t="s">
        <v>60</v>
      </c>
      <c r="B591" s="2" t="s">
        <v>8</v>
      </c>
      <c r="C591" s="4" t="s">
        <v>31</v>
      </c>
      <c r="D591" s="326" t="s">
        <v>778</v>
      </c>
      <c r="E591" s="452">
        <v>850</v>
      </c>
      <c r="F591" s="492">
        <f>'ведом. 2023-2025'!AD682</f>
        <v>1102</v>
      </c>
      <c r="G591" s="492"/>
      <c r="H591" s="492">
        <f>'ведом. 2023-2025'!AE682</f>
        <v>1102</v>
      </c>
      <c r="I591" s="492"/>
      <c r="J591" s="509">
        <f>'ведом. 2023-2025'!AF682</f>
        <v>1102</v>
      </c>
      <c r="K591" s="575">
        <f t="shared" si="239"/>
        <v>1</v>
      </c>
      <c r="L591" s="168"/>
      <c r="M591" s="580"/>
      <c r="N591" s="161"/>
    </row>
    <row r="592" spans="1:14" s="145" customFormat="1" x14ac:dyDescent="0.25">
      <c r="A592" s="278" t="s">
        <v>36</v>
      </c>
      <c r="B592" s="214" t="s">
        <v>8</v>
      </c>
      <c r="C592" s="4" t="s">
        <v>32</v>
      </c>
      <c r="D592" s="33"/>
      <c r="E592" s="351"/>
      <c r="F592" s="168">
        <f>F593+F649+F661+F655</f>
        <v>1136192.3999999999</v>
      </c>
      <c r="G592" s="168">
        <f t="shared" ref="G592:J592" si="283">G593+G649+G661+G655</f>
        <v>957498.3</v>
      </c>
      <c r="H592" s="168">
        <f t="shared" si="283"/>
        <v>1142059.7</v>
      </c>
      <c r="I592" s="168">
        <f t="shared" si="283"/>
        <v>952951.5</v>
      </c>
      <c r="J592" s="497">
        <f t="shared" si="283"/>
        <v>1117786.7</v>
      </c>
      <c r="K592" s="575">
        <f t="shared" ref="K592:K655" si="284">J592/H592</f>
        <v>0.97874629496163812</v>
      </c>
      <c r="L592" s="168">
        <f>L593+L649+L661+L655</f>
        <v>942463.2</v>
      </c>
      <c r="M592" s="580">
        <f t="shared" ref="M592:M654" si="285">L592/I592</f>
        <v>0.98899387849224218</v>
      </c>
      <c r="N592" s="161"/>
    </row>
    <row r="593" spans="1:14" s="145" customFormat="1" x14ac:dyDescent="0.25">
      <c r="A593" s="418" t="s">
        <v>278</v>
      </c>
      <c r="B593" s="214" t="s">
        <v>8</v>
      </c>
      <c r="C593" s="4" t="s">
        <v>32</v>
      </c>
      <c r="D593" s="163" t="s">
        <v>103</v>
      </c>
      <c r="E593" s="352"/>
      <c r="F593" s="169">
        <f>F594</f>
        <v>1132922</v>
      </c>
      <c r="G593" s="169">
        <f t="shared" ref="G593" si="286">G594</f>
        <v>955592.60000000009</v>
      </c>
      <c r="H593" s="169">
        <f>H594</f>
        <v>1128375.2</v>
      </c>
      <c r="I593" s="169">
        <f t="shared" ref="I593:J593" si="287">I594</f>
        <v>951045.8</v>
      </c>
      <c r="J593" s="507">
        <f t="shared" si="287"/>
        <v>1114516.3</v>
      </c>
      <c r="K593" s="575">
        <f t="shared" si="284"/>
        <v>0.98771782648182993</v>
      </c>
      <c r="L593" s="169">
        <f>L594</f>
        <v>940557.5</v>
      </c>
      <c r="M593" s="580">
        <f t="shared" si="285"/>
        <v>0.98897182449047139</v>
      </c>
      <c r="N593" s="161"/>
    </row>
    <row r="594" spans="1:14" s="145" customFormat="1" x14ac:dyDescent="0.25">
      <c r="A594" s="280" t="s">
        <v>282</v>
      </c>
      <c r="B594" s="209" t="s">
        <v>8</v>
      </c>
      <c r="C594" s="4" t="s">
        <v>32</v>
      </c>
      <c r="D594" s="163" t="s">
        <v>120</v>
      </c>
      <c r="E594" s="352"/>
      <c r="F594" s="169">
        <f>F595+F612+F626+F622+F645</f>
        <v>1132922</v>
      </c>
      <c r="G594" s="169">
        <f t="shared" ref="G594:H594" si="288">G595+G612+G626+G622+G645</f>
        <v>955592.60000000009</v>
      </c>
      <c r="H594" s="169">
        <f t="shared" si="288"/>
        <v>1128375.2</v>
      </c>
      <c r="I594" s="169">
        <f t="shared" ref="I594" si="289">I595+I612+I626+I622+I645</f>
        <v>951045.8</v>
      </c>
      <c r="J594" s="507">
        <f t="shared" ref="J594" si="290">J595+J612+J626+J622+J645</f>
        <v>1114516.3</v>
      </c>
      <c r="K594" s="575">
        <f t="shared" si="284"/>
        <v>0.98771782648182993</v>
      </c>
      <c r="L594" s="169">
        <f>L595+L612+L626+L622+L645</f>
        <v>940557.5</v>
      </c>
      <c r="M594" s="580">
        <f t="shared" si="285"/>
        <v>0.98897182449047139</v>
      </c>
      <c r="N594" s="161"/>
    </row>
    <row r="595" spans="1:14" s="145" customFormat="1" ht="31.5" x14ac:dyDescent="0.25">
      <c r="A595" s="295" t="s">
        <v>283</v>
      </c>
      <c r="B595" s="209" t="s">
        <v>8</v>
      </c>
      <c r="C595" s="4" t="s">
        <v>32</v>
      </c>
      <c r="D595" s="163" t="s">
        <v>505</v>
      </c>
      <c r="E595" s="352"/>
      <c r="F595" s="169">
        <f>F599+F606+F609+F596</f>
        <v>551871.4</v>
      </c>
      <c r="G595" s="169">
        <f t="shared" ref="G595:J595" si="291">G599+G606+G609+G596</f>
        <v>463231</v>
      </c>
      <c r="H595" s="169">
        <f>H599+H606+H609+H596</f>
        <v>559905.4</v>
      </c>
      <c r="I595" s="169">
        <f>I599+I606+I609+I596</f>
        <v>471265</v>
      </c>
      <c r="J595" s="507">
        <f t="shared" si="291"/>
        <v>552947</v>
      </c>
      <c r="K595" s="575">
        <f t="shared" si="284"/>
        <v>0.98757218630147159</v>
      </c>
      <c r="L595" s="169">
        <f>L599+L606+L609+L596</f>
        <v>464632.4</v>
      </c>
      <c r="M595" s="580">
        <f t="shared" si="285"/>
        <v>0.98592596522126619</v>
      </c>
      <c r="N595" s="161"/>
    </row>
    <row r="596" spans="1:14" s="188" customFormat="1" ht="31.5" x14ac:dyDescent="0.25">
      <c r="A596" s="280" t="s">
        <v>750</v>
      </c>
      <c r="B596" s="214" t="s">
        <v>8</v>
      </c>
      <c r="C596" s="4" t="s">
        <v>32</v>
      </c>
      <c r="D596" s="326" t="s">
        <v>751</v>
      </c>
      <c r="E596" s="309"/>
      <c r="F596" s="168">
        <f>F597</f>
        <v>3100.1</v>
      </c>
      <c r="G596" s="168"/>
      <c r="H596" s="168">
        <f>H597</f>
        <v>3100.1</v>
      </c>
      <c r="I596" s="168"/>
      <c r="J596" s="497">
        <f>J597</f>
        <v>3069</v>
      </c>
      <c r="K596" s="575">
        <f t="shared" si="284"/>
        <v>0.9899680655462727</v>
      </c>
      <c r="L596" s="168"/>
      <c r="M596" s="580"/>
      <c r="N596" s="161"/>
    </row>
    <row r="597" spans="1:14" s="188" customFormat="1" ht="31.5" x14ac:dyDescent="0.25">
      <c r="A597" s="278" t="s">
        <v>62</v>
      </c>
      <c r="B597" s="214" t="s">
        <v>8</v>
      </c>
      <c r="C597" s="4" t="s">
        <v>32</v>
      </c>
      <c r="D597" s="326" t="s">
        <v>751</v>
      </c>
      <c r="E597" s="309">
        <v>600</v>
      </c>
      <c r="F597" s="168">
        <f>F598</f>
        <v>3100.1</v>
      </c>
      <c r="G597" s="168"/>
      <c r="H597" s="168">
        <f>H598</f>
        <v>3100.1</v>
      </c>
      <c r="I597" s="168"/>
      <c r="J597" s="497">
        <f>J598</f>
        <v>3069</v>
      </c>
      <c r="K597" s="575">
        <f t="shared" si="284"/>
        <v>0.9899680655462727</v>
      </c>
      <c r="L597" s="168"/>
      <c r="M597" s="580"/>
      <c r="N597" s="161"/>
    </row>
    <row r="598" spans="1:14" s="188" customFormat="1" x14ac:dyDescent="0.25">
      <c r="A598" s="278" t="s">
        <v>63</v>
      </c>
      <c r="B598" s="209" t="s">
        <v>8</v>
      </c>
      <c r="C598" s="4" t="s">
        <v>32</v>
      </c>
      <c r="D598" s="326" t="s">
        <v>751</v>
      </c>
      <c r="E598" s="309">
        <v>610</v>
      </c>
      <c r="F598" s="168">
        <f>'ведом. 2023-2025'!AD689</f>
        <v>3100.1</v>
      </c>
      <c r="G598" s="327"/>
      <c r="H598" s="168">
        <f>'ведом. 2023-2025'!AE689</f>
        <v>3100.1</v>
      </c>
      <c r="I598" s="168"/>
      <c r="J598" s="497">
        <f>'ведом. 2023-2025'!AF689</f>
        <v>3069</v>
      </c>
      <c r="K598" s="575">
        <f t="shared" si="284"/>
        <v>0.9899680655462727</v>
      </c>
      <c r="L598" s="168"/>
      <c r="M598" s="580"/>
      <c r="N598" s="161"/>
    </row>
    <row r="599" spans="1:14" s="145" customFormat="1" ht="47.25" x14ac:dyDescent="0.25">
      <c r="A599" s="280" t="s">
        <v>487</v>
      </c>
      <c r="B599" s="209" t="s">
        <v>8</v>
      </c>
      <c r="C599" s="4" t="s">
        <v>32</v>
      </c>
      <c r="D599" s="163" t="s">
        <v>530</v>
      </c>
      <c r="E599" s="352"/>
      <c r="F599" s="168">
        <f>F600+F603</f>
        <v>85540.3</v>
      </c>
      <c r="G599" s="327"/>
      <c r="H599" s="168">
        <f>H600+H603</f>
        <v>85540.3</v>
      </c>
      <c r="I599" s="168"/>
      <c r="J599" s="497">
        <f t="shared" ref="J599" si="292">J600+J603</f>
        <v>85245.6</v>
      </c>
      <c r="K599" s="575">
        <f t="shared" si="284"/>
        <v>0.99655484023320007</v>
      </c>
      <c r="L599" s="168"/>
      <c r="M599" s="580"/>
      <c r="N599" s="161"/>
    </row>
    <row r="600" spans="1:14" s="145" customFormat="1" ht="31.5" x14ac:dyDescent="0.25">
      <c r="A600" s="280" t="s">
        <v>355</v>
      </c>
      <c r="B600" s="209" t="s">
        <v>8</v>
      </c>
      <c r="C600" s="4" t="s">
        <v>32</v>
      </c>
      <c r="D600" s="163" t="s">
        <v>531</v>
      </c>
      <c r="E600" s="367"/>
      <c r="F600" s="168">
        <f>F601</f>
        <v>83754.3</v>
      </c>
      <c r="G600" s="327"/>
      <c r="H600" s="168">
        <f>H601</f>
        <v>83754.3</v>
      </c>
      <c r="I600" s="168"/>
      <c r="J600" s="497">
        <f>J601</f>
        <v>83564.800000000003</v>
      </c>
      <c r="K600" s="575">
        <f t="shared" si="284"/>
        <v>0.9977374296006295</v>
      </c>
      <c r="L600" s="168"/>
      <c r="M600" s="580"/>
      <c r="N600" s="161"/>
    </row>
    <row r="601" spans="1:14" s="145" customFormat="1" ht="31.5" x14ac:dyDescent="0.25">
      <c r="A601" s="401" t="s">
        <v>62</v>
      </c>
      <c r="B601" s="209" t="s">
        <v>8</v>
      </c>
      <c r="C601" s="4" t="s">
        <v>32</v>
      </c>
      <c r="D601" s="163" t="s">
        <v>531</v>
      </c>
      <c r="E601" s="352">
        <v>600</v>
      </c>
      <c r="F601" s="168">
        <f>F602</f>
        <v>83754.3</v>
      </c>
      <c r="G601" s="327"/>
      <c r="H601" s="168">
        <f>H602</f>
        <v>83754.3</v>
      </c>
      <c r="I601" s="168"/>
      <c r="J601" s="497">
        <f>J602</f>
        <v>83564.800000000003</v>
      </c>
      <c r="K601" s="575">
        <f t="shared" si="284"/>
        <v>0.9977374296006295</v>
      </c>
      <c r="L601" s="168"/>
      <c r="M601" s="580"/>
      <c r="N601" s="161"/>
    </row>
    <row r="602" spans="1:14" s="145" customFormat="1" x14ac:dyDescent="0.25">
      <c r="A602" s="401" t="s">
        <v>63</v>
      </c>
      <c r="B602" s="209" t="s">
        <v>8</v>
      </c>
      <c r="C602" s="4" t="s">
        <v>32</v>
      </c>
      <c r="D602" s="163" t="s">
        <v>531</v>
      </c>
      <c r="E602" s="352">
        <v>610</v>
      </c>
      <c r="F602" s="168">
        <f>'ведом. 2023-2025'!AD693</f>
        <v>83754.3</v>
      </c>
      <c r="G602" s="327"/>
      <c r="H602" s="168">
        <f>'ведом. 2023-2025'!AE693</f>
        <v>83754.3</v>
      </c>
      <c r="I602" s="168"/>
      <c r="J602" s="497">
        <f>'ведом. 2023-2025'!AF693</f>
        <v>83564.800000000003</v>
      </c>
      <c r="K602" s="575">
        <f t="shared" si="284"/>
        <v>0.9977374296006295</v>
      </c>
      <c r="L602" s="168"/>
      <c r="M602" s="580"/>
      <c r="N602" s="161"/>
    </row>
    <row r="603" spans="1:14" s="188" customFormat="1" ht="31.5" x14ac:dyDescent="0.25">
      <c r="A603" s="401" t="s">
        <v>284</v>
      </c>
      <c r="B603" s="209" t="s">
        <v>8</v>
      </c>
      <c r="C603" s="4" t="s">
        <v>32</v>
      </c>
      <c r="D603" s="163" t="s">
        <v>532</v>
      </c>
      <c r="E603" s="352"/>
      <c r="F603" s="168">
        <f>F604</f>
        <v>1785.9999999999998</v>
      </c>
      <c r="G603" s="327"/>
      <c r="H603" s="168">
        <f>H604</f>
        <v>1785.9999999999998</v>
      </c>
      <c r="I603" s="168"/>
      <c r="J603" s="497">
        <f t="shared" ref="J603" si="293">J604</f>
        <v>1680.8</v>
      </c>
      <c r="K603" s="575">
        <f t="shared" si="284"/>
        <v>0.94109742441209421</v>
      </c>
      <c r="L603" s="168"/>
      <c r="M603" s="580"/>
      <c r="N603" s="161"/>
    </row>
    <row r="604" spans="1:14" s="145" customFormat="1" ht="31.5" x14ac:dyDescent="0.25">
      <c r="A604" s="401" t="s">
        <v>62</v>
      </c>
      <c r="B604" s="209" t="s">
        <v>8</v>
      </c>
      <c r="C604" s="4" t="s">
        <v>32</v>
      </c>
      <c r="D604" s="163" t="s">
        <v>532</v>
      </c>
      <c r="E604" s="352">
        <v>600</v>
      </c>
      <c r="F604" s="168">
        <f>F605</f>
        <v>1785.9999999999998</v>
      </c>
      <c r="G604" s="327"/>
      <c r="H604" s="168">
        <f>H605</f>
        <v>1785.9999999999998</v>
      </c>
      <c r="I604" s="168"/>
      <c r="J604" s="497">
        <f>J605</f>
        <v>1680.8</v>
      </c>
      <c r="K604" s="575">
        <f t="shared" si="284"/>
        <v>0.94109742441209421</v>
      </c>
      <c r="L604" s="168"/>
      <c r="M604" s="580"/>
      <c r="N604" s="161"/>
    </row>
    <row r="605" spans="1:14" s="145" customFormat="1" x14ac:dyDescent="0.25">
      <c r="A605" s="401" t="s">
        <v>63</v>
      </c>
      <c r="B605" s="209" t="s">
        <v>8</v>
      </c>
      <c r="C605" s="4" t="s">
        <v>32</v>
      </c>
      <c r="D605" s="163" t="s">
        <v>532</v>
      </c>
      <c r="E605" s="352">
        <v>610</v>
      </c>
      <c r="F605" s="168">
        <f>'ведом. 2023-2025'!AD696</f>
        <v>1785.9999999999998</v>
      </c>
      <c r="G605" s="327"/>
      <c r="H605" s="168">
        <f>'ведом. 2023-2025'!AE696</f>
        <v>1785.9999999999998</v>
      </c>
      <c r="I605" s="168"/>
      <c r="J605" s="497">
        <f>'ведом. 2023-2025'!AF696</f>
        <v>1680.8</v>
      </c>
      <c r="K605" s="575">
        <f t="shared" si="284"/>
        <v>0.94109742441209421</v>
      </c>
      <c r="L605" s="168"/>
      <c r="M605" s="580"/>
      <c r="N605" s="161"/>
    </row>
    <row r="606" spans="1:14" s="188" customFormat="1" ht="173.25" x14ac:dyDescent="0.25">
      <c r="A606" s="297" t="s">
        <v>442</v>
      </c>
      <c r="B606" s="209" t="s">
        <v>8</v>
      </c>
      <c r="C606" s="4" t="s">
        <v>32</v>
      </c>
      <c r="D606" s="33" t="s">
        <v>533</v>
      </c>
      <c r="E606" s="352"/>
      <c r="F606" s="168">
        <f t="shared" ref="F606:J607" si="294">F607</f>
        <v>18827</v>
      </c>
      <c r="G606" s="327">
        <f t="shared" si="294"/>
        <v>18827</v>
      </c>
      <c r="H606" s="168">
        <f t="shared" si="294"/>
        <v>18827</v>
      </c>
      <c r="I606" s="168">
        <f t="shared" si="294"/>
        <v>18827</v>
      </c>
      <c r="J606" s="497">
        <f t="shared" si="294"/>
        <v>15014.4</v>
      </c>
      <c r="K606" s="575">
        <f t="shared" si="284"/>
        <v>0.79749296223508792</v>
      </c>
      <c r="L606" s="168">
        <f>L607</f>
        <v>15014.4</v>
      </c>
      <c r="M606" s="580">
        <f t="shared" si="285"/>
        <v>0.79749296223508792</v>
      </c>
      <c r="N606" s="161"/>
    </row>
    <row r="607" spans="1:14" s="188" customFormat="1" ht="31.5" x14ac:dyDescent="0.25">
      <c r="A607" s="278" t="s">
        <v>62</v>
      </c>
      <c r="B607" s="209" t="s">
        <v>8</v>
      </c>
      <c r="C607" s="4" t="s">
        <v>32</v>
      </c>
      <c r="D607" s="33" t="s">
        <v>533</v>
      </c>
      <c r="E607" s="352">
        <v>600</v>
      </c>
      <c r="F607" s="168">
        <f t="shared" si="294"/>
        <v>18827</v>
      </c>
      <c r="G607" s="327">
        <f t="shared" si="294"/>
        <v>18827</v>
      </c>
      <c r="H607" s="168">
        <f t="shared" si="294"/>
        <v>18827</v>
      </c>
      <c r="I607" s="168">
        <f t="shared" si="294"/>
        <v>18827</v>
      </c>
      <c r="J607" s="497">
        <f t="shared" si="294"/>
        <v>15014.4</v>
      </c>
      <c r="K607" s="575">
        <f t="shared" si="284"/>
        <v>0.79749296223508792</v>
      </c>
      <c r="L607" s="168">
        <f>L608</f>
        <v>15014.4</v>
      </c>
      <c r="M607" s="580">
        <f t="shared" si="285"/>
        <v>0.79749296223508792</v>
      </c>
      <c r="N607" s="161"/>
    </row>
    <row r="608" spans="1:14" s="188" customFormat="1" x14ac:dyDescent="0.25">
      <c r="A608" s="278" t="s">
        <v>63</v>
      </c>
      <c r="B608" s="209" t="s">
        <v>8</v>
      </c>
      <c r="C608" s="4" t="s">
        <v>32</v>
      </c>
      <c r="D608" s="33" t="s">
        <v>533</v>
      </c>
      <c r="E608" s="352">
        <v>610</v>
      </c>
      <c r="F608" s="168">
        <f>'ведом. 2023-2025'!AD699</f>
        <v>18827</v>
      </c>
      <c r="G608" s="327">
        <f>F608</f>
        <v>18827</v>
      </c>
      <c r="H608" s="168">
        <f>'ведом. 2023-2025'!AE699</f>
        <v>18827</v>
      </c>
      <c r="I608" s="168">
        <f>'ведом. 2023-2025'!AE699</f>
        <v>18827</v>
      </c>
      <c r="J608" s="497">
        <f>'ведом. 2023-2025'!AF699</f>
        <v>15014.4</v>
      </c>
      <c r="K608" s="575">
        <f t="shared" si="284"/>
        <v>0.79749296223508792</v>
      </c>
      <c r="L608" s="168">
        <f>J608</f>
        <v>15014.4</v>
      </c>
      <c r="M608" s="580">
        <f t="shared" si="285"/>
        <v>0.79749296223508792</v>
      </c>
      <c r="N608" s="161"/>
    </row>
    <row r="609" spans="1:14" s="145" customFormat="1" ht="141.75" x14ac:dyDescent="0.25">
      <c r="A609" s="281" t="s">
        <v>443</v>
      </c>
      <c r="B609" s="209" t="s">
        <v>8</v>
      </c>
      <c r="C609" s="4" t="s">
        <v>32</v>
      </c>
      <c r="D609" s="33" t="s">
        <v>534</v>
      </c>
      <c r="E609" s="351"/>
      <c r="F609" s="168">
        <f t="shared" ref="F609:J610" si="295">F610</f>
        <v>444404</v>
      </c>
      <c r="G609" s="327">
        <f t="shared" si="295"/>
        <v>444404</v>
      </c>
      <c r="H609" s="168">
        <f t="shared" si="295"/>
        <v>452438</v>
      </c>
      <c r="I609" s="168">
        <f t="shared" si="295"/>
        <v>452438</v>
      </c>
      <c r="J609" s="497">
        <f t="shared" si="295"/>
        <v>449618</v>
      </c>
      <c r="K609" s="575">
        <f t="shared" si="284"/>
        <v>0.99376710179074257</v>
      </c>
      <c r="L609" s="168">
        <f>L610</f>
        <v>449618</v>
      </c>
      <c r="M609" s="580">
        <f t="shared" si="285"/>
        <v>0.99376710179074257</v>
      </c>
      <c r="N609" s="161"/>
    </row>
    <row r="610" spans="1:14" s="145" customFormat="1" ht="31.5" x14ac:dyDescent="0.25">
      <c r="A610" s="401" t="s">
        <v>62</v>
      </c>
      <c r="B610" s="209" t="s">
        <v>8</v>
      </c>
      <c r="C610" s="4" t="s">
        <v>32</v>
      </c>
      <c r="D610" s="33" t="s">
        <v>534</v>
      </c>
      <c r="E610" s="352">
        <v>600</v>
      </c>
      <c r="F610" s="168">
        <f t="shared" si="295"/>
        <v>444404</v>
      </c>
      <c r="G610" s="327">
        <f t="shared" si="295"/>
        <v>444404</v>
      </c>
      <c r="H610" s="168">
        <f t="shared" si="295"/>
        <v>452438</v>
      </c>
      <c r="I610" s="168">
        <f t="shared" si="295"/>
        <v>452438</v>
      </c>
      <c r="J610" s="497">
        <f t="shared" si="295"/>
        <v>449618</v>
      </c>
      <c r="K610" s="575">
        <f t="shared" si="284"/>
        <v>0.99376710179074257</v>
      </c>
      <c r="L610" s="168">
        <f>L611</f>
        <v>449618</v>
      </c>
      <c r="M610" s="580">
        <f t="shared" si="285"/>
        <v>0.99376710179074257</v>
      </c>
      <c r="N610" s="161"/>
    </row>
    <row r="611" spans="1:14" s="145" customFormat="1" x14ac:dyDescent="0.25">
      <c r="A611" s="401" t="s">
        <v>63</v>
      </c>
      <c r="B611" s="209" t="s">
        <v>8</v>
      </c>
      <c r="C611" s="4" t="s">
        <v>32</v>
      </c>
      <c r="D611" s="33" t="s">
        <v>534</v>
      </c>
      <c r="E611" s="352">
        <v>610</v>
      </c>
      <c r="F611" s="168">
        <f>'ведом. 2023-2025'!AD702</f>
        <v>444404</v>
      </c>
      <c r="G611" s="327">
        <f>F611</f>
        <v>444404</v>
      </c>
      <c r="H611" s="168">
        <f>'ведом. 2023-2025'!AE702</f>
        <v>452438</v>
      </c>
      <c r="I611" s="168">
        <f>H611</f>
        <v>452438</v>
      </c>
      <c r="J611" s="497">
        <f>'ведом. 2023-2025'!AF702</f>
        <v>449618</v>
      </c>
      <c r="K611" s="575">
        <f t="shared" si="284"/>
        <v>0.99376710179074257</v>
      </c>
      <c r="L611" s="168">
        <f>J611</f>
        <v>449618</v>
      </c>
      <c r="M611" s="580">
        <f t="shared" si="285"/>
        <v>0.99376710179074257</v>
      </c>
      <c r="N611" s="161"/>
    </row>
    <row r="612" spans="1:14" s="145" customFormat="1" ht="47.25" x14ac:dyDescent="0.25">
      <c r="A612" s="280" t="s">
        <v>285</v>
      </c>
      <c r="B612" s="209" t="s">
        <v>8</v>
      </c>
      <c r="C612" s="4" t="s">
        <v>32</v>
      </c>
      <c r="D612" s="163" t="s">
        <v>128</v>
      </c>
      <c r="E612" s="352"/>
      <c r="F612" s="168">
        <f>F619+F613+F616</f>
        <v>53760.800000000003</v>
      </c>
      <c r="G612" s="327">
        <f>G619+G613+G616</f>
        <v>46999</v>
      </c>
      <c r="H612" s="168">
        <f>H619+H613+H616</f>
        <v>48011.8</v>
      </c>
      <c r="I612" s="168">
        <f>I619+I613+I616</f>
        <v>41250.1</v>
      </c>
      <c r="J612" s="497">
        <f t="shared" ref="J612" si="296">J619+J613+J616</f>
        <v>42935.9</v>
      </c>
      <c r="K612" s="575">
        <f t="shared" si="284"/>
        <v>0.89427807330697873</v>
      </c>
      <c r="L612" s="168">
        <f>L619+L613+L616</f>
        <v>37554.400000000001</v>
      </c>
      <c r="M612" s="580">
        <f t="shared" si="285"/>
        <v>0.91040748992123666</v>
      </c>
      <c r="N612" s="161"/>
    </row>
    <row r="613" spans="1:14" s="145" customFormat="1" ht="31.5" x14ac:dyDescent="0.25">
      <c r="A613" s="401" t="s">
        <v>585</v>
      </c>
      <c r="B613" s="209" t="s">
        <v>8</v>
      </c>
      <c r="C613" s="4" t="s">
        <v>32</v>
      </c>
      <c r="D613" s="163" t="s">
        <v>535</v>
      </c>
      <c r="E613" s="352"/>
      <c r="F613" s="168">
        <f t="shared" ref="F613:J614" si="297">F614</f>
        <v>48</v>
      </c>
      <c r="G613" s="327">
        <f t="shared" si="297"/>
        <v>48</v>
      </c>
      <c r="H613" s="168">
        <f t="shared" si="297"/>
        <v>27</v>
      </c>
      <c r="I613" s="168">
        <f t="shared" si="297"/>
        <v>27</v>
      </c>
      <c r="J613" s="497">
        <f t="shared" si="297"/>
        <v>12</v>
      </c>
      <c r="K613" s="575">
        <f t="shared" si="284"/>
        <v>0.44444444444444442</v>
      </c>
      <c r="L613" s="168">
        <f>L614</f>
        <v>12</v>
      </c>
      <c r="M613" s="580">
        <f t="shared" si="285"/>
        <v>0.44444444444444442</v>
      </c>
      <c r="N613" s="161"/>
    </row>
    <row r="614" spans="1:14" s="145" customFormat="1" ht="31.5" x14ac:dyDescent="0.25">
      <c r="A614" s="401" t="s">
        <v>62</v>
      </c>
      <c r="B614" s="209" t="s">
        <v>8</v>
      </c>
      <c r="C614" s="4" t="s">
        <v>32</v>
      </c>
      <c r="D614" s="163" t="s">
        <v>535</v>
      </c>
      <c r="E614" s="351">
        <v>600</v>
      </c>
      <c r="F614" s="168">
        <f t="shared" si="297"/>
        <v>48</v>
      </c>
      <c r="G614" s="327">
        <f t="shared" si="297"/>
        <v>48</v>
      </c>
      <c r="H614" s="168">
        <f t="shared" si="297"/>
        <v>27</v>
      </c>
      <c r="I614" s="168">
        <f t="shared" si="297"/>
        <v>27</v>
      </c>
      <c r="J614" s="497">
        <f t="shared" si="297"/>
        <v>12</v>
      </c>
      <c r="K614" s="575">
        <f t="shared" si="284"/>
        <v>0.44444444444444442</v>
      </c>
      <c r="L614" s="168">
        <f>L615</f>
        <v>12</v>
      </c>
      <c r="M614" s="580">
        <f t="shared" si="285"/>
        <v>0.44444444444444442</v>
      </c>
      <c r="N614" s="161"/>
    </row>
    <row r="615" spans="1:14" s="145" customFormat="1" x14ac:dyDescent="0.25">
      <c r="A615" s="401" t="s">
        <v>63</v>
      </c>
      <c r="B615" s="209" t="s">
        <v>8</v>
      </c>
      <c r="C615" s="4" t="s">
        <v>32</v>
      </c>
      <c r="D615" s="163" t="s">
        <v>535</v>
      </c>
      <c r="E615" s="351">
        <v>610</v>
      </c>
      <c r="F615" s="168">
        <f>'ведом. 2023-2025'!AD706</f>
        <v>48</v>
      </c>
      <c r="G615" s="327">
        <f>F615</f>
        <v>48</v>
      </c>
      <c r="H615" s="168">
        <f>'ведом. 2023-2025'!AE706</f>
        <v>27</v>
      </c>
      <c r="I615" s="168">
        <f>'ведом. 2023-2025'!AE706</f>
        <v>27</v>
      </c>
      <c r="J615" s="497">
        <f>'ведом. 2023-2025'!AF706</f>
        <v>12</v>
      </c>
      <c r="K615" s="575">
        <f t="shared" si="284"/>
        <v>0.44444444444444442</v>
      </c>
      <c r="L615" s="168">
        <f>J615</f>
        <v>12</v>
      </c>
      <c r="M615" s="580">
        <f t="shared" si="285"/>
        <v>0.44444444444444442</v>
      </c>
      <c r="N615" s="161"/>
    </row>
    <row r="616" spans="1:14" s="188" customFormat="1" ht="31.5" x14ac:dyDescent="0.25">
      <c r="A616" s="278" t="s">
        <v>389</v>
      </c>
      <c r="B616" s="209" t="s">
        <v>8</v>
      </c>
      <c r="C616" s="4" t="s">
        <v>32</v>
      </c>
      <c r="D616" s="33" t="s">
        <v>536</v>
      </c>
      <c r="E616" s="352"/>
      <c r="F616" s="168">
        <f t="shared" ref="F616:J617" si="298">F617</f>
        <v>33277.800000000003</v>
      </c>
      <c r="G616" s="327">
        <f t="shared" si="298"/>
        <v>29950</v>
      </c>
      <c r="H616" s="168">
        <f t="shared" si="298"/>
        <v>27549.8</v>
      </c>
      <c r="I616" s="327">
        <f t="shared" si="298"/>
        <v>24222.1</v>
      </c>
      <c r="J616" s="497">
        <f t="shared" si="298"/>
        <v>26913.3</v>
      </c>
      <c r="K616" s="575">
        <f t="shared" si="284"/>
        <v>0.97689638400278767</v>
      </c>
      <c r="L616" s="168">
        <f>L617</f>
        <v>24222</v>
      </c>
      <c r="M616" s="580">
        <f t="shared" si="285"/>
        <v>0.99999587153880143</v>
      </c>
      <c r="N616" s="161"/>
    </row>
    <row r="617" spans="1:14" s="188" customFormat="1" x14ac:dyDescent="0.25">
      <c r="A617" s="297" t="s">
        <v>123</v>
      </c>
      <c r="B617" s="209" t="s">
        <v>8</v>
      </c>
      <c r="C617" s="4" t="s">
        <v>32</v>
      </c>
      <c r="D617" s="33" t="s">
        <v>536</v>
      </c>
      <c r="E617" s="352">
        <v>200</v>
      </c>
      <c r="F617" s="168">
        <f t="shared" si="298"/>
        <v>33277.800000000003</v>
      </c>
      <c r="G617" s="327">
        <f t="shared" si="298"/>
        <v>29950</v>
      </c>
      <c r="H617" s="168">
        <f t="shared" si="298"/>
        <v>27549.8</v>
      </c>
      <c r="I617" s="327">
        <f t="shared" si="298"/>
        <v>24222.1</v>
      </c>
      <c r="J617" s="497">
        <f t="shared" si="298"/>
        <v>26913.3</v>
      </c>
      <c r="K617" s="575">
        <f t="shared" si="284"/>
        <v>0.97689638400278767</v>
      </c>
      <c r="L617" s="168">
        <f>L618</f>
        <v>24222</v>
      </c>
      <c r="M617" s="580">
        <f t="shared" si="285"/>
        <v>0.99999587153880143</v>
      </c>
      <c r="N617" s="161"/>
    </row>
    <row r="618" spans="1:14" s="188" customFormat="1" ht="31.5" x14ac:dyDescent="0.25">
      <c r="A618" s="297" t="s">
        <v>54</v>
      </c>
      <c r="B618" s="209" t="s">
        <v>8</v>
      </c>
      <c r="C618" s="4" t="s">
        <v>32</v>
      </c>
      <c r="D618" s="33" t="s">
        <v>536</v>
      </c>
      <c r="E618" s="352">
        <v>240</v>
      </c>
      <c r="F618" s="168">
        <f>'ведом. 2023-2025'!AD709</f>
        <v>33277.800000000003</v>
      </c>
      <c r="G618" s="327">
        <v>29950</v>
      </c>
      <c r="H618" s="168">
        <f>'ведом. 2023-2025'!AE709</f>
        <v>27549.8</v>
      </c>
      <c r="I618" s="168">
        <v>24222.1</v>
      </c>
      <c r="J618" s="497">
        <f>'ведом. 2023-2025'!AF709</f>
        <v>26913.3</v>
      </c>
      <c r="K618" s="575">
        <f t="shared" si="284"/>
        <v>0.97689638400278767</v>
      </c>
      <c r="L618" s="168">
        <v>24222</v>
      </c>
      <c r="M618" s="580">
        <f t="shared" si="285"/>
        <v>0.99999587153880143</v>
      </c>
      <c r="N618" s="161"/>
    </row>
    <row r="619" spans="1:14" s="188" customFormat="1" ht="47.25" x14ac:dyDescent="0.25">
      <c r="A619" s="281" t="s">
        <v>418</v>
      </c>
      <c r="B619" s="209" t="s">
        <v>8</v>
      </c>
      <c r="C619" s="4" t="s">
        <v>32</v>
      </c>
      <c r="D619" s="163" t="s">
        <v>537</v>
      </c>
      <c r="E619" s="356"/>
      <c r="F619" s="168">
        <f t="shared" ref="F619:J620" si="299">F620</f>
        <v>20435</v>
      </c>
      <c r="G619" s="327">
        <f t="shared" si="299"/>
        <v>17001</v>
      </c>
      <c r="H619" s="168">
        <f t="shared" si="299"/>
        <v>20435</v>
      </c>
      <c r="I619" s="327">
        <f t="shared" si="299"/>
        <v>17001</v>
      </c>
      <c r="J619" s="497">
        <f t="shared" si="299"/>
        <v>16010.6</v>
      </c>
      <c r="K619" s="575">
        <f t="shared" si="284"/>
        <v>0.78348911181795944</v>
      </c>
      <c r="L619" s="168">
        <f>L620</f>
        <v>13320.4</v>
      </c>
      <c r="M619" s="580">
        <f t="shared" si="285"/>
        <v>0.78350685253808594</v>
      </c>
      <c r="N619" s="161"/>
    </row>
    <row r="620" spans="1:14" s="188" customFormat="1" x14ac:dyDescent="0.25">
      <c r="A620" s="297" t="s">
        <v>123</v>
      </c>
      <c r="B620" s="209" t="s">
        <v>8</v>
      </c>
      <c r="C620" s="4" t="s">
        <v>32</v>
      </c>
      <c r="D620" s="163" t="s">
        <v>537</v>
      </c>
      <c r="E620" s="352">
        <v>200</v>
      </c>
      <c r="F620" s="168">
        <f t="shared" si="299"/>
        <v>20435</v>
      </c>
      <c r="G620" s="327">
        <f t="shared" si="299"/>
        <v>17001</v>
      </c>
      <c r="H620" s="168">
        <f t="shared" si="299"/>
        <v>20435</v>
      </c>
      <c r="I620" s="327">
        <f t="shared" si="299"/>
        <v>17001</v>
      </c>
      <c r="J620" s="497">
        <f t="shared" si="299"/>
        <v>16010.6</v>
      </c>
      <c r="K620" s="575">
        <f t="shared" si="284"/>
        <v>0.78348911181795944</v>
      </c>
      <c r="L620" s="168">
        <f>L621</f>
        <v>13320.4</v>
      </c>
      <c r="M620" s="580">
        <f t="shared" si="285"/>
        <v>0.78350685253808594</v>
      </c>
      <c r="N620" s="161"/>
    </row>
    <row r="621" spans="1:14" s="188" customFormat="1" ht="31.5" x14ac:dyDescent="0.25">
      <c r="A621" s="297" t="s">
        <v>54</v>
      </c>
      <c r="B621" s="209" t="s">
        <v>8</v>
      </c>
      <c r="C621" s="4" t="s">
        <v>32</v>
      </c>
      <c r="D621" s="163" t="s">
        <v>537</v>
      </c>
      <c r="E621" s="352">
        <v>240</v>
      </c>
      <c r="F621" s="168">
        <f>'ведом. 2023-2025'!AD712</f>
        <v>20435</v>
      </c>
      <c r="G621" s="327">
        <f>15484-395+160+1752</f>
        <v>17001</v>
      </c>
      <c r="H621" s="168">
        <f>'ведом. 2023-2025'!AE712</f>
        <v>20435</v>
      </c>
      <c r="I621" s="327">
        <f>15484-395+160+1752</f>
        <v>17001</v>
      </c>
      <c r="J621" s="497">
        <f>'ведом. 2023-2025'!AF712</f>
        <v>16010.6</v>
      </c>
      <c r="K621" s="575">
        <f t="shared" si="284"/>
        <v>0.78348911181795944</v>
      </c>
      <c r="L621" s="168">
        <v>13320.4</v>
      </c>
      <c r="M621" s="580">
        <f t="shared" si="285"/>
        <v>0.78350685253808594</v>
      </c>
      <c r="N621" s="161"/>
    </row>
    <row r="622" spans="1:14" s="145" customFormat="1" ht="47.25" x14ac:dyDescent="0.25">
      <c r="A622" s="280" t="s">
        <v>330</v>
      </c>
      <c r="B622" s="209" t="s">
        <v>8</v>
      </c>
      <c r="C622" s="4" t="s">
        <v>32</v>
      </c>
      <c r="D622" s="163" t="s">
        <v>538</v>
      </c>
      <c r="E622" s="351"/>
      <c r="F622" s="168">
        <f>F623</f>
        <v>2985.3999999999996</v>
      </c>
      <c r="G622" s="327"/>
      <c r="H622" s="168">
        <f>H623</f>
        <v>2985.3999999999996</v>
      </c>
      <c r="I622" s="168"/>
      <c r="J622" s="497">
        <f>J623</f>
        <v>2711</v>
      </c>
      <c r="K622" s="575">
        <f t="shared" si="284"/>
        <v>0.90808601862397009</v>
      </c>
      <c r="L622" s="168"/>
      <c r="M622" s="580"/>
      <c r="N622" s="161"/>
    </row>
    <row r="623" spans="1:14" s="145" customFormat="1" ht="47.25" x14ac:dyDescent="0.25">
      <c r="A623" s="280" t="s">
        <v>487</v>
      </c>
      <c r="B623" s="209" t="s">
        <v>8</v>
      </c>
      <c r="C623" s="4" t="s">
        <v>32</v>
      </c>
      <c r="D623" s="163" t="s">
        <v>539</v>
      </c>
      <c r="E623" s="351"/>
      <c r="F623" s="168">
        <f>F624</f>
        <v>2985.3999999999996</v>
      </c>
      <c r="G623" s="327"/>
      <c r="H623" s="168">
        <f>H624</f>
        <v>2985.3999999999996</v>
      </c>
      <c r="I623" s="168"/>
      <c r="J623" s="497">
        <f>J624</f>
        <v>2711</v>
      </c>
      <c r="K623" s="575">
        <f t="shared" si="284"/>
        <v>0.90808601862397009</v>
      </c>
      <c r="L623" s="168"/>
      <c r="M623" s="580"/>
      <c r="N623" s="161"/>
    </row>
    <row r="624" spans="1:14" s="145" customFormat="1" ht="31.5" x14ac:dyDescent="0.25">
      <c r="A624" s="401" t="s">
        <v>62</v>
      </c>
      <c r="B624" s="209" t="s">
        <v>8</v>
      </c>
      <c r="C624" s="4" t="s">
        <v>32</v>
      </c>
      <c r="D624" s="163" t="s">
        <v>539</v>
      </c>
      <c r="E624" s="351">
        <v>600</v>
      </c>
      <c r="F624" s="168">
        <f>F625</f>
        <v>2985.3999999999996</v>
      </c>
      <c r="G624" s="327"/>
      <c r="H624" s="168">
        <f>H625</f>
        <v>2985.3999999999996</v>
      </c>
      <c r="I624" s="168"/>
      <c r="J624" s="497">
        <f>J625</f>
        <v>2711</v>
      </c>
      <c r="K624" s="575">
        <f t="shared" si="284"/>
        <v>0.90808601862397009</v>
      </c>
      <c r="L624" s="168"/>
      <c r="M624" s="580"/>
      <c r="N624" s="161"/>
    </row>
    <row r="625" spans="1:14" s="145" customFormat="1" x14ac:dyDescent="0.25">
      <c r="A625" s="401" t="s">
        <v>63</v>
      </c>
      <c r="B625" s="209" t="s">
        <v>8</v>
      </c>
      <c r="C625" s="4" t="s">
        <v>32</v>
      </c>
      <c r="D625" s="163" t="s">
        <v>539</v>
      </c>
      <c r="E625" s="351">
        <v>610</v>
      </c>
      <c r="F625" s="168">
        <f>'ведом. 2023-2025'!AD716</f>
        <v>2985.3999999999996</v>
      </c>
      <c r="G625" s="327"/>
      <c r="H625" s="168">
        <f>'ведом. 2023-2025'!AE716</f>
        <v>2985.3999999999996</v>
      </c>
      <c r="I625" s="168"/>
      <c r="J625" s="497">
        <f>'ведом. 2023-2025'!AF716</f>
        <v>2711</v>
      </c>
      <c r="K625" s="575">
        <f t="shared" si="284"/>
        <v>0.90808601862397009</v>
      </c>
      <c r="L625" s="168"/>
      <c r="M625" s="580"/>
      <c r="N625" s="161"/>
    </row>
    <row r="626" spans="1:14" s="188" customFormat="1" ht="31.5" x14ac:dyDescent="0.25">
      <c r="A626" s="423" t="s">
        <v>440</v>
      </c>
      <c r="B626" s="209" t="s">
        <v>8</v>
      </c>
      <c r="C626" s="4" t="s">
        <v>32</v>
      </c>
      <c r="D626" s="303" t="s">
        <v>540</v>
      </c>
      <c r="E626" s="351"/>
      <c r="F626" s="168">
        <f>F627+F630+F642+F636+F639+F633</f>
        <v>523737.89999999991</v>
      </c>
      <c r="G626" s="168">
        <f t="shared" ref="G626" si="300">G627+G630+G642+G636+G639+G633</f>
        <v>444796.10000000003</v>
      </c>
      <c r="H626" s="168">
        <f>H627+H630+H642+H636+H639+H633</f>
        <v>516906.1</v>
      </c>
      <c r="I626" s="168">
        <f t="shared" ref="I626:J626" si="301">I627+I630+I642+I636+I639+I633</f>
        <v>437964.2</v>
      </c>
      <c r="J626" s="497">
        <f t="shared" si="301"/>
        <v>515355.89999999997</v>
      </c>
      <c r="K626" s="575">
        <f t="shared" si="284"/>
        <v>0.99700100269662129</v>
      </c>
      <c r="L626" s="168">
        <f>L627+L630+L642+L636+L639+L633</f>
        <v>437804.2</v>
      </c>
      <c r="M626" s="580">
        <f t="shared" si="285"/>
        <v>0.99963467333631384</v>
      </c>
      <c r="N626" s="161"/>
    </row>
    <row r="627" spans="1:14" s="188" customFormat="1" ht="47.25" x14ac:dyDescent="0.25">
      <c r="A627" s="424" t="s">
        <v>558</v>
      </c>
      <c r="B627" s="209" t="s">
        <v>8</v>
      </c>
      <c r="C627" s="4" t="s">
        <v>32</v>
      </c>
      <c r="D627" s="303" t="s">
        <v>560</v>
      </c>
      <c r="E627" s="351"/>
      <c r="F627" s="168">
        <f>F628</f>
        <v>121794.3</v>
      </c>
      <c r="G627" s="327">
        <f t="shared" ref="G627:L627" si="302">G628</f>
        <v>109614.9</v>
      </c>
      <c r="H627" s="168">
        <f>H628</f>
        <v>121794.3</v>
      </c>
      <c r="I627" s="327">
        <f t="shared" si="302"/>
        <v>109614.9</v>
      </c>
      <c r="J627" s="497">
        <f t="shared" si="302"/>
        <v>121794.3</v>
      </c>
      <c r="K627" s="575">
        <f t="shared" si="284"/>
        <v>1</v>
      </c>
      <c r="L627" s="168">
        <f t="shared" si="302"/>
        <v>109614.9</v>
      </c>
      <c r="M627" s="580">
        <f t="shared" si="285"/>
        <v>1</v>
      </c>
      <c r="N627" s="161"/>
    </row>
    <row r="628" spans="1:14" s="188" customFormat="1" x14ac:dyDescent="0.25">
      <c r="A628" s="278" t="s">
        <v>123</v>
      </c>
      <c r="B628" s="209" t="s">
        <v>8</v>
      </c>
      <c r="C628" s="4" t="s">
        <v>32</v>
      </c>
      <c r="D628" s="303" t="s">
        <v>560</v>
      </c>
      <c r="E628" s="352">
        <v>200</v>
      </c>
      <c r="F628" s="168">
        <f>F629</f>
        <v>121794.3</v>
      </c>
      <c r="G628" s="327">
        <f t="shared" ref="G628:L628" si="303">G629</f>
        <v>109614.9</v>
      </c>
      <c r="H628" s="168">
        <f>H629</f>
        <v>121794.3</v>
      </c>
      <c r="I628" s="327">
        <f t="shared" si="303"/>
        <v>109614.9</v>
      </c>
      <c r="J628" s="497">
        <f t="shared" si="303"/>
        <v>121794.3</v>
      </c>
      <c r="K628" s="575">
        <f t="shared" si="284"/>
        <v>1</v>
      </c>
      <c r="L628" s="168">
        <f t="shared" si="303"/>
        <v>109614.9</v>
      </c>
      <c r="M628" s="580">
        <f t="shared" si="285"/>
        <v>1</v>
      </c>
      <c r="N628" s="161"/>
    </row>
    <row r="629" spans="1:14" s="188" customFormat="1" ht="31.5" x14ac:dyDescent="0.25">
      <c r="A629" s="278" t="s">
        <v>54</v>
      </c>
      <c r="B629" s="209" t="s">
        <v>8</v>
      </c>
      <c r="C629" s="4" t="s">
        <v>32</v>
      </c>
      <c r="D629" s="303" t="s">
        <v>560</v>
      </c>
      <c r="E629" s="352">
        <v>240</v>
      </c>
      <c r="F629" s="168">
        <f>'ведом. 2023-2025'!AD979</f>
        <v>121794.3</v>
      </c>
      <c r="G629" s="327">
        <f>258968.3-149353.4</f>
        <v>109614.9</v>
      </c>
      <c r="H629" s="168">
        <f>'ведом. 2023-2025'!AE979</f>
        <v>121794.3</v>
      </c>
      <c r="I629" s="327">
        <f>258968.3-149353.4</f>
        <v>109614.9</v>
      </c>
      <c r="J629" s="497">
        <f>'ведом. 2023-2025'!AF979</f>
        <v>121794.3</v>
      </c>
      <c r="K629" s="575">
        <f t="shared" si="284"/>
        <v>1</v>
      </c>
      <c r="L629" s="168">
        <f>258968.3-149353.4</f>
        <v>109614.9</v>
      </c>
      <c r="M629" s="580">
        <f t="shared" si="285"/>
        <v>1</v>
      </c>
      <c r="N629" s="161"/>
    </row>
    <row r="630" spans="1:14" s="188" customFormat="1" ht="47.25" x14ac:dyDescent="0.25">
      <c r="A630" s="278" t="s">
        <v>559</v>
      </c>
      <c r="B630" s="209" t="s">
        <v>8</v>
      </c>
      <c r="C630" s="4" t="s">
        <v>32</v>
      </c>
      <c r="D630" s="303" t="s">
        <v>561</v>
      </c>
      <c r="E630" s="351"/>
      <c r="F630" s="168">
        <f>F631</f>
        <v>22325.3</v>
      </c>
      <c r="G630" s="327">
        <f t="shared" ref="G630:L630" si="304">G631</f>
        <v>20092.8</v>
      </c>
      <c r="H630" s="168">
        <f>H631</f>
        <v>22325.3</v>
      </c>
      <c r="I630" s="327">
        <f t="shared" si="304"/>
        <v>20092.8</v>
      </c>
      <c r="J630" s="497">
        <f t="shared" si="304"/>
        <v>22325.3</v>
      </c>
      <c r="K630" s="575">
        <f t="shared" si="284"/>
        <v>1</v>
      </c>
      <c r="L630" s="168">
        <f t="shared" si="304"/>
        <v>20092.8</v>
      </c>
      <c r="M630" s="580">
        <f t="shared" si="285"/>
        <v>1</v>
      </c>
      <c r="N630" s="161"/>
    </row>
    <row r="631" spans="1:14" s="188" customFormat="1" x14ac:dyDescent="0.25">
      <c r="A631" s="278" t="s">
        <v>123</v>
      </c>
      <c r="B631" s="209" t="s">
        <v>8</v>
      </c>
      <c r="C631" s="4" t="s">
        <v>32</v>
      </c>
      <c r="D631" s="303" t="s">
        <v>561</v>
      </c>
      <c r="E631" s="352">
        <v>200</v>
      </c>
      <c r="F631" s="168">
        <f>F632</f>
        <v>22325.3</v>
      </c>
      <c r="G631" s="327">
        <f t="shared" ref="G631:L631" si="305">G632</f>
        <v>20092.8</v>
      </c>
      <c r="H631" s="168">
        <f>H632</f>
        <v>22325.3</v>
      </c>
      <c r="I631" s="327">
        <f t="shared" si="305"/>
        <v>20092.8</v>
      </c>
      <c r="J631" s="497">
        <f t="shared" si="305"/>
        <v>22325.3</v>
      </c>
      <c r="K631" s="575">
        <f t="shared" si="284"/>
        <v>1</v>
      </c>
      <c r="L631" s="168">
        <f t="shared" si="305"/>
        <v>20092.8</v>
      </c>
      <c r="M631" s="580">
        <f t="shared" si="285"/>
        <v>1</v>
      </c>
      <c r="N631" s="161"/>
    </row>
    <row r="632" spans="1:14" s="188" customFormat="1" ht="31.5" x14ac:dyDescent="0.25">
      <c r="A632" s="278" t="s">
        <v>54</v>
      </c>
      <c r="B632" s="209" t="s">
        <v>8</v>
      </c>
      <c r="C632" s="4" t="s">
        <v>32</v>
      </c>
      <c r="D632" s="303" t="s">
        <v>561</v>
      </c>
      <c r="E632" s="352">
        <v>240</v>
      </c>
      <c r="F632" s="168">
        <f>'ведом. 2023-2025'!AD982</f>
        <v>22325.3</v>
      </c>
      <c r="G632" s="327">
        <f>23400-3307.2</f>
        <v>20092.8</v>
      </c>
      <c r="H632" s="168">
        <f>'ведом. 2023-2025'!AE982</f>
        <v>22325.3</v>
      </c>
      <c r="I632" s="327">
        <f>23400-3307.2</f>
        <v>20092.8</v>
      </c>
      <c r="J632" s="497">
        <f>'ведом. 2023-2025'!AF982</f>
        <v>22325.3</v>
      </c>
      <c r="K632" s="575">
        <f t="shared" si="284"/>
        <v>1</v>
      </c>
      <c r="L632" s="168">
        <f>23400-3307.2</f>
        <v>20092.8</v>
      </c>
      <c r="M632" s="580">
        <f t="shared" si="285"/>
        <v>1</v>
      </c>
      <c r="N632" s="161"/>
    </row>
    <row r="633" spans="1:14" s="188" customFormat="1" ht="31.5" x14ac:dyDescent="0.25">
      <c r="A633" s="278" t="s">
        <v>744</v>
      </c>
      <c r="B633" s="1" t="s">
        <v>8</v>
      </c>
      <c r="C633" s="4" t="s">
        <v>32</v>
      </c>
      <c r="D633" s="461" t="s">
        <v>745</v>
      </c>
      <c r="E633" s="309"/>
      <c r="F633" s="168">
        <f>F634</f>
        <v>15656.8</v>
      </c>
      <c r="G633" s="168">
        <f t="shared" ref="G633:L633" si="306">G634</f>
        <v>13500</v>
      </c>
      <c r="H633" s="168">
        <f>H634</f>
        <v>15656.8</v>
      </c>
      <c r="I633" s="168">
        <f t="shared" si="306"/>
        <v>13500</v>
      </c>
      <c r="J633" s="497">
        <f t="shared" si="306"/>
        <v>15471.1</v>
      </c>
      <c r="K633" s="575">
        <f t="shared" si="284"/>
        <v>0.98813933881763838</v>
      </c>
      <c r="L633" s="168">
        <f t="shared" si="306"/>
        <v>13339.9</v>
      </c>
      <c r="M633" s="580">
        <f t="shared" si="285"/>
        <v>0.98814074074074076</v>
      </c>
      <c r="N633" s="161"/>
    </row>
    <row r="634" spans="1:14" s="188" customFormat="1" x14ac:dyDescent="0.25">
      <c r="A634" s="278" t="s">
        <v>123</v>
      </c>
      <c r="B634" s="1" t="s">
        <v>8</v>
      </c>
      <c r="C634" s="4" t="s">
        <v>32</v>
      </c>
      <c r="D634" s="461" t="s">
        <v>745</v>
      </c>
      <c r="E634" s="309">
        <v>200</v>
      </c>
      <c r="F634" s="168">
        <f>F635</f>
        <v>15656.8</v>
      </c>
      <c r="G634" s="168">
        <f t="shared" ref="G634:L634" si="307">G635</f>
        <v>13500</v>
      </c>
      <c r="H634" s="168">
        <f>H635</f>
        <v>15656.8</v>
      </c>
      <c r="I634" s="168">
        <f t="shared" si="307"/>
        <v>13500</v>
      </c>
      <c r="J634" s="497">
        <f t="shared" si="307"/>
        <v>15471.1</v>
      </c>
      <c r="K634" s="575">
        <f t="shared" si="284"/>
        <v>0.98813933881763838</v>
      </c>
      <c r="L634" s="168">
        <f t="shared" si="307"/>
        <v>13339.9</v>
      </c>
      <c r="M634" s="580">
        <f t="shared" si="285"/>
        <v>0.98814074074074076</v>
      </c>
      <c r="N634" s="161"/>
    </row>
    <row r="635" spans="1:14" s="188" customFormat="1" ht="31.5" x14ac:dyDescent="0.25">
      <c r="A635" s="278" t="s">
        <v>54</v>
      </c>
      <c r="B635" s="1" t="s">
        <v>8</v>
      </c>
      <c r="C635" s="4" t="s">
        <v>32</v>
      </c>
      <c r="D635" s="461" t="s">
        <v>745</v>
      </c>
      <c r="E635" s="309">
        <v>240</v>
      </c>
      <c r="F635" s="168">
        <f>'ведом. 2023-2025'!AD985</f>
        <v>15656.8</v>
      </c>
      <c r="G635" s="327">
        <f>13500</f>
        <v>13500</v>
      </c>
      <c r="H635" s="168">
        <f>'ведом. 2023-2025'!AE985</f>
        <v>15656.8</v>
      </c>
      <c r="I635" s="327">
        <f>13500</f>
        <v>13500</v>
      </c>
      <c r="J635" s="497">
        <f>'ведом. 2023-2025'!AF984</f>
        <v>15471.1</v>
      </c>
      <c r="K635" s="575">
        <f t="shared" si="284"/>
        <v>0.98813933881763838</v>
      </c>
      <c r="L635" s="168">
        <v>13339.9</v>
      </c>
      <c r="M635" s="580">
        <f t="shared" si="285"/>
        <v>0.98814074074074076</v>
      </c>
      <c r="N635" s="161"/>
    </row>
    <row r="636" spans="1:14" s="188" customFormat="1" ht="31.5" x14ac:dyDescent="0.25">
      <c r="A636" s="278" t="s">
        <v>709</v>
      </c>
      <c r="B636" s="1" t="s">
        <v>8</v>
      </c>
      <c r="C636" s="4" t="s">
        <v>32</v>
      </c>
      <c r="D636" s="461" t="s">
        <v>710</v>
      </c>
      <c r="E636" s="309"/>
      <c r="F636" s="168">
        <f>F637</f>
        <v>319946.99999999994</v>
      </c>
      <c r="G636" s="168">
        <f t="shared" ref="G636:L636" si="308">G637</f>
        <v>266683.40000000002</v>
      </c>
      <c r="H636" s="168">
        <f>H637</f>
        <v>313115.2</v>
      </c>
      <c r="I636" s="168">
        <f>I637</f>
        <v>259851.5</v>
      </c>
      <c r="J636" s="497">
        <f t="shared" si="308"/>
        <v>311750.7</v>
      </c>
      <c r="K636" s="575">
        <f t="shared" si="284"/>
        <v>0.99564217898077134</v>
      </c>
      <c r="L636" s="168">
        <f t="shared" si="308"/>
        <v>259851.5</v>
      </c>
      <c r="M636" s="580">
        <f t="shared" si="285"/>
        <v>1</v>
      </c>
      <c r="N636" s="161"/>
    </row>
    <row r="637" spans="1:14" s="188" customFormat="1" x14ac:dyDescent="0.25">
      <c r="A637" s="278" t="s">
        <v>123</v>
      </c>
      <c r="B637" s="1" t="s">
        <v>8</v>
      </c>
      <c r="C637" s="4" t="s">
        <v>32</v>
      </c>
      <c r="D637" s="461" t="s">
        <v>710</v>
      </c>
      <c r="E637" s="309">
        <v>200</v>
      </c>
      <c r="F637" s="168">
        <f>F638</f>
        <v>319946.99999999994</v>
      </c>
      <c r="G637" s="168">
        <f t="shared" ref="G637:L637" si="309">G638</f>
        <v>266683.40000000002</v>
      </c>
      <c r="H637" s="168">
        <f>H638</f>
        <v>313115.2</v>
      </c>
      <c r="I637" s="168">
        <f>I638</f>
        <v>259851.5</v>
      </c>
      <c r="J637" s="497">
        <f t="shared" si="309"/>
        <v>311750.7</v>
      </c>
      <c r="K637" s="575">
        <f t="shared" si="284"/>
        <v>0.99564217898077134</v>
      </c>
      <c r="L637" s="168">
        <f t="shared" si="309"/>
        <v>259851.5</v>
      </c>
      <c r="M637" s="580">
        <f t="shared" si="285"/>
        <v>1</v>
      </c>
      <c r="N637" s="161"/>
    </row>
    <row r="638" spans="1:14" s="188" customFormat="1" ht="31.5" x14ac:dyDescent="0.25">
      <c r="A638" s="278" t="s">
        <v>54</v>
      </c>
      <c r="B638" s="1" t="s">
        <v>8</v>
      </c>
      <c r="C638" s="4" t="s">
        <v>32</v>
      </c>
      <c r="D638" s="461" t="s">
        <v>710</v>
      </c>
      <c r="E638" s="309">
        <v>240</v>
      </c>
      <c r="F638" s="168">
        <f>'ведом. 2023-2025'!AD988</f>
        <v>319946.99999999994</v>
      </c>
      <c r="G638" s="327">
        <f>149353.4+117330</f>
        <v>266683.40000000002</v>
      </c>
      <c r="H638" s="168">
        <f>'ведом. 2023-2025'!AE988</f>
        <v>313115.2</v>
      </c>
      <c r="I638" s="168">
        <v>259851.5</v>
      </c>
      <c r="J638" s="497">
        <f>'ведом. 2023-2025'!AF988</f>
        <v>311750.7</v>
      </c>
      <c r="K638" s="575">
        <f t="shared" si="284"/>
        <v>0.99564217898077134</v>
      </c>
      <c r="L638" s="168">
        <v>259851.5</v>
      </c>
      <c r="M638" s="580">
        <f t="shared" si="285"/>
        <v>1</v>
      </c>
      <c r="N638" s="161"/>
    </row>
    <row r="639" spans="1:14" s="188" customFormat="1" ht="31.5" x14ac:dyDescent="0.25">
      <c r="A639" s="278" t="s">
        <v>711</v>
      </c>
      <c r="B639" s="1" t="s">
        <v>8</v>
      </c>
      <c r="C639" s="4" t="s">
        <v>32</v>
      </c>
      <c r="D639" s="461" t="s">
        <v>712</v>
      </c>
      <c r="E639" s="309"/>
      <c r="F639" s="168">
        <f>F640</f>
        <v>8905.7999999999993</v>
      </c>
      <c r="G639" s="168">
        <f t="shared" ref="G639:L639" si="310">G640</f>
        <v>3307.2</v>
      </c>
      <c r="H639" s="168">
        <f>H640</f>
        <v>8905.7999999999993</v>
      </c>
      <c r="I639" s="168">
        <f t="shared" si="310"/>
        <v>3307.2</v>
      </c>
      <c r="J639" s="497">
        <f t="shared" si="310"/>
        <v>8905.7999999999993</v>
      </c>
      <c r="K639" s="575">
        <f t="shared" si="284"/>
        <v>1</v>
      </c>
      <c r="L639" s="168">
        <f t="shared" si="310"/>
        <v>3307.2</v>
      </c>
      <c r="M639" s="580">
        <f t="shared" si="285"/>
        <v>1</v>
      </c>
      <c r="N639" s="161"/>
    </row>
    <row r="640" spans="1:14" s="188" customFormat="1" x14ac:dyDescent="0.25">
      <c r="A640" s="278" t="s">
        <v>123</v>
      </c>
      <c r="B640" s="1" t="s">
        <v>8</v>
      </c>
      <c r="C640" s="4" t="s">
        <v>32</v>
      </c>
      <c r="D640" s="461" t="s">
        <v>712</v>
      </c>
      <c r="E640" s="309">
        <v>200</v>
      </c>
      <c r="F640" s="168">
        <f>F641</f>
        <v>8905.7999999999993</v>
      </c>
      <c r="G640" s="168">
        <f t="shared" ref="G640:L640" si="311">G641</f>
        <v>3307.2</v>
      </c>
      <c r="H640" s="168">
        <f>H641</f>
        <v>8905.7999999999993</v>
      </c>
      <c r="I640" s="168">
        <f t="shared" si="311"/>
        <v>3307.2</v>
      </c>
      <c r="J640" s="497">
        <f t="shared" si="311"/>
        <v>8905.7999999999993</v>
      </c>
      <c r="K640" s="575">
        <f t="shared" si="284"/>
        <v>1</v>
      </c>
      <c r="L640" s="168">
        <f t="shared" si="311"/>
        <v>3307.2</v>
      </c>
      <c r="M640" s="580">
        <f t="shared" si="285"/>
        <v>1</v>
      </c>
      <c r="N640" s="161"/>
    </row>
    <row r="641" spans="1:14" s="188" customFormat="1" ht="31.5" x14ac:dyDescent="0.25">
      <c r="A641" s="278" t="s">
        <v>54</v>
      </c>
      <c r="B641" s="1" t="s">
        <v>8</v>
      </c>
      <c r="C641" s="4" t="s">
        <v>32</v>
      </c>
      <c r="D641" s="461" t="s">
        <v>712</v>
      </c>
      <c r="E641" s="309">
        <v>240</v>
      </c>
      <c r="F641" s="168">
        <f>'ведом. 2023-2025'!AD991</f>
        <v>8905.7999999999993</v>
      </c>
      <c r="G641" s="327">
        <f>3307.2</f>
        <v>3307.2</v>
      </c>
      <c r="H641" s="168">
        <f>'ведом. 2023-2025'!AE991</f>
        <v>8905.7999999999993</v>
      </c>
      <c r="I641" s="327">
        <f>3307.2</f>
        <v>3307.2</v>
      </c>
      <c r="J641" s="497">
        <f>'ведом. 2023-2025'!AF991</f>
        <v>8905.7999999999993</v>
      </c>
      <c r="K641" s="575">
        <f t="shared" si="284"/>
        <v>1</v>
      </c>
      <c r="L641" s="168">
        <f>3307.2</f>
        <v>3307.2</v>
      </c>
      <c r="M641" s="580">
        <f t="shared" si="285"/>
        <v>1</v>
      </c>
      <c r="N641" s="161"/>
    </row>
    <row r="642" spans="1:14" s="188" customFormat="1" ht="31.5" x14ac:dyDescent="0.25">
      <c r="A642" s="278" t="s">
        <v>557</v>
      </c>
      <c r="B642" s="209" t="s">
        <v>8</v>
      </c>
      <c r="C642" s="4" t="s">
        <v>32</v>
      </c>
      <c r="D642" s="303" t="s">
        <v>541</v>
      </c>
      <c r="E642" s="351"/>
      <c r="F642" s="168">
        <f t="shared" ref="F642:H643" si="312">F643</f>
        <v>35108.700000000004</v>
      </c>
      <c r="G642" s="327">
        <f>G643</f>
        <v>31597.8</v>
      </c>
      <c r="H642" s="168">
        <f t="shared" si="312"/>
        <v>35108.700000000004</v>
      </c>
      <c r="I642" s="327">
        <f>I643</f>
        <v>31597.8</v>
      </c>
      <c r="J642" s="497">
        <f t="shared" ref="J642" si="313">J643</f>
        <v>35108.699999999997</v>
      </c>
      <c r="K642" s="575">
        <f t="shared" si="284"/>
        <v>0.99999999999999978</v>
      </c>
      <c r="L642" s="168">
        <f>L643</f>
        <v>31597.899999999998</v>
      </c>
      <c r="M642" s="580">
        <f t="shared" si="285"/>
        <v>1.0000031647772947</v>
      </c>
      <c r="N642" s="161"/>
    </row>
    <row r="643" spans="1:14" s="188" customFormat="1" x14ac:dyDescent="0.25">
      <c r="A643" s="278" t="s">
        <v>123</v>
      </c>
      <c r="B643" s="209" t="s">
        <v>8</v>
      </c>
      <c r="C643" s="4" t="s">
        <v>32</v>
      </c>
      <c r="D643" s="303" t="s">
        <v>541</v>
      </c>
      <c r="E643" s="352">
        <v>200</v>
      </c>
      <c r="F643" s="168">
        <f t="shared" si="312"/>
        <v>35108.700000000004</v>
      </c>
      <c r="G643" s="327">
        <f>G644</f>
        <v>31597.8</v>
      </c>
      <c r="H643" s="168">
        <f t="shared" si="312"/>
        <v>35108.700000000004</v>
      </c>
      <c r="I643" s="327">
        <f>I644</f>
        <v>31597.8</v>
      </c>
      <c r="J643" s="497">
        <f t="shared" ref="J643" si="314">J644</f>
        <v>35108.699999999997</v>
      </c>
      <c r="K643" s="575">
        <f t="shared" si="284"/>
        <v>0.99999999999999978</v>
      </c>
      <c r="L643" s="168">
        <f>L644</f>
        <v>31597.899999999998</v>
      </c>
      <c r="M643" s="580">
        <f t="shared" si="285"/>
        <v>1.0000031647772947</v>
      </c>
      <c r="N643" s="161"/>
    </row>
    <row r="644" spans="1:14" s="188" customFormat="1" ht="31.5" x14ac:dyDescent="0.25">
      <c r="A644" s="278" t="s">
        <v>54</v>
      </c>
      <c r="B644" s="209" t="s">
        <v>8</v>
      </c>
      <c r="C644" s="4" t="s">
        <v>32</v>
      </c>
      <c r="D644" s="303" t="s">
        <v>541</v>
      </c>
      <c r="E644" s="352">
        <v>240</v>
      </c>
      <c r="F644" s="168">
        <f>'ведом. 2023-2025'!AD994</f>
        <v>35108.700000000004</v>
      </c>
      <c r="G644" s="327">
        <f>22540.5+9057.3</f>
        <v>31597.8</v>
      </c>
      <c r="H644" s="168">
        <f>'ведом. 2023-2025'!AE994</f>
        <v>35108.700000000004</v>
      </c>
      <c r="I644" s="327">
        <f>22540.5+9057.3</f>
        <v>31597.8</v>
      </c>
      <c r="J644" s="497">
        <f>'ведом. 2023-2025'!AF994</f>
        <v>35108.699999999997</v>
      </c>
      <c r="K644" s="575">
        <f t="shared" si="284"/>
        <v>0.99999999999999978</v>
      </c>
      <c r="L644" s="168">
        <f>22540.5+9057.3+0.1</f>
        <v>31597.899999999998</v>
      </c>
      <c r="M644" s="580">
        <f t="shared" si="285"/>
        <v>1.0000031647772947</v>
      </c>
      <c r="N644" s="161"/>
    </row>
    <row r="645" spans="1:14" s="188" customFormat="1" x14ac:dyDescent="0.25">
      <c r="A645" s="278" t="s">
        <v>773</v>
      </c>
      <c r="B645" s="1" t="s">
        <v>8</v>
      </c>
      <c r="C645" s="4" t="s">
        <v>32</v>
      </c>
      <c r="D645" s="429" t="s">
        <v>774</v>
      </c>
      <c r="E645" s="317"/>
      <c r="F645" s="168">
        <f>F646</f>
        <v>566.5</v>
      </c>
      <c r="G645" s="168">
        <f t="shared" ref="G645:L645" si="315">G646</f>
        <v>566.5</v>
      </c>
      <c r="H645" s="168">
        <f>H646</f>
        <v>566.5</v>
      </c>
      <c r="I645" s="168">
        <f>I646</f>
        <v>566.5</v>
      </c>
      <c r="J645" s="497">
        <f t="shared" si="315"/>
        <v>566.5</v>
      </c>
      <c r="K645" s="575">
        <f t="shared" si="284"/>
        <v>1</v>
      </c>
      <c r="L645" s="168">
        <f t="shared" si="315"/>
        <v>566.5</v>
      </c>
      <c r="M645" s="580">
        <f t="shared" si="285"/>
        <v>1</v>
      </c>
      <c r="N645" s="161"/>
    </row>
    <row r="646" spans="1:14" s="188" customFormat="1" ht="157.5" x14ac:dyDescent="0.25">
      <c r="A646" s="278" t="s">
        <v>775</v>
      </c>
      <c r="B646" s="1" t="s">
        <v>8</v>
      </c>
      <c r="C646" s="4" t="s">
        <v>32</v>
      </c>
      <c r="D646" s="429" t="s">
        <v>776</v>
      </c>
      <c r="E646" s="317"/>
      <c r="F646" s="168">
        <f>F647</f>
        <v>566.5</v>
      </c>
      <c r="G646" s="168">
        <f t="shared" ref="G646:L646" si="316">G647</f>
        <v>566.5</v>
      </c>
      <c r="H646" s="168">
        <f>H647</f>
        <v>566.5</v>
      </c>
      <c r="I646" s="168">
        <f t="shared" si="316"/>
        <v>566.5</v>
      </c>
      <c r="J646" s="497">
        <f t="shared" si="316"/>
        <v>566.5</v>
      </c>
      <c r="K646" s="575">
        <f t="shared" si="284"/>
        <v>1</v>
      </c>
      <c r="L646" s="168">
        <f t="shared" si="316"/>
        <v>566.5</v>
      </c>
      <c r="M646" s="580">
        <f t="shared" si="285"/>
        <v>1</v>
      </c>
      <c r="N646" s="161"/>
    </row>
    <row r="647" spans="1:14" s="188" customFormat="1" ht="31.5" x14ac:dyDescent="0.25">
      <c r="A647" s="278" t="s">
        <v>62</v>
      </c>
      <c r="B647" s="1" t="s">
        <v>8</v>
      </c>
      <c r="C647" s="4" t="s">
        <v>32</v>
      </c>
      <c r="D647" s="429" t="s">
        <v>776</v>
      </c>
      <c r="E647" s="311">
        <v>600</v>
      </c>
      <c r="F647" s="168">
        <f>F648</f>
        <v>566.5</v>
      </c>
      <c r="G647" s="168">
        <f t="shared" ref="G647:J647" si="317">G648</f>
        <v>566.5</v>
      </c>
      <c r="H647" s="168">
        <f>H648</f>
        <v>566.5</v>
      </c>
      <c r="I647" s="168">
        <f t="shared" si="317"/>
        <v>566.5</v>
      </c>
      <c r="J647" s="497">
        <f t="shared" si="317"/>
        <v>566.5</v>
      </c>
      <c r="K647" s="575">
        <f t="shared" si="284"/>
        <v>1</v>
      </c>
      <c r="L647" s="168">
        <f>L648</f>
        <v>566.5</v>
      </c>
      <c r="M647" s="580">
        <f t="shared" si="285"/>
        <v>1</v>
      </c>
      <c r="N647" s="161"/>
    </row>
    <row r="648" spans="1:14" s="188" customFormat="1" x14ac:dyDescent="0.25">
      <c r="A648" s="278" t="s">
        <v>63</v>
      </c>
      <c r="B648" s="1" t="s">
        <v>8</v>
      </c>
      <c r="C648" s="4" t="s">
        <v>32</v>
      </c>
      <c r="D648" s="429" t="s">
        <v>776</v>
      </c>
      <c r="E648" s="311">
        <v>610</v>
      </c>
      <c r="F648" s="168">
        <f>'ведом. 2023-2025'!AD725</f>
        <v>566.5</v>
      </c>
      <c r="G648" s="327">
        <f>F648</f>
        <v>566.5</v>
      </c>
      <c r="H648" s="168">
        <f>'ведом. 2023-2025'!AE725</f>
        <v>566.5</v>
      </c>
      <c r="I648" s="327">
        <f>H648</f>
        <v>566.5</v>
      </c>
      <c r="J648" s="497">
        <f>'ведом. 2023-2025'!AF725</f>
        <v>566.5</v>
      </c>
      <c r="K648" s="575">
        <f t="shared" si="284"/>
        <v>1</v>
      </c>
      <c r="L648" s="168">
        <v>566.5</v>
      </c>
      <c r="M648" s="580">
        <f t="shared" si="285"/>
        <v>1</v>
      </c>
      <c r="N648" s="161"/>
    </row>
    <row r="649" spans="1:14" s="188" customFormat="1" x14ac:dyDescent="0.25">
      <c r="A649" s="280" t="s">
        <v>161</v>
      </c>
      <c r="B649" s="209" t="s">
        <v>8</v>
      </c>
      <c r="C649" s="4" t="s">
        <v>32</v>
      </c>
      <c r="D649" s="163" t="s">
        <v>118</v>
      </c>
      <c r="E649" s="356"/>
      <c r="F649" s="168">
        <f>F650</f>
        <v>2290.4</v>
      </c>
      <c r="G649" s="327">
        <f t="shared" ref="G649:L649" si="318">G650</f>
        <v>1905.7</v>
      </c>
      <c r="H649" s="168">
        <f>H650</f>
        <v>2290.5</v>
      </c>
      <c r="I649" s="327">
        <f t="shared" si="318"/>
        <v>1905.7</v>
      </c>
      <c r="J649" s="497">
        <f t="shared" si="318"/>
        <v>2290.4</v>
      </c>
      <c r="K649" s="575">
        <f t="shared" si="284"/>
        <v>0.99995634141017253</v>
      </c>
      <c r="L649" s="168">
        <f t="shared" si="318"/>
        <v>1905.7</v>
      </c>
      <c r="M649" s="580">
        <f t="shared" si="285"/>
        <v>1</v>
      </c>
      <c r="N649" s="161"/>
    </row>
    <row r="650" spans="1:14" s="188" customFormat="1" x14ac:dyDescent="0.25">
      <c r="A650" s="280" t="s">
        <v>162</v>
      </c>
      <c r="B650" s="209" t="s">
        <v>8</v>
      </c>
      <c r="C650" s="4" t="s">
        <v>32</v>
      </c>
      <c r="D650" s="163" t="s">
        <v>122</v>
      </c>
      <c r="E650" s="356"/>
      <c r="F650" s="168">
        <f>F651</f>
        <v>2290.4</v>
      </c>
      <c r="G650" s="327">
        <f t="shared" ref="G650:L650" si="319">G651</f>
        <v>1905.7</v>
      </c>
      <c r="H650" s="168">
        <f>H651</f>
        <v>2290.5</v>
      </c>
      <c r="I650" s="327">
        <f t="shared" si="319"/>
        <v>1905.7</v>
      </c>
      <c r="J650" s="497">
        <f t="shared" si="319"/>
        <v>2290.4</v>
      </c>
      <c r="K650" s="575">
        <f t="shared" si="284"/>
        <v>0.99995634141017253</v>
      </c>
      <c r="L650" s="168">
        <f t="shared" si="319"/>
        <v>1905.7</v>
      </c>
      <c r="M650" s="580">
        <f t="shared" si="285"/>
        <v>1</v>
      </c>
      <c r="N650" s="161"/>
    </row>
    <row r="651" spans="1:14" s="188" customFormat="1" ht="34.9" customHeight="1" x14ac:dyDescent="0.25">
      <c r="A651" s="278" t="s">
        <v>723</v>
      </c>
      <c r="B651" s="209" t="s">
        <v>8</v>
      </c>
      <c r="C651" s="4" t="s">
        <v>32</v>
      </c>
      <c r="D651" s="163" t="s">
        <v>721</v>
      </c>
      <c r="E651" s="356"/>
      <c r="F651" s="168">
        <f>F652</f>
        <v>2290.4</v>
      </c>
      <c r="G651" s="327">
        <f t="shared" ref="G651:L651" si="320">G652</f>
        <v>1905.7</v>
      </c>
      <c r="H651" s="168">
        <f>H652</f>
        <v>2290.5</v>
      </c>
      <c r="I651" s="327">
        <f t="shared" si="320"/>
        <v>1905.7</v>
      </c>
      <c r="J651" s="497">
        <f t="shared" si="320"/>
        <v>2290.4</v>
      </c>
      <c r="K651" s="575">
        <f t="shared" si="284"/>
        <v>0.99995634141017253</v>
      </c>
      <c r="L651" s="168">
        <f t="shared" si="320"/>
        <v>1905.7</v>
      </c>
      <c r="M651" s="580">
        <f t="shared" si="285"/>
        <v>1</v>
      </c>
      <c r="N651" s="161"/>
    </row>
    <row r="652" spans="1:14" s="188" customFormat="1" ht="31.5" x14ac:dyDescent="0.25">
      <c r="A652" s="278" t="s">
        <v>556</v>
      </c>
      <c r="B652" s="209" t="s">
        <v>8</v>
      </c>
      <c r="C652" s="4" t="s">
        <v>32</v>
      </c>
      <c r="D652" s="163" t="s">
        <v>722</v>
      </c>
      <c r="E652" s="356"/>
      <c r="F652" s="168">
        <f>F653</f>
        <v>2290.4</v>
      </c>
      <c r="G652" s="327">
        <f t="shared" ref="G652:L652" si="321">G653</f>
        <v>1905.7</v>
      </c>
      <c r="H652" s="168">
        <f>H653</f>
        <v>2290.5</v>
      </c>
      <c r="I652" s="327">
        <f t="shared" si="321"/>
        <v>1905.7</v>
      </c>
      <c r="J652" s="497">
        <f t="shared" si="321"/>
        <v>2290.4</v>
      </c>
      <c r="K652" s="575">
        <f t="shared" si="284"/>
        <v>0.99995634141017253</v>
      </c>
      <c r="L652" s="168">
        <f t="shared" si="321"/>
        <v>1905.7</v>
      </c>
      <c r="M652" s="580">
        <f t="shared" si="285"/>
        <v>1</v>
      </c>
      <c r="N652" s="161"/>
    </row>
    <row r="653" spans="1:14" s="188" customFormat="1" ht="31.5" x14ac:dyDescent="0.25">
      <c r="A653" s="278" t="s">
        <v>62</v>
      </c>
      <c r="B653" s="209" t="s">
        <v>8</v>
      </c>
      <c r="C653" s="4" t="s">
        <v>32</v>
      </c>
      <c r="D653" s="163" t="s">
        <v>722</v>
      </c>
      <c r="E653" s="358">
        <v>600</v>
      </c>
      <c r="F653" s="168">
        <f>F654</f>
        <v>2290.4</v>
      </c>
      <c r="G653" s="327">
        <f t="shared" ref="G653:L653" si="322">G654</f>
        <v>1905.7</v>
      </c>
      <c r="H653" s="168">
        <f>H654</f>
        <v>2290.5</v>
      </c>
      <c r="I653" s="327">
        <f t="shared" si="322"/>
        <v>1905.7</v>
      </c>
      <c r="J653" s="497">
        <f t="shared" si="322"/>
        <v>2290.4</v>
      </c>
      <c r="K653" s="575">
        <f t="shared" si="284"/>
        <v>0.99995634141017253</v>
      </c>
      <c r="L653" s="168">
        <f t="shared" si="322"/>
        <v>1905.7</v>
      </c>
      <c r="M653" s="580">
        <f t="shared" si="285"/>
        <v>1</v>
      </c>
      <c r="N653" s="161"/>
    </row>
    <row r="654" spans="1:14" s="188" customFormat="1" x14ac:dyDescent="0.25">
      <c r="A654" s="278" t="s">
        <v>63</v>
      </c>
      <c r="B654" s="209" t="s">
        <v>8</v>
      </c>
      <c r="C654" s="4" t="s">
        <v>32</v>
      </c>
      <c r="D654" s="163" t="s">
        <v>722</v>
      </c>
      <c r="E654" s="358">
        <v>610</v>
      </c>
      <c r="F654" s="168">
        <f>'ведом. 2023-2025'!AD731</f>
        <v>2290.4</v>
      </c>
      <c r="G654" s="327">
        <f>2000-94.3</f>
        <v>1905.7</v>
      </c>
      <c r="H654" s="168">
        <f>'ведом. 2023-2025'!AE731</f>
        <v>2290.5</v>
      </c>
      <c r="I654" s="327">
        <f>2000-94.3</f>
        <v>1905.7</v>
      </c>
      <c r="J654" s="497">
        <f>'ведом. 2023-2025'!AF731</f>
        <v>2290.4</v>
      </c>
      <c r="K654" s="575">
        <f t="shared" si="284"/>
        <v>0.99995634141017253</v>
      </c>
      <c r="L654" s="168">
        <f>2000-94.3</f>
        <v>1905.7</v>
      </c>
      <c r="M654" s="580">
        <f t="shared" si="285"/>
        <v>1</v>
      </c>
      <c r="N654" s="161"/>
    </row>
    <row r="655" spans="1:14" s="188" customFormat="1" ht="31.5" x14ac:dyDescent="0.25">
      <c r="A655" s="299" t="s">
        <v>168</v>
      </c>
      <c r="B655" s="1" t="s">
        <v>8</v>
      </c>
      <c r="C655" s="4" t="s">
        <v>32</v>
      </c>
      <c r="D655" s="326" t="s">
        <v>105</v>
      </c>
      <c r="E655" s="315"/>
      <c r="F655" s="168">
        <f>F656</f>
        <v>0</v>
      </c>
      <c r="G655" s="168"/>
      <c r="H655" s="168">
        <f t="shared" ref="H655:J659" si="323">H656</f>
        <v>10414</v>
      </c>
      <c r="I655" s="168"/>
      <c r="J655" s="497">
        <f t="shared" si="323"/>
        <v>0</v>
      </c>
      <c r="K655" s="575">
        <f t="shared" si="284"/>
        <v>0</v>
      </c>
      <c r="L655" s="168"/>
      <c r="M655" s="580"/>
      <c r="N655" s="161"/>
    </row>
    <row r="656" spans="1:14" s="188" customFormat="1" ht="31.5" x14ac:dyDescent="0.25">
      <c r="A656" s="278" t="s">
        <v>385</v>
      </c>
      <c r="B656" s="1" t="s">
        <v>8</v>
      </c>
      <c r="C656" s="4" t="s">
        <v>32</v>
      </c>
      <c r="D656" s="326" t="s">
        <v>107</v>
      </c>
      <c r="E656" s="315"/>
      <c r="F656" s="168">
        <f>F657</f>
        <v>0</v>
      </c>
      <c r="G656" s="168"/>
      <c r="H656" s="168">
        <f t="shared" si="323"/>
        <v>10414</v>
      </c>
      <c r="I656" s="168"/>
      <c r="J656" s="497">
        <f t="shared" si="323"/>
        <v>0</v>
      </c>
      <c r="K656" s="575">
        <f t="shared" ref="K656:K719" si="324">J656/H656</f>
        <v>0</v>
      </c>
      <c r="L656" s="168"/>
      <c r="M656" s="580"/>
      <c r="N656" s="161"/>
    </row>
    <row r="657" spans="1:14" s="188" customFormat="1" ht="31.5" x14ac:dyDescent="0.25">
      <c r="A657" s="301" t="s">
        <v>656</v>
      </c>
      <c r="B657" s="1" t="s">
        <v>8</v>
      </c>
      <c r="C657" s="4" t="s">
        <v>32</v>
      </c>
      <c r="D657" s="163" t="s">
        <v>127</v>
      </c>
      <c r="E657" s="315"/>
      <c r="F657" s="168">
        <f>F658</f>
        <v>0</v>
      </c>
      <c r="G657" s="168"/>
      <c r="H657" s="168">
        <f t="shared" si="323"/>
        <v>10414</v>
      </c>
      <c r="I657" s="168"/>
      <c r="J657" s="497">
        <f t="shared" si="323"/>
        <v>0</v>
      </c>
      <c r="K657" s="575">
        <f t="shared" si="324"/>
        <v>0</v>
      </c>
      <c r="L657" s="168"/>
      <c r="M657" s="580"/>
      <c r="N657" s="161"/>
    </row>
    <row r="658" spans="1:14" s="188" customFormat="1" x14ac:dyDescent="0.25">
      <c r="A658" s="278" t="s">
        <v>178</v>
      </c>
      <c r="B658" s="1" t="s">
        <v>8</v>
      </c>
      <c r="C658" s="4" t="s">
        <v>32</v>
      </c>
      <c r="D658" s="326" t="s">
        <v>179</v>
      </c>
      <c r="E658" s="315"/>
      <c r="F658" s="168">
        <f>F659</f>
        <v>0</v>
      </c>
      <c r="G658" s="168"/>
      <c r="H658" s="168">
        <f t="shared" si="323"/>
        <v>10414</v>
      </c>
      <c r="I658" s="168"/>
      <c r="J658" s="497">
        <f t="shared" si="323"/>
        <v>0</v>
      </c>
      <c r="K658" s="575">
        <f t="shared" si="324"/>
        <v>0</v>
      </c>
      <c r="L658" s="168"/>
      <c r="M658" s="580"/>
      <c r="N658" s="161"/>
    </row>
    <row r="659" spans="1:14" s="188" customFormat="1" ht="31.5" x14ac:dyDescent="0.25">
      <c r="A659" s="278" t="s">
        <v>62</v>
      </c>
      <c r="B659" s="1" t="s">
        <v>8</v>
      </c>
      <c r="C659" s="4" t="s">
        <v>32</v>
      </c>
      <c r="D659" s="326" t="s">
        <v>179</v>
      </c>
      <c r="E659" s="315">
        <v>600</v>
      </c>
      <c r="F659" s="168">
        <f>F660</f>
        <v>0</v>
      </c>
      <c r="G659" s="168"/>
      <c r="H659" s="168">
        <f t="shared" si="323"/>
        <v>10414</v>
      </c>
      <c r="I659" s="168"/>
      <c r="J659" s="497">
        <f t="shared" si="323"/>
        <v>0</v>
      </c>
      <c r="K659" s="575">
        <f t="shared" si="324"/>
        <v>0</v>
      </c>
      <c r="L659" s="168"/>
      <c r="M659" s="580"/>
      <c r="N659" s="161"/>
    </row>
    <row r="660" spans="1:14" s="188" customFormat="1" x14ac:dyDescent="0.25">
      <c r="A660" s="278" t="s">
        <v>63</v>
      </c>
      <c r="B660" s="1" t="s">
        <v>8</v>
      </c>
      <c r="C660" s="4" t="s">
        <v>32</v>
      </c>
      <c r="D660" s="326" t="s">
        <v>179</v>
      </c>
      <c r="E660" s="315">
        <v>610</v>
      </c>
      <c r="F660" s="168">
        <f>'ведом. 2023-2025'!AD737</f>
        <v>0</v>
      </c>
      <c r="G660" s="327"/>
      <c r="H660" s="168">
        <f>'ведом. 2023-2025'!AE737</f>
        <v>10414</v>
      </c>
      <c r="I660" s="168"/>
      <c r="J660" s="497">
        <f>'ведом. 2023-2025'!AF737</f>
        <v>0</v>
      </c>
      <c r="K660" s="575">
        <f t="shared" si="324"/>
        <v>0</v>
      </c>
      <c r="L660" s="168"/>
      <c r="M660" s="580"/>
      <c r="N660" s="161"/>
    </row>
    <row r="661" spans="1:14" s="188" customFormat="1" x14ac:dyDescent="0.25">
      <c r="A661" s="297" t="s">
        <v>354</v>
      </c>
      <c r="B661" s="1" t="s">
        <v>8</v>
      </c>
      <c r="C661" s="4" t="s">
        <v>32</v>
      </c>
      <c r="D661" s="308" t="s">
        <v>140</v>
      </c>
      <c r="E661" s="311"/>
      <c r="F661" s="168">
        <f>F662</f>
        <v>980</v>
      </c>
      <c r="G661" s="168"/>
      <c r="H661" s="168">
        <f>H662</f>
        <v>980</v>
      </c>
      <c r="I661" s="168"/>
      <c r="J661" s="497">
        <f t="shared" ref="J661:J664" si="325">J662</f>
        <v>980</v>
      </c>
      <c r="K661" s="575">
        <f t="shared" si="324"/>
        <v>1</v>
      </c>
      <c r="L661" s="168"/>
      <c r="M661" s="580"/>
      <c r="N661" s="161"/>
    </row>
    <row r="662" spans="1:14" s="188" customFormat="1" x14ac:dyDescent="0.25">
      <c r="A662" s="278" t="s">
        <v>470</v>
      </c>
      <c r="B662" s="1" t="s">
        <v>8</v>
      </c>
      <c r="C662" s="4" t="s">
        <v>32</v>
      </c>
      <c r="D662" s="326" t="s">
        <v>471</v>
      </c>
      <c r="E662" s="311"/>
      <c r="F662" s="168">
        <f>F663</f>
        <v>980</v>
      </c>
      <c r="G662" s="168"/>
      <c r="H662" s="168">
        <f>H663</f>
        <v>980</v>
      </c>
      <c r="I662" s="168"/>
      <c r="J662" s="497">
        <f t="shared" si="325"/>
        <v>980</v>
      </c>
      <c r="K662" s="575">
        <f t="shared" si="324"/>
        <v>1</v>
      </c>
      <c r="L662" s="168"/>
      <c r="M662" s="580"/>
      <c r="N662" s="161"/>
    </row>
    <row r="663" spans="1:14" s="188" customFormat="1" ht="141.75" x14ac:dyDescent="0.25">
      <c r="A663" s="278" t="s">
        <v>777</v>
      </c>
      <c r="B663" s="1" t="s">
        <v>8</v>
      </c>
      <c r="C663" s="4" t="s">
        <v>32</v>
      </c>
      <c r="D663" s="326" t="s">
        <v>778</v>
      </c>
      <c r="E663" s="311"/>
      <c r="F663" s="168">
        <f>F664</f>
        <v>980</v>
      </c>
      <c r="G663" s="168"/>
      <c r="H663" s="168">
        <f>H664</f>
        <v>980</v>
      </c>
      <c r="I663" s="168"/>
      <c r="J663" s="497">
        <f t="shared" si="325"/>
        <v>980</v>
      </c>
      <c r="K663" s="575">
        <f t="shared" si="324"/>
        <v>1</v>
      </c>
      <c r="L663" s="168"/>
      <c r="M663" s="580"/>
      <c r="N663" s="161"/>
    </row>
    <row r="664" spans="1:14" s="188" customFormat="1" x14ac:dyDescent="0.25">
      <c r="A664" s="278" t="s">
        <v>44</v>
      </c>
      <c r="B664" s="1" t="s">
        <v>8</v>
      </c>
      <c r="C664" s="4" t="s">
        <v>32</v>
      </c>
      <c r="D664" s="326" t="s">
        <v>778</v>
      </c>
      <c r="E664" s="311">
        <v>800</v>
      </c>
      <c r="F664" s="168">
        <f>F665</f>
        <v>980</v>
      </c>
      <c r="G664" s="168"/>
      <c r="H664" s="168">
        <f>H665</f>
        <v>980</v>
      </c>
      <c r="I664" s="168"/>
      <c r="J664" s="497">
        <f t="shared" si="325"/>
        <v>980</v>
      </c>
      <c r="K664" s="575">
        <f t="shared" si="324"/>
        <v>1</v>
      </c>
      <c r="L664" s="168"/>
      <c r="M664" s="580"/>
      <c r="N664" s="161"/>
    </row>
    <row r="665" spans="1:14" s="188" customFormat="1" x14ac:dyDescent="0.25">
      <c r="A665" s="278" t="s">
        <v>60</v>
      </c>
      <c r="B665" s="1" t="s">
        <v>8</v>
      </c>
      <c r="C665" s="4" t="s">
        <v>32</v>
      </c>
      <c r="D665" s="326" t="s">
        <v>778</v>
      </c>
      <c r="E665" s="311">
        <v>850</v>
      </c>
      <c r="F665" s="168">
        <f>'ведом. 2023-2025'!AD742</f>
        <v>980</v>
      </c>
      <c r="G665" s="327"/>
      <c r="H665" s="168">
        <f>'ведом. 2023-2025'!AE742</f>
        <v>980</v>
      </c>
      <c r="I665" s="168"/>
      <c r="J665" s="497">
        <f>'ведом. 2023-2025'!AF742</f>
        <v>980</v>
      </c>
      <c r="K665" s="575">
        <f t="shared" si="324"/>
        <v>1</v>
      </c>
      <c r="L665" s="168"/>
      <c r="M665" s="580"/>
      <c r="N665" s="161"/>
    </row>
    <row r="666" spans="1:14" s="145" customFormat="1" x14ac:dyDescent="0.25">
      <c r="A666" s="401" t="s">
        <v>137</v>
      </c>
      <c r="B666" s="214" t="s">
        <v>8</v>
      </c>
      <c r="C666" s="4" t="s">
        <v>7</v>
      </c>
      <c r="D666" s="33"/>
      <c r="E666" s="352"/>
      <c r="F666" s="168">
        <f>F673+F667</f>
        <v>125692.4</v>
      </c>
      <c r="G666" s="327">
        <f>G673+G667</f>
        <v>4664</v>
      </c>
      <c r="H666" s="168">
        <f>H673+H667</f>
        <v>125666.4</v>
      </c>
      <c r="I666" s="168">
        <f>I673+I667</f>
        <v>4638</v>
      </c>
      <c r="J666" s="497">
        <f>J673+J667</f>
        <v>122946.19999999998</v>
      </c>
      <c r="K666" s="575">
        <f t="shared" si="324"/>
        <v>0.97835380022026563</v>
      </c>
      <c r="L666" s="168">
        <f>L673+L667</f>
        <v>4201.3999999999996</v>
      </c>
      <c r="M666" s="580">
        <f t="shared" ref="M666:M717" si="326">L666/I666</f>
        <v>0.90586459680896936</v>
      </c>
      <c r="N666" s="161"/>
    </row>
    <row r="667" spans="1:14" s="188" customFormat="1" x14ac:dyDescent="0.25">
      <c r="A667" s="280" t="s">
        <v>661</v>
      </c>
      <c r="B667" s="214" t="s">
        <v>8</v>
      </c>
      <c r="C667" s="4" t="s">
        <v>7</v>
      </c>
      <c r="D667" s="163" t="s">
        <v>117</v>
      </c>
      <c r="E667" s="356"/>
      <c r="F667" s="168">
        <f>F668</f>
        <v>55464.6</v>
      </c>
      <c r="G667" s="327"/>
      <c r="H667" s="168">
        <f>H668</f>
        <v>55464.6</v>
      </c>
      <c r="I667" s="168"/>
      <c r="J667" s="497">
        <f t="shared" ref="J667:J668" si="327">J668</f>
        <v>55464.6</v>
      </c>
      <c r="K667" s="575">
        <f t="shared" si="324"/>
        <v>1</v>
      </c>
      <c r="L667" s="168"/>
      <c r="M667" s="580"/>
      <c r="N667" s="161"/>
    </row>
    <row r="668" spans="1:14" s="188" customFormat="1" x14ac:dyDescent="0.25">
      <c r="A668" s="278" t="s">
        <v>569</v>
      </c>
      <c r="B668" s="214" t="s">
        <v>8</v>
      </c>
      <c r="C668" s="4" t="s">
        <v>7</v>
      </c>
      <c r="D668" s="163" t="s">
        <v>414</v>
      </c>
      <c r="E668" s="351"/>
      <c r="F668" s="168">
        <f>F669</f>
        <v>55464.6</v>
      </c>
      <c r="G668" s="168"/>
      <c r="H668" s="168">
        <f t="shared" ref="H668" si="328">H669</f>
        <v>55464.6</v>
      </c>
      <c r="I668" s="168"/>
      <c r="J668" s="497">
        <f t="shared" si="327"/>
        <v>55464.6</v>
      </c>
      <c r="K668" s="575">
        <f t="shared" si="324"/>
        <v>1</v>
      </c>
      <c r="L668" s="168"/>
      <c r="M668" s="580"/>
      <c r="N668" s="161"/>
    </row>
    <row r="669" spans="1:14" s="188" customFormat="1" ht="31.5" x14ac:dyDescent="0.25">
      <c r="A669" s="278" t="s">
        <v>412</v>
      </c>
      <c r="B669" s="209" t="s">
        <v>8</v>
      </c>
      <c r="C669" s="4" t="s">
        <v>7</v>
      </c>
      <c r="D669" s="163" t="s">
        <v>415</v>
      </c>
      <c r="E669" s="351"/>
      <c r="F669" s="168">
        <f>F670</f>
        <v>55464.6</v>
      </c>
      <c r="G669" s="327"/>
      <c r="H669" s="168">
        <f>H670</f>
        <v>55464.6</v>
      </c>
      <c r="I669" s="168"/>
      <c r="J669" s="497">
        <f>J670</f>
        <v>55464.6</v>
      </c>
      <c r="K669" s="575">
        <f t="shared" si="324"/>
        <v>1</v>
      </c>
      <c r="L669" s="168"/>
      <c r="M669" s="580"/>
      <c r="N669" s="161"/>
    </row>
    <row r="670" spans="1:14" s="188" customFormat="1" ht="31.5" x14ac:dyDescent="0.25">
      <c r="A670" s="401" t="s">
        <v>413</v>
      </c>
      <c r="B670" s="209" t="s">
        <v>8</v>
      </c>
      <c r="C670" s="4" t="s">
        <v>7</v>
      </c>
      <c r="D670" s="163" t="s">
        <v>416</v>
      </c>
      <c r="E670" s="351"/>
      <c r="F670" s="168">
        <f>F671</f>
        <v>55464.6</v>
      </c>
      <c r="G670" s="327"/>
      <c r="H670" s="168">
        <f>H671</f>
        <v>55464.6</v>
      </c>
      <c r="I670" s="168"/>
      <c r="J670" s="497">
        <f>J671</f>
        <v>55464.6</v>
      </c>
      <c r="K670" s="575">
        <f t="shared" si="324"/>
        <v>1</v>
      </c>
      <c r="L670" s="168"/>
      <c r="M670" s="580"/>
      <c r="N670" s="161"/>
    </row>
    <row r="671" spans="1:14" s="188" customFormat="1" ht="31.5" x14ac:dyDescent="0.25">
      <c r="A671" s="278" t="s">
        <v>62</v>
      </c>
      <c r="B671" s="209" t="s">
        <v>8</v>
      </c>
      <c r="C671" s="4" t="s">
        <v>7</v>
      </c>
      <c r="D671" s="163" t="s">
        <v>416</v>
      </c>
      <c r="E671" s="351">
        <v>600</v>
      </c>
      <c r="F671" s="168">
        <f>F672</f>
        <v>55464.6</v>
      </c>
      <c r="G671" s="327"/>
      <c r="H671" s="168">
        <f>H672</f>
        <v>55464.6</v>
      </c>
      <c r="I671" s="168"/>
      <c r="J671" s="497">
        <f>J672</f>
        <v>55464.6</v>
      </c>
      <c r="K671" s="575">
        <f t="shared" si="324"/>
        <v>1</v>
      </c>
      <c r="L671" s="168"/>
      <c r="M671" s="580"/>
      <c r="N671" s="161"/>
    </row>
    <row r="672" spans="1:14" s="188" customFormat="1" x14ac:dyDescent="0.25">
      <c r="A672" s="278" t="s">
        <v>63</v>
      </c>
      <c r="B672" s="209" t="s">
        <v>8</v>
      </c>
      <c r="C672" s="4" t="s">
        <v>7</v>
      </c>
      <c r="D672" s="163" t="s">
        <v>416</v>
      </c>
      <c r="E672" s="351">
        <v>610</v>
      </c>
      <c r="F672" s="168">
        <f>'ведом. 2023-2025'!AD358</f>
        <v>55464.6</v>
      </c>
      <c r="G672" s="327"/>
      <c r="H672" s="168">
        <f>'ведом. 2023-2025'!AE358</f>
        <v>55464.6</v>
      </c>
      <c r="I672" s="168"/>
      <c r="J672" s="497">
        <f>'ведом. 2023-2025'!AF358</f>
        <v>55464.6</v>
      </c>
      <c r="K672" s="575">
        <f t="shared" si="324"/>
        <v>1</v>
      </c>
      <c r="L672" s="168"/>
      <c r="M672" s="580"/>
      <c r="N672" s="161"/>
    </row>
    <row r="673" spans="1:14" s="145" customFormat="1" x14ac:dyDescent="0.25">
      <c r="A673" s="418" t="s">
        <v>278</v>
      </c>
      <c r="B673" s="214" t="s">
        <v>8</v>
      </c>
      <c r="C673" s="4" t="s">
        <v>7</v>
      </c>
      <c r="D673" s="33" t="s">
        <v>103</v>
      </c>
      <c r="E673" s="352"/>
      <c r="F673" s="168">
        <f>F679+F674</f>
        <v>70227.8</v>
      </c>
      <c r="G673" s="327">
        <f t="shared" ref="G673:J673" si="329">G679+G674</f>
        <v>4664</v>
      </c>
      <c r="H673" s="168">
        <f>H679+H674</f>
        <v>70201.8</v>
      </c>
      <c r="I673" s="168">
        <f>I679+I674</f>
        <v>4638</v>
      </c>
      <c r="J673" s="497">
        <f t="shared" si="329"/>
        <v>67481.599999999991</v>
      </c>
      <c r="K673" s="575">
        <f t="shared" si="324"/>
        <v>0.96125170579671726</v>
      </c>
      <c r="L673" s="168">
        <f>L679+L674</f>
        <v>4201.3999999999996</v>
      </c>
      <c r="M673" s="580">
        <f t="shared" si="326"/>
        <v>0.90586459680896936</v>
      </c>
      <c r="N673" s="161"/>
    </row>
    <row r="674" spans="1:14" s="188" customFormat="1" x14ac:dyDescent="0.25">
      <c r="A674" s="280" t="s">
        <v>282</v>
      </c>
      <c r="B674" s="209" t="s">
        <v>8</v>
      </c>
      <c r="C674" s="4" t="s">
        <v>7</v>
      </c>
      <c r="D674" s="163" t="s">
        <v>120</v>
      </c>
      <c r="E674" s="352"/>
      <c r="F674" s="168">
        <f>F675</f>
        <v>4664</v>
      </c>
      <c r="G674" s="327">
        <f t="shared" ref="G674:J674" si="330">G675</f>
        <v>4664</v>
      </c>
      <c r="H674" s="168">
        <f t="shared" ref="H674:I677" si="331">H675</f>
        <v>4638</v>
      </c>
      <c r="I674" s="168">
        <f t="shared" si="331"/>
        <v>4638</v>
      </c>
      <c r="J674" s="497">
        <f t="shared" si="330"/>
        <v>4201.3999999999996</v>
      </c>
      <c r="K674" s="575">
        <f t="shared" si="324"/>
        <v>0.90586459680896936</v>
      </c>
      <c r="L674" s="168">
        <f>L675</f>
        <v>4201.3999999999996</v>
      </c>
      <c r="M674" s="580">
        <f t="shared" si="326"/>
        <v>0.90586459680896936</v>
      </c>
      <c r="N674" s="161"/>
    </row>
    <row r="675" spans="1:14" s="188" customFormat="1" ht="31.5" x14ac:dyDescent="0.25">
      <c r="A675" s="295" t="s">
        <v>283</v>
      </c>
      <c r="B675" s="209" t="s">
        <v>8</v>
      </c>
      <c r="C675" s="4" t="s">
        <v>7</v>
      </c>
      <c r="D675" s="163" t="s">
        <v>505</v>
      </c>
      <c r="E675" s="352"/>
      <c r="F675" s="168">
        <f>F676</f>
        <v>4664</v>
      </c>
      <c r="G675" s="327">
        <f t="shared" ref="G675:J675" si="332">G676</f>
        <v>4664</v>
      </c>
      <c r="H675" s="168">
        <f t="shared" si="331"/>
        <v>4638</v>
      </c>
      <c r="I675" s="168">
        <f t="shared" si="331"/>
        <v>4638</v>
      </c>
      <c r="J675" s="497">
        <f t="shared" si="332"/>
        <v>4201.3999999999996</v>
      </c>
      <c r="K675" s="575">
        <f t="shared" si="324"/>
        <v>0.90586459680896936</v>
      </c>
      <c r="L675" s="168">
        <f>L676</f>
        <v>4201.3999999999996</v>
      </c>
      <c r="M675" s="580">
        <f t="shared" si="326"/>
        <v>0.90586459680896936</v>
      </c>
      <c r="N675" s="161"/>
    </row>
    <row r="676" spans="1:14" s="188" customFormat="1" ht="141.75" x14ac:dyDescent="0.25">
      <c r="A676" s="281" t="s">
        <v>443</v>
      </c>
      <c r="B676" s="210" t="s">
        <v>8</v>
      </c>
      <c r="C676" s="204" t="s">
        <v>7</v>
      </c>
      <c r="D676" s="163" t="s">
        <v>534</v>
      </c>
      <c r="E676" s="352"/>
      <c r="F676" s="168">
        <f>F677</f>
        <v>4664</v>
      </c>
      <c r="G676" s="327">
        <f t="shared" ref="G676:J676" si="333">G677</f>
        <v>4664</v>
      </c>
      <c r="H676" s="168">
        <f t="shared" si="331"/>
        <v>4638</v>
      </c>
      <c r="I676" s="168">
        <f t="shared" si="331"/>
        <v>4638</v>
      </c>
      <c r="J676" s="497">
        <f t="shared" si="333"/>
        <v>4201.3999999999996</v>
      </c>
      <c r="K676" s="575">
        <f t="shared" si="324"/>
        <v>0.90586459680896936</v>
      </c>
      <c r="L676" s="168">
        <f>L677</f>
        <v>4201.3999999999996</v>
      </c>
      <c r="M676" s="580">
        <f t="shared" si="326"/>
        <v>0.90586459680896936</v>
      </c>
      <c r="N676" s="161"/>
    </row>
    <row r="677" spans="1:14" s="188" customFormat="1" ht="31.5" x14ac:dyDescent="0.25">
      <c r="A677" s="278" t="s">
        <v>62</v>
      </c>
      <c r="B677" s="209" t="s">
        <v>8</v>
      </c>
      <c r="C677" s="4" t="s">
        <v>7</v>
      </c>
      <c r="D677" s="163" t="s">
        <v>534</v>
      </c>
      <c r="E677" s="352">
        <v>600</v>
      </c>
      <c r="F677" s="168">
        <f>F678</f>
        <v>4664</v>
      </c>
      <c r="G677" s="327">
        <f t="shared" ref="G677:J677" si="334">G678</f>
        <v>4664</v>
      </c>
      <c r="H677" s="168">
        <f t="shared" si="331"/>
        <v>4638</v>
      </c>
      <c r="I677" s="168">
        <f t="shared" si="331"/>
        <v>4638</v>
      </c>
      <c r="J677" s="497">
        <f t="shared" si="334"/>
        <v>4201.3999999999996</v>
      </c>
      <c r="K677" s="575">
        <f t="shared" si="324"/>
        <v>0.90586459680896936</v>
      </c>
      <c r="L677" s="168">
        <f>L678</f>
        <v>4201.3999999999996</v>
      </c>
      <c r="M677" s="580">
        <f t="shared" si="326"/>
        <v>0.90586459680896936</v>
      </c>
      <c r="N677" s="161"/>
    </row>
    <row r="678" spans="1:14" s="188" customFormat="1" x14ac:dyDescent="0.25">
      <c r="A678" s="278" t="s">
        <v>63</v>
      </c>
      <c r="B678" s="209" t="s">
        <v>8</v>
      </c>
      <c r="C678" s="4" t="s">
        <v>7</v>
      </c>
      <c r="D678" s="163" t="s">
        <v>534</v>
      </c>
      <c r="E678" s="352">
        <v>610</v>
      </c>
      <c r="F678" s="168">
        <f>'ведом. 2023-2025'!AD749</f>
        <v>4664</v>
      </c>
      <c r="G678" s="327">
        <f>F678</f>
        <v>4664</v>
      </c>
      <c r="H678" s="168">
        <f>'ведом. 2023-2025'!AE749</f>
        <v>4638</v>
      </c>
      <c r="I678" s="168">
        <v>4638</v>
      </c>
      <c r="J678" s="497">
        <f>'ведом. 2023-2025'!AF749</f>
        <v>4201.3999999999996</v>
      </c>
      <c r="K678" s="575">
        <f t="shared" si="324"/>
        <v>0.90586459680896936</v>
      </c>
      <c r="L678" s="168">
        <f>J678</f>
        <v>4201.3999999999996</v>
      </c>
      <c r="M678" s="580">
        <f t="shared" si="326"/>
        <v>0.90586459680896936</v>
      </c>
      <c r="N678" s="161"/>
    </row>
    <row r="679" spans="1:14" s="145" customFormat="1" ht="31.5" x14ac:dyDescent="0.25">
      <c r="A679" s="280" t="s">
        <v>542</v>
      </c>
      <c r="B679" s="214" t="s">
        <v>8</v>
      </c>
      <c r="C679" s="4" t="s">
        <v>7</v>
      </c>
      <c r="D679" s="163" t="s">
        <v>104</v>
      </c>
      <c r="E679" s="366"/>
      <c r="F679" s="168">
        <f>F680+F685</f>
        <v>65563.8</v>
      </c>
      <c r="G679" s="327"/>
      <c r="H679" s="168">
        <f>H680+H685</f>
        <v>65563.8</v>
      </c>
      <c r="I679" s="168"/>
      <c r="J679" s="497">
        <f>J680+J685</f>
        <v>63280.2</v>
      </c>
      <c r="K679" s="575">
        <f t="shared" si="324"/>
        <v>0.96516980406870856</v>
      </c>
      <c r="L679" s="168"/>
      <c r="M679" s="580"/>
      <c r="N679" s="161"/>
    </row>
    <row r="680" spans="1:14" s="145" customFormat="1" ht="31.5" x14ac:dyDescent="0.25">
      <c r="A680" s="280" t="s">
        <v>543</v>
      </c>
      <c r="B680" s="214" t="s">
        <v>8</v>
      </c>
      <c r="C680" s="4" t="s">
        <v>7</v>
      </c>
      <c r="D680" s="163" t="s">
        <v>544</v>
      </c>
      <c r="E680" s="366"/>
      <c r="F680" s="168">
        <f>F681</f>
        <v>49602.7</v>
      </c>
      <c r="G680" s="327"/>
      <c r="H680" s="168">
        <f>H681</f>
        <v>49602.7</v>
      </c>
      <c r="I680" s="168"/>
      <c r="J680" s="497">
        <f t="shared" ref="J680:J681" si="335">J681</f>
        <v>49602.7</v>
      </c>
      <c r="K680" s="575">
        <f t="shared" si="324"/>
        <v>1</v>
      </c>
      <c r="L680" s="168"/>
      <c r="M680" s="580"/>
      <c r="N680" s="161"/>
    </row>
    <row r="681" spans="1:14" s="145" customFormat="1" ht="31.5" x14ac:dyDescent="0.25">
      <c r="A681" s="280" t="s">
        <v>286</v>
      </c>
      <c r="B681" s="214" t="s">
        <v>8</v>
      </c>
      <c r="C681" s="4" t="s">
        <v>7</v>
      </c>
      <c r="D681" s="163" t="s">
        <v>545</v>
      </c>
      <c r="E681" s="368"/>
      <c r="F681" s="168">
        <f>F682</f>
        <v>49602.7</v>
      </c>
      <c r="G681" s="168"/>
      <c r="H681" s="168">
        <f t="shared" ref="H681" si="336">H682</f>
        <v>49602.7</v>
      </c>
      <c r="I681" s="168"/>
      <c r="J681" s="497">
        <f t="shared" si="335"/>
        <v>49602.7</v>
      </c>
      <c r="K681" s="575">
        <f t="shared" si="324"/>
        <v>1</v>
      </c>
      <c r="L681" s="168"/>
      <c r="M681" s="580"/>
      <c r="N681" s="161"/>
    </row>
    <row r="682" spans="1:14" s="188" customFormat="1" ht="31.5" x14ac:dyDescent="0.25">
      <c r="A682" s="401" t="s">
        <v>353</v>
      </c>
      <c r="B682" s="214" t="s">
        <v>8</v>
      </c>
      <c r="C682" s="4" t="s">
        <v>7</v>
      </c>
      <c r="D682" s="163" t="s">
        <v>546</v>
      </c>
      <c r="E682" s="369"/>
      <c r="F682" s="168">
        <f>F684</f>
        <v>49602.7</v>
      </c>
      <c r="G682" s="327"/>
      <c r="H682" s="168">
        <f>H684</f>
        <v>49602.7</v>
      </c>
      <c r="I682" s="168"/>
      <c r="J682" s="497">
        <f>J684</f>
        <v>49602.7</v>
      </c>
      <c r="K682" s="575">
        <f t="shared" si="324"/>
        <v>1</v>
      </c>
      <c r="L682" s="168"/>
      <c r="M682" s="580"/>
      <c r="N682" s="161"/>
    </row>
    <row r="683" spans="1:14" s="188" customFormat="1" ht="31.5" x14ac:dyDescent="0.25">
      <c r="A683" s="401" t="s">
        <v>62</v>
      </c>
      <c r="B683" s="214" t="s">
        <v>8</v>
      </c>
      <c r="C683" s="4" t="s">
        <v>7</v>
      </c>
      <c r="D683" s="163" t="s">
        <v>546</v>
      </c>
      <c r="E683" s="352">
        <v>600</v>
      </c>
      <c r="F683" s="168">
        <f>F684</f>
        <v>49602.7</v>
      </c>
      <c r="G683" s="327"/>
      <c r="H683" s="168">
        <f>H684</f>
        <v>49602.7</v>
      </c>
      <c r="I683" s="168"/>
      <c r="J683" s="497">
        <f>J684</f>
        <v>49602.7</v>
      </c>
      <c r="K683" s="575">
        <f t="shared" si="324"/>
        <v>1</v>
      </c>
      <c r="L683" s="168"/>
      <c r="M683" s="580"/>
      <c r="N683" s="161"/>
    </row>
    <row r="684" spans="1:14" s="188" customFormat="1" x14ac:dyDescent="0.25">
      <c r="A684" s="401" t="s">
        <v>63</v>
      </c>
      <c r="B684" s="214" t="s">
        <v>8</v>
      </c>
      <c r="C684" s="4" t="s">
        <v>7</v>
      </c>
      <c r="D684" s="163" t="s">
        <v>546</v>
      </c>
      <c r="E684" s="352">
        <v>610</v>
      </c>
      <c r="F684" s="168">
        <f>'ведом. 2023-2025'!AD755</f>
        <v>49602.7</v>
      </c>
      <c r="G684" s="327"/>
      <c r="H684" s="168">
        <f>'ведом. 2023-2025'!AE755</f>
        <v>49602.7</v>
      </c>
      <c r="I684" s="168"/>
      <c r="J684" s="497">
        <f>'ведом. 2023-2025'!AF755</f>
        <v>49602.7</v>
      </c>
      <c r="K684" s="575">
        <f t="shared" si="324"/>
        <v>1</v>
      </c>
      <c r="L684" s="168"/>
      <c r="M684" s="580"/>
      <c r="N684" s="161"/>
    </row>
    <row r="685" spans="1:14" s="145" customFormat="1" ht="31.5" x14ac:dyDescent="0.25">
      <c r="A685" s="280" t="s">
        <v>547</v>
      </c>
      <c r="B685" s="214" t="s">
        <v>8</v>
      </c>
      <c r="C685" s="4" t="s">
        <v>7</v>
      </c>
      <c r="D685" s="163" t="s">
        <v>548</v>
      </c>
      <c r="E685" s="352"/>
      <c r="F685" s="168">
        <f>F686</f>
        <v>15961.100000000002</v>
      </c>
      <c r="G685" s="327"/>
      <c r="H685" s="168">
        <f>H686</f>
        <v>15961.100000000002</v>
      </c>
      <c r="I685" s="168"/>
      <c r="J685" s="497">
        <f>J686</f>
        <v>13677.5</v>
      </c>
      <c r="K685" s="575">
        <f t="shared" si="324"/>
        <v>0.85692715414351128</v>
      </c>
      <c r="L685" s="168"/>
      <c r="M685" s="580"/>
      <c r="N685" s="161"/>
    </row>
    <row r="686" spans="1:14" s="145" customFormat="1" ht="31.5" x14ac:dyDescent="0.25">
      <c r="A686" s="281" t="s">
        <v>160</v>
      </c>
      <c r="B686" s="214" t="s">
        <v>8</v>
      </c>
      <c r="C686" s="4" t="s">
        <v>7</v>
      </c>
      <c r="D686" s="163" t="s">
        <v>549</v>
      </c>
      <c r="E686" s="352"/>
      <c r="F686" s="168">
        <f>F687+F691</f>
        <v>15961.100000000002</v>
      </c>
      <c r="G686" s="327"/>
      <c r="H686" s="168">
        <f>H687+H691+G689</f>
        <v>15961.100000000002</v>
      </c>
      <c r="I686" s="168"/>
      <c r="J686" s="497">
        <f>J687+J691</f>
        <v>13677.5</v>
      </c>
      <c r="K686" s="575">
        <f t="shared" si="324"/>
        <v>0.85692715414351128</v>
      </c>
      <c r="L686" s="168"/>
      <c r="M686" s="580"/>
      <c r="N686" s="161"/>
    </row>
    <row r="687" spans="1:14" s="145" customFormat="1" ht="31.5" x14ac:dyDescent="0.25">
      <c r="A687" s="401" t="s">
        <v>62</v>
      </c>
      <c r="B687" s="214" t="s">
        <v>8</v>
      </c>
      <c r="C687" s="4" t="s">
        <v>7</v>
      </c>
      <c r="D687" s="163" t="s">
        <v>549</v>
      </c>
      <c r="E687" s="352">
        <v>600</v>
      </c>
      <c r="F687" s="168">
        <f>F688+F689+F690</f>
        <v>15584.800000000003</v>
      </c>
      <c r="G687" s="327"/>
      <c r="H687" s="168">
        <f>H688+H689+H690</f>
        <v>15584.800000000003</v>
      </c>
      <c r="I687" s="168"/>
      <c r="J687" s="497">
        <f>J688+J689+J690</f>
        <v>13677.5</v>
      </c>
      <c r="K687" s="575">
        <f t="shared" si="324"/>
        <v>0.87761793542425937</v>
      </c>
      <c r="L687" s="168"/>
      <c r="M687" s="580"/>
      <c r="N687" s="161"/>
    </row>
    <row r="688" spans="1:14" s="145" customFormat="1" x14ac:dyDescent="0.25">
      <c r="A688" s="401" t="s">
        <v>63</v>
      </c>
      <c r="B688" s="214" t="s">
        <v>8</v>
      </c>
      <c r="C688" s="4" t="s">
        <v>7</v>
      </c>
      <c r="D688" s="163" t="s">
        <v>549</v>
      </c>
      <c r="E688" s="352">
        <v>610</v>
      </c>
      <c r="F688" s="168">
        <f>'ведом. 2023-2025'!AD759</f>
        <v>14327.400000000001</v>
      </c>
      <c r="G688" s="327"/>
      <c r="H688" s="168">
        <f>'ведом. 2023-2025'!AE759</f>
        <v>14327.400000000001</v>
      </c>
      <c r="I688" s="168"/>
      <c r="J688" s="497">
        <f>'ведом. 2023-2025'!AF759</f>
        <v>13677.5</v>
      </c>
      <c r="K688" s="575">
        <f t="shared" si="324"/>
        <v>0.9546393623406898</v>
      </c>
      <c r="L688" s="168"/>
      <c r="M688" s="580"/>
      <c r="N688" s="161"/>
    </row>
    <row r="689" spans="1:14" s="188" customFormat="1" x14ac:dyDescent="0.25">
      <c r="A689" s="278" t="s">
        <v>132</v>
      </c>
      <c r="B689" s="214" t="s">
        <v>8</v>
      </c>
      <c r="C689" s="4" t="s">
        <v>7</v>
      </c>
      <c r="D689" s="163" t="s">
        <v>549</v>
      </c>
      <c r="E689" s="352">
        <v>620</v>
      </c>
      <c r="F689" s="168">
        <f>'ведом. 2023-2025'!AD760</f>
        <v>628.70000000000005</v>
      </c>
      <c r="G689" s="327"/>
      <c r="H689" s="168">
        <f>'ведом. 2023-2025'!AE760</f>
        <v>628.70000000000005</v>
      </c>
      <c r="I689" s="168"/>
      <c r="J689" s="497">
        <f>'ведом. 2023-2025'!AF760</f>
        <v>0</v>
      </c>
      <c r="K689" s="575">
        <f t="shared" si="324"/>
        <v>0</v>
      </c>
      <c r="L689" s="168"/>
      <c r="M689" s="580"/>
      <c r="N689" s="161"/>
    </row>
    <row r="690" spans="1:14" s="188" customFormat="1" ht="47.25" x14ac:dyDescent="0.25">
      <c r="A690" s="278" t="s">
        <v>394</v>
      </c>
      <c r="B690" s="214" t="s">
        <v>8</v>
      </c>
      <c r="C690" s="4" t="s">
        <v>7</v>
      </c>
      <c r="D690" s="163" t="s">
        <v>549</v>
      </c>
      <c r="E690" s="352">
        <v>630</v>
      </c>
      <c r="F690" s="168">
        <f>'ведом. 2023-2025'!AD761</f>
        <v>628.70000000000005</v>
      </c>
      <c r="G690" s="327"/>
      <c r="H690" s="168">
        <f>'ведом. 2023-2025'!AE761</f>
        <v>628.70000000000005</v>
      </c>
      <c r="I690" s="168"/>
      <c r="J690" s="497">
        <f>'ведом. 2023-2025'!AF761</f>
        <v>0</v>
      </c>
      <c r="K690" s="575">
        <f t="shared" si="324"/>
        <v>0</v>
      </c>
      <c r="L690" s="168"/>
      <c r="M690" s="580"/>
      <c r="N690" s="161"/>
    </row>
    <row r="691" spans="1:14" s="188" customFormat="1" x14ac:dyDescent="0.25">
      <c r="A691" s="278" t="s">
        <v>44</v>
      </c>
      <c r="B691" s="214" t="s">
        <v>8</v>
      </c>
      <c r="C691" s="4" t="s">
        <v>7</v>
      </c>
      <c r="D691" s="163" t="s">
        <v>549</v>
      </c>
      <c r="E691" s="352">
        <v>800</v>
      </c>
      <c r="F691" s="168">
        <f>F692</f>
        <v>376.3</v>
      </c>
      <c r="G691" s="327"/>
      <c r="H691" s="168">
        <f>H692</f>
        <v>376.3</v>
      </c>
      <c r="I691" s="168"/>
      <c r="J691" s="497">
        <f>J692</f>
        <v>0</v>
      </c>
      <c r="K691" s="575">
        <f t="shared" si="324"/>
        <v>0</v>
      </c>
      <c r="L691" s="168"/>
      <c r="M691" s="580"/>
      <c r="N691" s="161"/>
    </row>
    <row r="692" spans="1:14" s="188" customFormat="1" ht="31.5" x14ac:dyDescent="0.25">
      <c r="A692" s="278" t="s">
        <v>124</v>
      </c>
      <c r="B692" s="214" t="s">
        <v>8</v>
      </c>
      <c r="C692" s="4" t="s">
        <v>7</v>
      </c>
      <c r="D692" s="163" t="s">
        <v>549</v>
      </c>
      <c r="E692" s="352">
        <v>810</v>
      </c>
      <c r="F692" s="168">
        <f>'ведом. 2023-2025'!AD763</f>
        <v>376.3</v>
      </c>
      <c r="G692" s="327"/>
      <c r="H692" s="168">
        <f>'ведом. 2023-2025'!AE763</f>
        <v>376.3</v>
      </c>
      <c r="I692" s="168"/>
      <c r="J692" s="497">
        <f>'ведом. 2023-2025'!AF763</f>
        <v>0</v>
      </c>
      <c r="K692" s="575">
        <f t="shared" si="324"/>
        <v>0</v>
      </c>
      <c r="L692" s="168"/>
      <c r="M692" s="580"/>
      <c r="N692" s="161"/>
    </row>
    <row r="693" spans="1:14" s="145" customFormat="1" x14ac:dyDescent="0.25">
      <c r="A693" s="401" t="s">
        <v>138</v>
      </c>
      <c r="B693" s="209" t="s">
        <v>8</v>
      </c>
      <c r="C693" s="4" t="s">
        <v>8</v>
      </c>
      <c r="D693" s="33"/>
      <c r="E693" s="351"/>
      <c r="F693" s="168">
        <f>F694+F700</f>
        <v>1866.8999999999999</v>
      </c>
      <c r="G693" s="327"/>
      <c r="H693" s="168">
        <f>H694+H700</f>
        <v>1866.8999999999999</v>
      </c>
      <c r="I693" s="168"/>
      <c r="J693" s="497">
        <f>J694+J700</f>
        <v>1861.1</v>
      </c>
      <c r="K693" s="575">
        <f t="shared" si="324"/>
        <v>0.99689324548717129</v>
      </c>
      <c r="L693" s="168"/>
      <c r="M693" s="580"/>
      <c r="N693" s="161"/>
    </row>
    <row r="694" spans="1:14" s="145" customFormat="1" ht="31.5" x14ac:dyDescent="0.25">
      <c r="A694" s="280" t="s">
        <v>168</v>
      </c>
      <c r="B694" s="209" t="s">
        <v>8</v>
      </c>
      <c r="C694" s="4" t="s">
        <v>8</v>
      </c>
      <c r="D694" s="33" t="s">
        <v>105</v>
      </c>
      <c r="E694" s="351"/>
      <c r="F694" s="168">
        <f>F695</f>
        <v>298.59999999999997</v>
      </c>
      <c r="G694" s="327"/>
      <c r="H694" s="168">
        <f>H695</f>
        <v>298.59999999999997</v>
      </c>
      <c r="I694" s="168"/>
      <c r="J694" s="497">
        <f>J695</f>
        <v>298.60000000000002</v>
      </c>
      <c r="K694" s="575">
        <f t="shared" si="324"/>
        <v>1.0000000000000002</v>
      </c>
      <c r="L694" s="168"/>
      <c r="M694" s="580"/>
      <c r="N694" s="161"/>
    </row>
    <row r="695" spans="1:14" s="145" customFormat="1" x14ac:dyDescent="0.25">
      <c r="A695" s="284" t="s">
        <v>169</v>
      </c>
      <c r="B695" s="209" t="s">
        <v>8</v>
      </c>
      <c r="C695" s="4" t="s">
        <v>8</v>
      </c>
      <c r="D695" s="33" t="s">
        <v>109</v>
      </c>
      <c r="E695" s="351"/>
      <c r="F695" s="168">
        <f>F696</f>
        <v>298.59999999999997</v>
      </c>
      <c r="G695" s="327"/>
      <c r="H695" s="168">
        <f>H696</f>
        <v>298.59999999999997</v>
      </c>
      <c r="I695" s="168"/>
      <c r="J695" s="497">
        <f t="shared" ref="J695" si="337">J696</f>
        <v>298.60000000000002</v>
      </c>
      <c r="K695" s="575">
        <f t="shared" si="324"/>
        <v>1.0000000000000002</v>
      </c>
      <c r="L695" s="168"/>
      <c r="M695" s="580"/>
      <c r="N695" s="161"/>
    </row>
    <row r="696" spans="1:14" s="145" customFormat="1" ht="31.5" x14ac:dyDescent="0.25">
      <c r="A696" s="301" t="s">
        <v>606</v>
      </c>
      <c r="B696" s="209" t="s">
        <v>8</v>
      </c>
      <c r="C696" s="4" t="s">
        <v>8</v>
      </c>
      <c r="D696" s="163" t="s">
        <v>170</v>
      </c>
      <c r="E696" s="351"/>
      <c r="F696" s="168">
        <f>F697</f>
        <v>298.59999999999997</v>
      </c>
      <c r="G696" s="327"/>
      <c r="H696" s="168">
        <f>H697</f>
        <v>298.59999999999997</v>
      </c>
      <c r="I696" s="168"/>
      <c r="J696" s="497">
        <f>J697</f>
        <v>298.60000000000002</v>
      </c>
      <c r="K696" s="575">
        <f t="shared" si="324"/>
        <v>1.0000000000000002</v>
      </c>
      <c r="L696" s="168"/>
      <c r="M696" s="580"/>
      <c r="N696" s="161"/>
    </row>
    <row r="697" spans="1:14" s="145" customFormat="1" ht="31.5" x14ac:dyDescent="0.25">
      <c r="A697" s="284" t="s">
        <v>730</v>
      </c>
      <c r="B697" s="209" t="s">
        <v>8</v>
      </c>
      <c r="C697" s="4" t="s">
        <v>8</v>
      </c>
      <c r="D697" s="326" t="s">
        <v>731</v>
      </c>
      <c r="E697" s="351"/>
      <c r="F697" s="168">
        <f>F698</f>
        <v>298.59999999999997</v>
      </c>
      <c r="G697" s="327"/>
      <c r="H697" s="168">
        <f>H698</f>
        <v>298.59999999999997</v>
      </c>
      <c r="I697" s="168"/>
      <c r="J697" s="497">
        <f>J698</f>
        <v>298.60000000000002</v>
      </c>
      <c r="K697" s="575">
        <f t="shared" si="324"/>
        <v>1.0000000000000002</v>
      </c>
      <c r="L697" s="168"/>
      <c r="M697" s="580"/>
      <c r="N697" s="161"/>
    </row>
    <row r="698" spans="1:14" s="145" customFormat="1" x14ac:dyDescent="0.25">
      <c r="A698" s="278" t="s">
        <v>123</v>
      </c>
      <c r="B698" s="209" t="s">
        <v>8</v>
      </c>
      <c r="C698" s="4" t="s">
        <v>8</v>
      </c>
      <c r="D698" s="326" t="s">
        <v>731</v>
      </c>
      <c r="E698" s="352">
        <v>200</v>
      </c>
      <c r="F698" s="168">
        <f>F699</f>
        <v>298.59999999999997</v>
      </c>
      <c r="G698" s="327"/>
      <c r="H698" s="168">
        <f>H699</f>
        <v>298.59999999999997</v>
      </c>
      <c r="I698" s="168"/>
      <c r="J698" s="497">
        <f>J699</f>
        <v>298.60000000000002</v>
      </c>
      <c r="K698" s="575">
        <f t="shared" si="324"/>
        <v>1.0000000000000002</v>
      </c>
      <c r="L698" s="168"/>
      <c r="M698" s="580"/>
      <c r="N698" s="161"/>
    </row>
    <row r="699" spans="1:14" s="145" customFormat="1" ht="31.5" x14ac:dyDescent="0.25">
      <c r="A699" s="278" t="s">
        <v>54</v>
      </c>
      <c r="B699" s="209" t="s">
        <v>8</v>
      </c>
      <c r="C699" s="4" t="s">
        <v>8</v>
      </c>
      <c r="D699" s="326" t="s">
        <v>731</v>
      </c>
      <c r="E699" s="352">
        <v>240</v>
      </c>
      <c r="F699" s="168">
        <f>'ведом. 2023-2025'!AD365</f>
        <v>298.59999999999997</v>
      </c>
      <c r="G699" s="327"/>
      <c r="H699" s="168">
        <f>'ведом. 2023-2025'!AE365</f>
        <v>298.59999999999997</v>
      </c>
      <c r="I699" s="168"/>
      <c r="J699" s="497">
        <f>'ведом. 2023-2025'!AF365</f>
        <v>298.60000000000002</v>
      </c>
      <c r="K699" s="575">
        <f t="shared" si="324"/>
        <v>1.0000000000000002</v>
      </c>
      <c r="L699" s="168"/>
      <c r="M699" s="580"/>
      <c r="N699" s="161"/>
    </row>
    <row r="700" spans="1:14" s="145" customFormat="1" ht="31.5" x14ac:dyDescent="0.25">
      <c r="A700" s="280" t="s">
        <v>315</v>
      </c>
      <c r="B700" s="209" t="s">
        <v>8</v>
      </c>
      <c r="C700" s="4" t="s">
        <v>8</v>
      </c>
      <c r="D700" s="163" t="s">
        <v>134</v>
      </c>
      <c r="E700" s="352"/>
      <c r="F700" s="168">
        <f>F701</f>
        <v>1568.3</v>
      </c>
      <c r="G700" s="327"/>
      <c r="H700" s="168">
        <f>H701</f>
        <v>1568.3</v>
      </c>
      <c r="I700" s="168"/>
      <c r="J700" s="497">
        <f>J701</f>
        <v>1562.5</v>
      </c>
      <c r="K700" s="575">
        <f t="shared" si="324"/>
        <v>0.99630172798571703</v>
      </c>
      <c r="L700" s="168"/>
      <c r="M700" s="580"/>
      <c r="N700" s="161"/>
    </row>
    <row r="701" spans="1:14" s="145" customFormat="1" x14ac:dyDescent="0.25">
      <c r="A701" s="280" t="s">
        <v>324</v>
      </c>
      <c r="B701" s="11" t="s">
        <v>8</v>
      </c>
      <c r="C701" s="207" t="s">
        <v>8</v>
      </c>
      <c r="D701" s="163" t="s">
        <v>325</v>
      </c>
      <c r="E701" s="352"/>
      <c r="F701" s="168">
        <f>F702+F708</f>
        <v>1568.3</v>
      </c>
      <c r="G701" s="327"/>
      <c r="H701" s="168">
        <f>H702+H708</f>
        <v>1568.3</v>
      </c>
      <c r="I701" s="168"/>
      <c r="J701" s="497">
        <f>J702+J708</f>
        <v>1562.5</v>
      </c>
      <c r="K701" s="575">
        <f t="shared" si="324"/>
        <v>0.99630172798571703</v>
      </c>
      <c r="L701" s="168"/>
      <c r="M701" s="580"/>
      <c r="N701" s="161"/>
    </row>
    <row r="702" spans="1:14" s="145" customFormat="1" x14ac:dyDescent="0.25">
      <c r="A702" s="296" t="s">
        <v>591</v>
      </c>
      <c r="B702" s="11" t="s">
        <v>8</v>
      </c>
      <c r="C702" s="207" t="s">
        <v>8</v>
      </c>
      <c r="D702" s="163" t="s">
        <v>326</v>
      </c>
      <c r="E702" s="352"/>
      <c r="F702" s="168">
        <f>F703</f>
        <v>634</v>
      </c>
      <c r="G702" s="327"/>
      <c r="H702" s="168">
        <f>H703</f>
        <v>634</v>
      </c>
      <c r="I702" s="168"/>
      <c r="J702" s="497">
        <f>J703</f>
        <v>628.20000000000005</v>
      </c>
      <c r="K702" s="575">
        <f t="shared" si="324"/>
        <v>0.99085173501577295</v>
      </c>
      <c r="L702" s="168"/>
      <c r="M702" s="580"/>
      <c r="N702" s="161"/>
    </row>
    <row r="703" spans="1:14" s="145" customFormat="1" ht="31.5" x14ac:dyDescent="0.25">
      <c r="A703" s="302" t="s">
        <v>327</v>
      </c>
      <c r="B703" s="209" t="s">
        <v>8</v>
      </c>
      <c r="C703" s="4" t="s">
        <v>8</v>
      </c>
      <c r="D703" s="163" t="s">
        <v>328</v>
      </c>
      <c r="E703" s="352"/>
      <c r="F703" s="168">
        <f>F704+F706</f>
        <v>634</v>
      </c>
      <c r="G703" s="327"/>
      <c r="H703" s="168">
        <f>H704+H706</f>
        <v>634</v>
      </c>
      <c r="I703" s="168"/>
      <c r="J703" s="497">
        <f t="shared" ref="J703" si="338">J704+J706</f>
        <v>628.20000000000005</v>
      </c>
      <c r="K703" s="575">
        <f t="shared" si="324"/>
        <v>0.99085173501577295</v>
      </c>
      <c r="L703" s="168"/>
      <c r="M703" s="580"/>
      <c r="N703" s="161"/>
    </row>
    <row r="704" spans="1:14" s="145" customFormat="1" x14ac:dyDescent="0.25">
      <c r="A704" s="278" t="s">
        <v>123</v>
      </c>
      <c r="B704" s="11" t="s">
        <v>8</v>
      </c>
      <c r="C704" s="207" t="s">
        <v>8</v>
      </c>
      <c r="D704" s="163" t="s">
        <v>328</v>
      </c>
      <c r="E704" s="352">
        <v>200</v>
      </c>
      <c r="F704" s="168">
        <f>F705</f>
        <v>280</v>
      </c>
      <c r="G704" s="377"/>
      <c r="H704" s="168">
        <f>H705</f>
        <v>280</v>
      </c>
      <c r="I704" s="168"/>
      <c r="J704" s="497">
        <f>J705</f>
        <v>280</v>
      </c>
      <c r="K704" s="575">
        <f t="shared" si="324"/>
        <v>1</v>
      </c>
      <c r="L704" s="584"/>
      <c r="M704" s="580"/>
      <c r="N704" s="161"/>
    </row>
    <row r="705" spans="1:14" s="145" customFormat="1" ht="31.5" x14ac:dyDescent="0.25">
      <c r="A705" s="278" t="s">
        <v>54</v>
      </c>
      <c r="B705" s="11" t="s">
        <v>8</v>
      </c>
      <c r="C705" s="207" t="s">
        <v>8</v>
      </c>
      <c r="D705" s="163" t="s">
        <v>328</v>
      </c>
      <c r="E705" s="352">
        <v>240</v>
      </c>
      <c r="F705" s="168">
        <f>'ведом. 2023-2025'!AD371</f>
        <v>280</v>
      </c>
      <c r="G705" s="327"/>
      <c r="H705" s="168">
        <f>'ведом. 2023-2025'!AE371</f>
        <v>280</v>
      </c>
      <c r="I705" s="168"/>
      <c r="J705" s="497">
        <f>'ведом. 2023-2025'!AF371</f>
        <v>280</v>
      </c>
      <c r="K705" s="575">
        <f t="shared" si="324"/>
        <v>1</v>
      </c>
      <c r="L705" s="168"/>
      <c r="M705" s="580"/>
      <c r="N705" s="161"/>
    </row>
    <row r="706" spans="1:14" s="188" customFormat="1" ht="31.5" x14ac:dyDescent="0.25">
      <c r="A706" s="401" t="s">
        <v>62</v>
      </c>
      <c r="B706" s="11" t="s">
        <v>8</v>
      </c>
      <c r="C706" s="207" t="s">
        <v>8</v>
      </c>
      <c r="D706" s="163" t="s">
        <v>328</v>
      </c>
      <c r="E706" s="352">
        <v>600</v>
      </c>
      <c r="F706" s="168">
        <f>F707</f>
        <v>354</v>
      </c>
      <c r="G706" s="168"/>
      <c r="H706" s="168">
        <f>H707</f>
        <v>354</v>
      </c>
      <c r="I706" s="168"/>
      <c r="J706" s="497">
        <f t="shared" ref="J706" si="339">J707</f>
        <v>348.2</v>
      </c>
      <c r="K706" s="575">
        <f t="shared" si="324"/>
        <v>0.98361581920903951</v>
      </c>
      <c r="L706" s="168"/>
      <c r="M706" s="580"/>
      <c r="N706" s="161"/>
    </row>
    <row r="707" spans="1:14" s="188" customFormat="1" x14ac:dyDescent="0.25">
      <c r="A707" s="401" t="s">
        <v>63</v>
      </c>
      <c r="B707" s="11" t="s">
        <v>8</v>
      </c>
      <c r="C707" s="207" t="s">
        <v>8</v>
      </c>
      <c r="D707" s="163" t="s">
        <v>328</v>
      </c>
      <c r="E707" s="352">
        <v>610</v>
      </c>
      <c r="F707" s="168">
        <f>'ведом. 2023-2025'!AD373</f>
        <v>354</v>
      </c>
      <c r="G707" s="327"/>
      <c r="H707" s="168">
        <f>'ведом. 2023-2025'!AE373</f>
        <v>354</v>
      </c>
      <c r="I707" s="168"/>
      <c r="J707" s="497">
        <f>'ведом. 2023-2025'!AF373</f>
        <v>348.2</v>
      </c>
      <c r="K707" s="575">
        <f t="shared" si="324"/>
        <v>0.98361581920903951</v>
      </c>
      <c r="L707" s="168"/>
      <c r="M707" s="580"/>
      <c r="N707" s="161"/>
    </row>
    <row r="708" spans="1:14" s="188" customFormat="1" ht="63" x14ac:dyDescent="0.25">
      <c r="A708" s="402" t="s">
        <v>667</v>
      </c>
      <c r="B708" s="11" t="s">
        <v>8</v>
      </c>
      <c r="C708" s="207" t="s">
        <v>8</v>
      </c>
      <c r="D708" s="333" t="s">
        <v>669</v>
      </c>
      <c r="E708" s="352"/>
      <c r="F708" s="168">
        <f>F709</f>
        <v>934.3</v>
      </c>
      <c r="G708" s="168"/>
      <c r="H708" s="168">
        <f t="shared" ref="H708:J708" si="340">H709</f>
        <v>934.3</v>
      </c>
      <c r="I708" s="168"/>
      <c r="J708" s="497">
        <f t="shared" si="340"/>
        <v>934.3</v>
      </c>
      <c r="K708" s="575">
        <f t="shared" si="324"/>
        <v>1</v>
      </c>
      <c r="L708" s="168"/>
      <c r="M708" s="580"/>
      <c r="N708" s="161"/>
    </row>
    <row r="709" spans="1:14" s="188" customFormat="1" ht="31.5" x14ac:dyDescent="0.25">
      <c r="A709" s="401" t="s">
        <v>62</v>
      </c>
      <c r="B709" s="11" t="s">
        <v>8</v>
      </c>
      <c r="C709" s="207" t="s">
        <v>8</v>
      </c>
      <c r="D709" s="333" t="s">
        <v>670</v>
      </c>
      <c r="E709" s="352">
        <v>600</v>
      </c>
      <c r="F709" s="168">
        <f>F710</f>
        <v>934.3</v>
      </c>
      <c r="G709" s="327"/>
      <c r="H709" s="168">
        <f>H710</f>
        <v>934.3</v>
      </c>
      <c r="I709" s="168"/>
      <c r="J709" s="497">
        <f t="shared" ref="J709" si="341">J710</f>
        <v>934.3</v>
      </c>
      <c r="K709" s="575">
        <f t="shared" si="324"/>
        <v>1</v>
      </c>
      <c r="L709" s="168"/>
      <c r="M709" s="580"/>
      <c r="N709" s="161"/>
    </row>
    <row r="710" spans="1:14" s="188" customFormat="1" x14ac:dyDescent="0.25">
      <c r="A710" s="401" t="s">
        <v>63</v>
      </c>
      <c r="B710" s="11" t="s">
        <v>8</v>
      </c>
      <c r="C710" s="207" t="s">
        <v>8</v>
      </c>
      <c r="D710" s="333" t="s">
        <v>670</v>
      </c>
      <c r="E710" s="352">
        <v>610</v>
      </c>
      <c r="F710" s="168">
        <f>'ведом. 2023-2025'!AD770</f>
        <v>934.3</v>
      </c>
      <c r="G710" s="327"/>
      <c r="H710" s="168">
        <f>'ведом. 2023-2025'!AE770</f>
        <v>934.3</v>
      </c>
      <c r="I710" s="168"/>
      <c r="J710" s="497">
        <f>'ведом. 2023-2025'!AF770</f>
        <v>934.3</v>
      </c>
      <c r="K710" s="575">
        <f t="shared" si="324"/>
        <v>1</v>
      </c>
      <c r="L710" s="168"/>
      <c r="M710" s="580"/>
      <c r="N710" s="161"/>
    </row>
    <row r="711" spans="1:14" s="145" customFormat="1" x14ac:dyDescent="0.25">
      <c r="A711" s="401" t="s">
        <v>40</v>
      </c>
      <c r="B711" s="209" t="s">
        <v>8</v>
      </c>
      <c r="C711" s="4" t="s">
        <v>23</v>
      </c>
      <c r="D711" s="33"/>
      <c r="E711" s="352"/>
      <c r="F711" s="168">
        <f>F712+F730+F750</f>
        <v>27444.1</v>
      </c>
      <c r="G711" s="168">
        <f t="shared" ref="G711:J711" si="342">G712+G730+G750</f>
        <v>2933.2</v>
      </c>
      <c r="H711" s="168">
        <f t="shared" si="342"/>
        <v>28407.899999999998</v>
      </c>
      <c r="I711" s="168">
        <f t="shared" ref="I711" si="343">I712+I730+I750</f>
        <v>2933.2</v>
      </c>
      <c r="J711" s="497">
        <f t="shared" si="342"/>
        <v>28078.7</v>
      </c>
      <c r="K711" s="575">
        <f t="shared" si="324"/>
        <v>0.9884116742173833</v>
      </c>
      <c r="L711" s="168">
        <f t="shared" ref="L711" si="344">L712+L730+L750</f>
        <v>2933.1</v>
      </c>
      <c r="M711" s="580">
        <f t="shared" si="326"/>
        <v>0.99996590754125192</v>
      </c>
      <c r="N711" s="161"/>
    </row>
    <row r="712" spans="1:14" s="145" customFormat="1" x14ac:dyDescent="0.25">
      <c r="A712" s="418" t="s">
        <v>278</v>
      </c>
      <c r="B712" s="209" t="s">
        <v>8</v>
      </c>
      <c r="C712" s="4" t="s">
        <v>23</v>
      </c>
      <c r="D712" s="33" t="s">
        <v>103</v>
      </c>
      <c r="E712" s="351"/>
      <c r="F712" s="168">
        <f>F718+F713</f>
        <v>22593.200000000001</v>
      </c>
      <c r="G712" s="327">
        <f t="shared" ref="G712:J712" si="345">G718+G713</f>
        <v>218.19999999999993</v>
      </c>
      <c r="H712" s="168">
        <f>H718+H713</f>
        <v>22593.200000000001</v>
      </c>
      <c r="I712" s="327">
        <f t="shared" ref="I712" si="346">I718+I713</f>
        <v>218.19999999999993</v>
      </c>
      <c r="J712" s="497">
        <f t="shared" si="345"/>
        <v>22264.100000000002</v>
      </c>
      <c r="K712" s="575">
        <f t="shared" si="324"/>
        <v>0.98543367030788032</v>
      </c>
      <c r="L712" s="168">
        <f t="shared" ref="L712" si="347">L718+L713</f>
        <v>218.1</v>
      </c>
      <c r="M712" s="580">
        <f t="shared" si="326"/>
        <v>0.99954170485792881</v>
      </c>
      <c r="N712" s="161"/>
    </row>
    <row r="713" spans="1:14" s="188" customFormat="1" ht="31.5" x14ac:dyDescent="0.25">
      <c r="A713" s="280" t="s">
        <v>516</v>
      </c>
      <c r="B713" s="209" t="s">
        <v>8</v>
      </c>
      <c r="C713" s="4" t="s">
        <v>23</v>
      </c>
      <c r="D713" s="33" t="s">
        <v>104</v>
      </c>
      <c r="E713" s="351"/>
      <c r="F713" s="168">
        <f>F714</f>
        <v>220.89999999999998</v>
      </c>
      <c r="G713" s="327">
        <f t="shared" ref="G713:L713" si="348">G714</f>
        <v>218.19999999999993</v>
      </c>
      <c r="H713" s="168">
        <f>H714</f>
        <v>220.9</v>
      </c>
      <c r="I713" s="327">
        <f t="shared" si="348"/>
        <v>218.19999999999993</v>
      </c>
      <c r="J713" s="497">
        <f t="shared" si="348"/>
        <v>220.8</v>
      </c>
      <c r="K713" s="575">
        <f t="shared" si="324"/>
        <v>0.99954730647351742</v>
      </c>
      <c r="L713" s="168">
        <f t="shared" si="348"/>
        <v>218.1</v>
      </c>
      <c r="M713" s="580">
        <f t="shared" si="326"/>
        <v>0.99954170485792881</v>
      </c>
      <c r="N713" s="161"/>
    </row>
    <row r="714" spans="1:14" s="188" customFormat="1" x14ac:dyDescent="0.25">
      <c r="A714" s="280" t="s">
        <v>517</v>
      </c>
      <c r="B714" s="209" t="s">
        <v>8</v>
      </c>
      <c r="C714" s="4" t="s">
        <v>23</v>
      </c>
      <c r="D714" s="33" t="s">
        <v>518</v>
      </c>
      <c r="E714" s="351"/>
      <c r="F714" s="168">
        <f>F715</f>
        <v>220.89999999999998</v>
      </c>
      <c r="G714" s="327">
        <f t="shared" ref="G714:L714" si="349">G715</f>
        <v>218.19999999999993</v>
      </c>
      <c r="H714" s="168">
        <f>H715</f>
        <v>220.9</v>
      </c>
      <c r="I714" s="327">
        <f t="shared" si="349"/>
        <v>218.19999999999993</v>
      </c>
      <c r="J714" s="497">
        <f t="shared" si="349"/>
        <v>220.8</v>
      </c>
      <c r="K714" s="575">
        <f t="shared" si="324"/>
        <v>0.99954730647351742</v>
      </c>
      <c r="L714" s="168">
        <f t="shared" si="349"/>
        <v>218.1</v>
      </c>
      <c r="M714" s="580">
        <f t="shared" si="326"/>
        <v>0.99954170485792881</v>
      </c>
      <c r="N714" s="161"/>
    </row>
    <row r="715" spans="1:14" s="188" customFormat="1" ht="47.25" x14ac:dyDescent="0.25">
      <c r="A715" s="280" t="s">
        <v>592</v>
      </c>
      <c r="B715" s="209" t="s">
        <v>8</v>
      </c>
      <c r="C715" s="4" t="s">
        <v>23</v>
      </c>
      <c r="D715" s="307" t="s">
        <v>519</v>
      </c>
      <c r="E715" s="351"/>
      <c r="F715" s="168">
        <f>F716</f>
        <v>220.89999999999998</v>
      </c>
      <c r="G715" s="327">
        <f t="shared" ref="G715:L715" si="350">G716</f>
        <v>218.19999999999993</v>
      </c>
      <c r="H715" s="168">
        <f>H716</f>
        <v>220.9</v>
      </c>
      <c r="I715" s="327">
        <f t="shared" si="350"/>
        <v>218.19999999999993</v>
      </c>
      <c r="J715" s="497">
        <f t="shared" si="350"/>
        <v>220.8</v>
      </c>
      <c r="K715" s="575">
        <f t="shared" si="324"/>
        <v>0.99954730647351742</v>
      </c>
      <c r="L715" s="168">
        <f t="shared" si="350"/>
        <v>218.1</v>
      </c>
      <c r="M715" s="580">
        <f t="shared" si="326"/>
        <v>0.99954170485792881</v>
      </c>
      <c r="N715" s="161"/>
    </row>
    <row r="716" spans="1:14" s="188" customFormat="1" x14ac:dyDescent="0.25">
      <c r="A716" s="278" t="s">
        <v>123</v>
      </c>
      <c r="B716" s="209" t="s">
        <v>8</v>
      </c>
      <c r="C716" s="4" t="s">
        <v>23</v>
      </c>
      <c r="D716" s="307" t="s">
        <v>519</v>
      </c>
      <c r="E716" s="351">
        <v>200</v>
      </c>
      <c r="F716" s="168">
        <f>F717</f>
        <v>220.89999999999998</v>
      </c>
      <c r="G716" s="327">
        <f t="shared" ref="G716:L716" si="351">G717</f>
        <v>218.19999999999993</v>
      </c>
      <c r="H716" s="168">
        <f>H717</f>
        <v>220.9</v>
      </c>
      <c r="I716" s="327">
        <f t="shared" si="351"/>
        <v>218.19999999999993</v>
      </c>
      <c r="J716" s="497">
        <f t="shared" si="351"/>
        <v>220.8</v>
      </c>
      <c r="K716" s="575">
        <f t="shared" si="324"/>
        <v>0.99954730647351742</v>
      </c>
      <c r="L716" s="168">
        <f t="shared" si="351"/>
        <v>218.1</v>
      </c>
      <c r="M716" s="580">
        <f t="shared" si="326"/>
        <v>0.99954170485792881</v>
      </c>
      <c r="N716" s="161"/>
    </row>
    <row r="717" spans="1:14" s="188" customFormat="1" ht="31.5" x14ac:dyDescent="0.25">
      <c r="A717" s="278" t="s">
        <v>54</v>
      </c>
      <c r="B717" s="209" t="s">
        <v>8</v>
      </c>
      <c r="C717" s="4" t="s">
        <v>23</v>
      </c>
      <c r="D717" s="307" t="s">
        <v>519</v>
      </c>
      <c r="E717" s="351">
        <v>240</v>
      </c>
      <c r="F717" s="168">
        <f>'ведом. 2023-2025'!AD777</f>
        <v>220.89999999999998</v>
      </c>
      <c r="G717" s="327">
        <f>656.3-281.3-156.8</f>
        <v>218.19999999999993</v>
      </c>
      <c r="H717" s="168">
        <f>'ведом. 2023-2025'!AE777</f>
        <v>220.9</v>
      </c>
      <c r="I717" s="327">
        <f>656.3-281.3-156.8</f>
        <v>218.19999999999993</v>
      </c>
      <c r="J717" s="497">
        <f>'ведом. 2023-2025'!AF777</f>
        <v>220.8</v>
      </c>
      <c r="K717" s="575">
        <f t="shared" si="324"/>
        <v>0.99954730647351742</v>
      </c>
      <c r="L717" s="168">
        <v>218.1</v>
      </c>
      <c r="M717" s="580">
        <f t="shared" si="326"/>
        <v>0.99954170485792881</v>
      </c>
      <c r="N717" s="161"/>
    </row>
    <row r="718" spans="1:14" s="145" customFormat="1" x14ac:dyDescent="0.25">
      <c r="A718" s="280" t="s">
        <v>391</v>
      </c>
      <c r="B718" s="209" t="s">
        <v>8</v>
      </c>
      <c r="C718" s="4" t="s">
        <v>23</v>
      </c>
      <c r="D718" s="163" t="s">
        <v>550</v>
      </c>
      <c r="E718" s="352"/>
      <c r="F718" s="168">
        <f>F719</f>
        <v>22372.3</v>
      </c>
      <c r="G718" s="327"/>
      <c r="H718" s="168">
        <f>H719</f>
        <v>22372.3</v>
      </c>
      <c r="I718" s="168"/>
      <c r="J718" s="497">
        <f>J719</f>
        <v>22043.300000000003</v>
      </c>
      <c r="K718" s="575">
        <f t="shared" si="324"/>
        <v>0.98529431484469654</v>
      </c>
      <c r="L718" s="168"/>
      <c r="M718" s="580"/>
      <c r="N718" s="161"/>
    </row>
    <row r="719" spans="1:14" s="145" customFormat="1" ht="31.5" x14ac:dyDescent="0.25">
      <c r="A719" s="280" t="s">
        <v>287</v>
      </c>
      <c r="B719" s="209" t="s">
        <v>8</v>
      </c>
      <c r="C719" s="4" t="s">
        <v>23</v>
      </c>
      <c r="D719" s="163" t="s">
        <v>551</v>
      </c>
      <c r="E719" s="352"/>
      <c r="F719" s="168">
        <f>F720</f>
        <v>22372.3</v>
      </c>
      <c r="G719" s="168"/>
      <c r="H719" s="168">
        <f t="shared" ref="H719:J719" si="352">H720</f>
        <v>22372.3</v>
      </c>
      <c r="I719" s="168"/>
      <c r="J719" s="497">
        <f t="shared" si="352"/>
        <v>22043.300000000003</v>
      </c>
      <c r="K719" s="575">
        <f t="shared" si="324"/>
        <v>0.98529431484469654</v>
      </c>
      <c r="L719" s="168"/>
      <c r="M719" s="580"/>
      <c r="N719" s="161"/>
    </row>
    <row r="720" spans="1:14" s="145" customFormat="1" x14ac:dyDescent="0.25">
      <c r="A720" s="281" t="s">
        <v>214</v>
      </c>
      <c r="B720" s="209" t="s">
        <v>8</v>
      </c>
      <c r="C720" s="4" t="s">
        <v>23</v>
      </c>
      <c r="D720" s="163" t="s">
        <v>552</v>
      </c>
      <c r="E720" s="352"/>
      <c r="F720" s="168">
        <f>F721+F724+F727</f>
        <v>22372.3</v>
      </c>
      <c r="G720" s="327"/>
      <c r="H720" s="168">
        <f>H721+H724+H727</f>
        <v>22372.3</v>
      </c>
      <c r="I720" s="168"/>
      <c r="J720" s="497">
        <f>J721+J724+J727</f>
        <v>22043.300000000003</v>
      </c>
      <c r="K720" s="575">
        <f t="shared" ref="K720:K783" si="353">J720/H720</f>
        <v>0.98529431484469654</v>
      </c>
      <c r="L720" s="168"/>
      <c r="M720" s="580"/>
      <c r="N720" s="161"/>
    </row>
    <row r="721" spans="1:14" s="145" customFormat="1" ht="31.5" x14ac:dyDescent="0.25">
      <c r="A721" s="401" t="s">
        <v>215</v>
      </c>
      <c r="B721" s="209" t="s">
        <v>8</v>
      </c>
      <c r="C721" s="4" t="s">
        <v>23</v>
      </c>
      <c r="D721" s="163" t="s">
        <v>553</v>
      </c>
      <c r="E721" s="352"/>
      <c r="F721" s="168">
        <f>F722</f>
        <v>1363.8</v>
      </c>
      <c r="G721" s="327"/>
      <c r="H721" s="168">
        <f>H722</f>
        <v>1363.8</v>
      </c>
      <c r="I721" s="168"/>
      <c r="J721" s="497">
        <f t="shared" ref="J721" si="354">J722</f>
        <v>1186.5</v>
      </c>
      <c r="K721" s="575">
        <f t="shared" si="353"/>
        <v>0.86999560052793667</v>
      </c>
      <c r="L721" s="168"/>
      <c r="M721" s="580"/>
      <c r="N721" s="161"/>
    </row>
    <row r="722" spans="1:14" s="145" customFormat="1" x14ac:dyDescent="0.25">
      <c r="A722" s="401" t="s">
        <v>123</v>
      </c>
      <c r="B722" s="209" t="s">
        <v>8</v>
      </c>
      <c r="C722" s="4" t="s">
        <v>23</v>
      </c>
      <c r="D722" s="163" t="s">
        <v>553</v>
      </c>
      <c r="E722" s="352">
        <v>200</v>
      </c>
      <c r="F722" s="168">
        <f>F723</f>
        <v>1363.8</v>
      </c>
      <c r="G722" s="327"/>
      <c r="H722" s="168">
        <f>H723</f>
        <v>1363.8</v>
      </c>
      <c r="I722" s="168"/>
      <c r="J722" s="497">
        <f>J723</f>
        <v>1186.5</v>
      </c>
      <c r="K722" s="575">
        <f t="shared" si="353"/>
        <v>0.86999560052793667</v>
      </c>
      <c r="L722" s="168"/>
      <c r="M722" s="580"/>
      <c r="N722" s="161"/>
    </row>
    <row r="723" spans="1:14" s="145" customFormat="1" ht="31.5" x14ac:dyDescent="0.25">
      <c r="A723" s="401" t="s">
        <v>54</v>
      </c>
      <c r="B723" s="209" t="s">
        <v>8</v>
      </c>
      <c r="C723" s="4" t="s">
        <v>23</v>
      </c>
      <c r="D723" s="163" t="s">
        <v>553</v>
      </c>
      <c r="E723" s="352">
        <v>240</v>
      </c>
      <c r="F723" s="168">
        <f>'ведом. 2023-2025'!AD783</f>
        <v>1363.8</v>
      </c>
      <c r="G723" s="327"/>
      <c r="H723" s="168">
        <f>'ведом. 2023-2025'!AE783</f>
        <v>1363.8</v>
      </c>
      <c r="I723" s="168"/>
      <c r="J723" s="497">
        <f>'ведом. 2023-2025'!AF783</f>
        <v>1186.5</v>
      </c>
      <c r="K723" s="575">
        <f t="shared" si="353"/>
        <v>0.86999560052793667</v>
      </c>
      <c r="L723" s="168"/>
      <c r="M723" s="580"/>
      <c r="N723" s="161"/>
    </row>
    <row r="724" spans="1:14" s="145" customFormat="1" ht="31.5" x14ac:dyDescent="0.25">
      <c r="A724" s="297" t="s">
        <v>377</v>
      </c>
      <c r="B724" s="209" t="s">
        <v>8</v>
      </c>
      <c r="C724" s="4" t="s">
        <v>23</v>
      </c>
      <c r="D724" s="163" t="s">
        <v>554</v>
      </c>
      <c r="E724" s="352"/>
      <c r="F724" s="168">
        <f>F725</f>
        <v>8518.5</v>
      </c>
      <c r="G724" s="327"/>
      <c r="H724" s="168">
        <f>H725</f>
        <v>8518.5</v>
      </c>
      <c r="I724" s="168"/>
      <c r="J724" s="497">
        <f>J725</f>
        <v>8425.1</v>
      </c>
      <c r="K724" s="575">
        <f t="shared" si="353"/>
        <v>0.98903562833832248</v>
      </c>
      <c r="L724" s="168"/>
      <c r="M724" s="580"/>
      <c r="N724" s="161"/>
    </row>
    <row r="725" spans="1:14" s="145" customFormat="1" ht="47.25" x14ac:dyDescent="0.25">
      <c r="A725" s="401" t="s">
        <v>43</v>
      </c>
      <c r="B725" s="209" t="s">
        <v>8</v>
      </c>
      <c r="C725" s="4" t="s">
        <v>23</v>
      </c>
      <c r="D725" s="163" t="s">
        <v>554</v>
      </c>
      <c r="E725" s="352">
        <v>100</v>
      </c>
      <c r="F725" s="168">
        <f>F726</f>
        <v>8518.5</v>
      </c>
      <c r="G725" s="327"/>
      <c r="H725" s="168">
        <f>H726</f>
        <v>8518.5</v>
      </c>
      <c r="I725" s="168"/>
      <c r="J725" s="497">
        <f>J726</f>
        <v>8425.1</v>
      </c>
      <c r="K725" s="575">
        <f t="shared" si="353"/>
        <v>0.98903562833832248</v>
      </c>
      <c r="L725" s="168"/>
      <c r="M725" s="580"/>
      <c r="N725" s="161"/>
    </row>
    <row r="726" spans="1:14" s="145" customFormat="1" x14ac:dyDescent="0.25">
      <c r="A726" s="401" t="s">
        <v>99</v>
      </c>
      <c r="B726" s="209" t="s">
        <v>8</v>
      </c>
      <c r="C726" s="4" t="s">
        <v>23</v>
      </c>
      <c r="D726" s="163" t="s">
        <v>554</v>
      </c>
      <c r="E726" s="352">
        <v>120</v>
      </c>
      <c r="F726" s="168">
        <f>'ведом. 2023-2025'!AD786</f>
        <v>8518.5</v>
      </c>
      <c r="G726" s="327"/>
      <c r="H726" s="168">
        <f>'ведом. 2023-2025'!AE786</f>
        <v>8518.5</v>
      </c>
      <c r="I726" s="168"/>
      <c r="J726" s="497">
        <f>'ведом. 2023-2025'!AF786</f>
        <v>8425.1</v>
      </c>
      <c r="K726" s="575">
        <f t="shared" si="353"/>
        <v>0.98903562833832248</v>
      </c>
      <c r="L726" s="168"/>
      <c r="M726" s="580"/>
      <c r="N726" s="161"/>
    </row>
    <row r="727" spans="1:14" s="145" customFormat="1" ht="31.5" x14ac:dyDescent="0.25">
      <c r="A727" s="401" t="s">
        <v>288</v>
      </c>
      <c r="B727" s="209" t="s">
        <v>8</v>
      </c>
      <c r="C727" s="4" t="s">
        <v>23</v>
      </c>
      <c r="D727" s="163" t="s">
        <v>555</v>
      </c>
      <c r="E727" s="352"/>
      <c r="F727" s="179">
        <f>F728</f>
        <v>12490</v>
      </c>
      <c r="G727" s="327"/>
      <c r="H727" s="179">
        <f>H728</f>
        <v>12490</v>
      </c>
      <c r="I727" s="179"/>
      <c r="J727" s="518">
        <f>J728</f>
        <v>12431.7</v>
      </c>
      <c r="K727" s="575">
        <f t="shared" si="353"/>
        <v>0.99533226581265022</v>
      </c>
      <c r="L727" s="168"/>
      <c r="M727" s="580"/>
      <c r="N727" s="161"/>
    </row>
    <row r="728" spans="1:14" s="145" customFormat="1" ht="47.25" x14ac:dyDescent="0.25">
      <c r="A728" s="401" t="s">
        <v>43</v>
      </c>
      <c r="B728" s="209" t="s">
        <v>8</v>
      </c>
      <c r="C728" s="4" t="s">
        <v>23</v>
      </c>
      <c r="D728" s="163" t="s">
        <v>555</v>
      </c>
      <c r="E728" s="352">
        <v>100</v>
      </c>
      <c r="F728" s="168">
        <f>F729</f>
        <v>12490</v>
      </c>
      <c r="G728" s="327"/>
      <c r="H728" s="168">
        <f>H729</f>
        <v>12490</v>
      </c>
      <c r="I728" s="168"/>
      <c r="J728" s="497">
        <f>J729</f>
        <v>12431.7</v>
      </c>
      <c r="K728" s="575">
        <f t="shared" si="353"/>
        <v>0.99533226581265022</v>
      </c>
      <c r="L728" s="168"/>
      <c r="M728" s="580"/>
      <c r="N728" s="161"/>
    </row>
    <row r="729" spans="1:14" s="145" customFormat="1" x14ac:dyDescent="0.25">
      <c r="A729" s="401" t="s">
        <v>99</v>
      </c>
      <c r="B729" s="209" t="s">
        <v>8</v>
      </c>
      <c r="C729" s="4" t="s">
        <v>23</v>
      </c>
      <c r="D729" s="163" t="s">
        <v>555</v>
      </c>
      <c r="E729" s="352">
        <v>120</v>
      </c>
      <c r="F729" s="168">
        <f>'ведом. 2023-2025'!AD789</f>
        <v>12490</v>
      </c>
      <c r="G729" s="327"/>
      <c r="H729" s="168">
        <f>'ведом. 2023-2025'!AE789</f>
        <v>12490</v>
      </c>
      <c r="I729" s="168"/>
      <c r="J729" s="497">
        <f>'ведом. 2023-2025'!AF789</f>
        <v>12431.7</v>
      </c>
      <c r="K729" s="575">
        <f t="shared" si="353"/>
        <v>0.99533226581265022</v>
      </c>
      <c r="L729" s="168"/>
      <c r="M729" s="580"/>
      <c r="N729" s="161"/>
    </row>
    <row r="730" spans="1:14" s="145" customFormat="1" x14ac:dyDescent="0.25">
      <c r="A730" s="280" t="s">
        <v>309</v>
      </c>
      <c r="B730" s="209" t="s">
        <v>8</v>
      </c>
      <c r="C730" s="4" t="s">
        <v>23</v>
      </c>
      <c r="D730" s="163" t="s">
        <v>112</v>
      </c>
      <c r="E730" s="352"/>
      <c r="F730" s="168">
        <f t="shared" ref="F730:J731" si="355">F731</f>
        <v>4850.8999999999996</v>
      </c>
      <c r="G730" s="327">
        <f t="shared" si="355"/>
        <v>2715</v>
      </c>
      <c r="H730" s="168">
        <f t="shared" si="355"/>
        <v>4850.8999999999996</v>
      </c>
      <c r="I730" s="168">
        <f t="shared" si="355"/>
        <v>2715</v>
      </c>
      <c r="J730" s="497">
        <f t="shared" si="355"/>
        <v>4850.8</v>
      </c>
      <c r="K730" s="575">
        <f t="shared" si="353"/>
        <v>0.99997938526871311</v>
      </c>
      <c r="L730" s="168">
        <f>L731</f>
        <v>2715</v>
      </c>
      <c r="M730" s="580">
        <f t="shared" ref="M730:M779" si="356">L730/I730</f>
        <v>1</v>
      </c>
      <c r="N730" s="161"/>
    </row>
    <row r="731" spans="1:14" s="145" customFormat="1" x14ac:dyDescent="0.25">
      <c r="A731" s="280" t="s">
        <v>313</v>
      </c>
      <c r="B731" s="209" t="s">
        <v>8</v>
      </c>
      <c r="C731" s="4" t="s">
        <v>23</v>
      </c>
      <c r="D731" s="163" t="s">
        <v>113</v>
      </c>
      <c r="E731" s="352"/>
      <c r="F731" s="168">
        <f t="shared" si="355"/>
        <v>4850.8999999999996</v>
      </c>
      <c r="G731" s="327">
        <f t="shared" si="355"/>
        <v>2715</v>
      </c>
      <c r="H731" s="168">
        <f t="shared" si="355"/>
        <v>4850.8999999999996</v>
      </c>
      <c r="I731" s="168">
        <f t="shared" si="355"/>
        <v>2715</v>
      </c>
      <c r="J731" s="497">
        <f t="shared" si="355"/>
        <v>4850.8</v>
      </c>
      <c r="K731" s="575">
        <f t="shared" si="353"/>
        <v>0.99997938526871311</v>
      </c>
      <c r="L731" s="168">
        <f>L732</f>
        <v>2715</v>
      </c>
      <c r="M731" s="580">
        <f t="shared" si="356"/>
        <v>1</v>
      </c>
      <c r="N731" s="161"/>
    </row>
    <row r="732" spans="1:14" s="145" customFormat="1" x14ac:dyDescent="0.25">
      <c r="A732" s="302" t="s">
        <v>593</v>
      </c>
      <c r="B732" s="209" t="s">
        <v>8</v>
      </c>
      <c r="C732" s="4" t="s">
        <v>23</v>
      </c>
      <c r="D732" s="163" t="s">
        <v>578</v>
      </c>
      <c r="E732" s="352"/>
      <c r="F732" s="168">
        <f>F738+F733</f>
        <v>4850.8999999999996</v>
      </c>
      <c r="G732" s="168">
        <f t="shared" ref="G732:J732" si="357">G738+G733</f>
        <v>2715</v>
      </c>
      <c r="H732" s="168">
        <f>H738+H733</f>
        <v>4850.8999999999996</v>
      </c>
      <c r="I732" s="168">
        <f>I738+I733</f>
        <v>2715</v>
      </c>
      <c r="J732" s="497">
        <f t="shared" si="357"/>
        <v>4850.8</v>
      </c>
      <c r="K732" s="575">
        <f t="shared" si="353"/>
        <v>0.99997938526871311</v>
      </c>
      <c r="L732" s="168">
        <f>L738+L733</f>
        <v>2715</v>
      </c>
      <c r="M732" s="580">
        <f t="shared" si="356"/>
        <v>1</v>
      </c>
      <c r="N732" s="161"/>
    </row>
    <row r="733" spans="1:14" s="188" customFormat="1" ht="47.25" x14ac:dyDescent="0.25">
      <c r="A733" s="300" t="s">
        <v>785</v>
      </c>
      <c r="B733" s="1" t="s">
        <v>8</v>
      </c>
      <c r="C733" s="4" t="s">
        <v>23</v>
      </c>
      <c r="D733" s="326" t="s">
        <v>786</v>
      </c>
      <c r="E733" s="309"/>
      <c r="F733" s="168">
        <f>F734+F736</f>
        <v>52.900000000000006</v>
      </c>
      <c r="G733" s="168"/>
      <c r="H733" s="168">
        <f>H734+H736</f>
        <v>52.900000000000006</v>
      </c>
      <c r="I733" s="168"/>
      <c r="J733" s="497">
        <f>J734+J736</f>
        <v>52.8</v>
      </c>
      <c r="K733" s="575">
        <f t="shared" si="353"/>
        <v>0.9981096408317579</v>
      </c>
      <c r="L733" s="168"/>
      <c r="M733" s="580"/>
      <c r="N733" s="161"/>
    </row>
    <row r="734" spans="1:14" s="188" customFormat="1" x14ac:dyDescent="0.25">
      <c r="A734" s="278" t="s">
        <v>100</v>
      </c>
      <c r="B734" s="1" t="s">
        <v>8</v>
      </c>
      <c r="C734" s="4" t="s">
        <v>23</v>
      </c>
      <c r="D734" s="326" t="s">
        <v>786</v>
      </c>
      <c r="E734" s="309">
        <v>300</v>
      </c>
      <c r="F734" s="168">
        <f>F735</f>
        <v>43.6</v>
      </c>
      <c r="G734" s="168"/>
      <c r="H734" s="168">
        <f>H735</f>
        <v>43.6</v>
      </c>
      <c r="I734" s="168"/>
      <c r="J734" s="497">
        <f t="shared" ref="J734" si="358">J735</f>
        <v>43.5</v>
      </c>
      <c r="K734" s="575">
        <f t="shared" si="353"/>
        <v>0.99770642201834858</v>
      </c>
      <c r="L734" s="168"/>
      <c r="M734" s="580"/>
      <c r="N734" s="161"/>
    </row>
    <row r="735" spans="1:14" s="188" customFormat="1" x14ac:dyDescent="0.25">
      <c r="A735" s="278" t="s">
        <v>42</v>
      </c>
      <c r="B735" s="1" t="s">
        <v>8</v>
      </c>
      <c r="C735" s="4" t="s">
        <v>23</v>
      </c>
      <c r="D735" s="326" t="s">
        <v>786</v>
      </c>
      <c r="E735" s="309">
        <v>320</v>
      </c>
      <c r="F735" s="168">
        <f>'ведом. 2023-2025'!AD380</f>
        <v>43.6</v>
      </c>
      <c r="G735" s="327"/>
      <c r="H735" s="168">
        <f>'ведом. 2023-2025'!AE380</f>
        <v>43.6</v>
      </c>
      <c r="I735" s="168"/>
      <c r="J735" s="497">
        <f>'ведом. 2023-2025'!AF380</f>
        <v>43.5</v>
      </c>
      <c r="K735" s="575">
        <f t="shared" si="353"/>
        <v>0.99770642201834858</v>
      </c>
      <c r="L735" s="168"/>
      <c r="M735" s="580"/>
      <c r="N735" s="161"/>
    </row>
    <row r="736" spans="1:14" s="188" customFormat="1" ht="31.5" x14ac:dyDescent="0.25">
      <c r="A736" s="278" t="s">
        <v>62</v>
      </c>
      <c r="B736" s="1" t="s">
        <v>8</v>
      </c>
      <c r="C736" s="4" t="s">
        <v>23</v>
      </c>
      <c r="D736" s="326" t="s">
        <v>786</v>
      </c>
      <c r="E736" s="352">
        <v>600</v>
      </c>
      <c r="F736" s="168">
        <f>F737</f>
        <v>9.3000000000000007</v>
      </c>
      <c r="G736" s="327"/>
      <c r="H736" s="168">
        <f>H737</f>
        <v>9.3000000000000007</v>
      </c>
      <c r="I736" s="168"/>
      <c r="J736" s="497">
        <f>J737</f>
        <v>9.3000000000000007</v>
      </c>
      <c r="K736" s="575">
        <f t="shared" si="353"/>
        <v>1</v>
      </c>
      <c r="L736" s="168"/>
      <c r="M736" s="580"/>
      <c r="N736" s="161"/>
    </row>
    <row r="737" spans="1:14" s="188" customFormat="1" x14ac:dyDescent="0.25">
      <c r="A737" s="278" t="s">
        <v>63</v>
      </c>
      <c r="B737" s="1" t="s">
        <v>8</v>
      </c>
      <c r="C737" s="4" t="s">
        <v>23</v>
      </c>
      <c r="D737" s="326" t="s">
        <v>786</v>
      </c>
      <c r="E737" s="352">
        <v>610</v>
      </c>
      <c r="F737" s="168">
        <f>'ведом. 2023-2025'!AD382</f>
        <v>9.3000000000000007</v>
      </c>
      <c r="G737" s="327"/>
      <c r="H737" s="168">
        <f>'ведом. 2023-2025'!AE382</f>
        <v>9.3000000000000007</v>
      </c>
      <c r="I737" s="168"/>
      <c r="J737" s="497">
        <f>'ведом. 2023-2025'!AF382</f>
        <v>9.3000000000000007</v>
      </c>
      <c r="K737" s="575">
        <f t="shared" si="353"/>
        <v>1</v>
      </c>
      <c r="L737" s="168"/>
      <c r="M737" s="580"/>
      <c r="N737" s="161"/>
    </row>
    <row r="738" spans="1:14" s="145" customFormat="1" x14ac:dyDescent="0.25">
      <c r="A738" s="302" t="s">
        <v>314</v>
      </c>
      <c r="B738" s="209" t="s">
        <v>8</v>
      </c>
      <c r="C738" s="4" t="s">
        <v>23</v>
      </c>
      <c r="D738" s="163" t="s">
        <v>580</v>
      </c>
      <c r="E738" s="352"/>
      <c r="F738" s="168">
        <f t="shared" ref="F738:J738" si="359">F739+F747</f>
        <v>4798</v>
      </c>
      <c r="G738" s="327">
        <f t="shared" si="359"/>
        <v>2715</v>
      </c>
      <c r="H738" s="168">
        <f t="shared" ref="H738:I738" si="360">H739+H747</f>
        <v>4798</v>
      </c>
      <c r="I738" s="168">
        <f t="shared" si="360"/>
        <v>2715</v>
      </c>
      <c r="J738" s="497">
        <f t="shared" si="359"/>
        <v>4798</v>
      </c>
      <c r="K738" s="575">
        <f t="shared" si="353"/>
        <v>1</v>
      </c>
      <c r="L738" s="168">
        <f>L739+L747</f>
        <v>2715</v>
      </c>
      <c r="M738" s="580">
        <f t="shared" si="356"/>
        <v>1</v>
      </c>
      <c r="N738" s="161"/>
    </row>
    <row r="739" spans="1:14" s="145" customFormat="1" ht="47.25" x14ac:dyDescent="0.25">
      <c r="A739" s="302" t="s">
        <v>335</v>
      </c>
      <c r="B739" s="209" t="s">
        <v>8</v>
      </c>
      <c r="C739" s="4" t="s">
        <v>23</v>
      </c>
      <c r="D739" s="163" t="s">
        <v>581</v>
      </c>
      <c r="E739" s="352"/>
      <c r="F739" s="168">
        <f>F742+F740+F744</f>
        <v>3287</v>
      </c>
      <c r="G739" s="327">
        <f t="shared" ref="G739" si="361">G742+G740+G744</f>
        <v>2175</v>
      </c>
      <c r="H739" s="168">
        <f>H742+H740+H744</f>
        <v>3287</v>
      </c>
      <c r="I739" s="168">
        <f>I742+I740+I744</f>
        <v>2175</v>
      </c>
      <c r="J739" s="497">
        <f>J742+J740+J744</f>
        <v>3287</v>
      </c>
      <c r="K739" s="575">
        <f t="shared" si="353"/>
        <v>1</v>
      </c>
      <c r="L739" s="168">
        <f>L742+L740+L744</f>
        <v>2175</v>
      </c>
      <c r="M739" s="580">
        <f t="shared" si="356"/>
        <v>1</v>
      </c>
      <c r="N739" s="161"/>
    </row>
    <row r="740" spans="1:14" s="188" customFormat="1" x14ac:dyDescent="0.25">
      <c r="A740" s="401" t="s">
        <v>123</v>
      </c>
      <c r="B740" s="209" t="s">
        <v>8</v>
      </c>
      <c r="C740" s="4" t="s">
        <v>23</v>
      </c>
      <c r="D740" s="163" t="s">
        <v>581</v>
      </c>
      <c r="E740" s="352">
        <v>200</v>
      </c>
      <c r="F740" s="168">
        <f t="shared" ref="F740:J740" si="362">F741</f>
        <v>1717.8999999999999</v>
      </c>
      <c r="G740" s="327">
        <f t="shared" si="362"/>
        <v>1610.8</v>
      </c>
      <c r="H740" s="168">
        <f t="shared" si="362"/>
        <v>1717.8999999999999</v>
      </c>
      <c r="I740" s="168">
        <f>I741</f>
        <v>1610.8</v>
      </c>
      <c r="J740" s="497">
        <f t="shared" si="362"/>
        <v>1717.9</v>
      </c>
      <c r="K740" s="575">
        <f t="shared" si="353"/>
        <v>1.0000000000000002</v>
      </c>
      <c r="L740" s="168">
        <f>L741</f>
        <v>1610.8</v>
      </c>
      <c r="M740" s="580">
        <f t="shared" si="356"/>
        <v>1</v>
      </c>
      <c r="N740" s="161"/>
    </row>
    <row r="741" spans="1:14" s="188" customFormat="1" ht="31.5" x14ac:dyDescent="0.25">
      <c r="A741" s="401" t="s">
        <v>54</v>
      </c>
      <c r="B741" s="209" t="s">
        <v>8</v>
      </c>
      <c r="C741" s="4" t="s">
        <v>23</v>
      </c>
      <c r="D741" s="163" t="s">
        <v>581</v>
      </c>
      <c r="E741" s="352">
        <v>240</v>
      </c>
      <c r="F741" s="168">
        <f>'ведом. 2023-2025'!AD386</f>
        <v>1717.8999999999999</v>
      </c>
      <c r="G741" s="327">
        <f>1740-108+108-108-21.2</f>
        <v>1610.8</v>
      </c>
      <c r="H741" s="168">
        <f>'ведом. 2023-2025'!AE386</f>
        <v>1717.8999999999999</v>
      </c>
      <c r="I741" s="168">
        <v>1610.8</v>
      </c>
      <c r="J741" s="497">
        <f>'ведом. 2023-2025'!AF386</f>
        <v>1717.9</v>
      </c>
      <c r="K741" s="575">
        <f t="shared" si="353"/>
        <v>1.0000000000000002</v>
      </c>
      <c r="L741" s="168">
        <v>1610.8</v>
      </c>
      <c r="M741" s="580">
        <f t="shared" si="356"/>
        <v>1</v>
      </c>
      <c r="N741" s="161"/>
    </row>
    <row r="742" spans="1:14" s="145" customFormat="1" x14ac:dyDescent="0.25">
      <c r="A742" s="401" t="s">
        <v>100</v>
      </c>
      <c r="B742" s="209" t="s">
        <v>8</v>
      </c>
      <c r="C742" s="4" t="s">
        <v>23</v>
      </c>
      <c r="D742" s="163" t="s">
        <v>581</v>
      </c>
      <c r="E742" s="352">
        <v>300</v>
      </c>
      <c r="F742" s="168">
        <f t="shared" ref="F742:J742" si="363">F743</f>
        <v>162.6</v>
      </c>
      <c r="G742" s="327">
        <f>G743</f>
        <v>21.2</v>
      </c>
      <c r="H742" s="168">
        <f t="shared" si="363"/>
        <v>162.6</v>
      </c>
      <c r="I742" s="168">
        <f>I743</f>
        <v>21.2</v>
      </c>
      <c r="J742" s="497">
        <f t="shared" si="363"/>
        <v>162.6</v>
      </c>
      <c r="K742" s="575">
        <f t="shared" si="353"/>
        <v>1</v>
      </c>
      <c r="L742" s="168">
        <f>L743</f>
        <v>21.2</v>
      </c>
      <c r="M742" s="580">
        <f t="shared" si="356"/>
        <v>1</v>
      </c>
      <c r="N742" s="161"/>
    </row>
    <row r="743" spans="1:14" s="145" customFormat="1" x14ac:dyDescent="0.25">
      <c r="A743" s="401" t="s">
        <v>42</v>
      </c>
      <c r="B743" s="209" t="s">
        <v>8</v>
      </c>
      <c r="C743" s="4" t="s">
        <v>23</v>
      </c>
      <c r="D743" s="163" t="s">
        <v>581</v>
      </c>
      <c r="E743" s="352">
        <v>320</v>
      </c>
      <c r="F743" s="168">
        <f>'ведом. 2023-2025'!AD388</f>
        <v>162.6</v>
      </c>
      <c r="G743" s="327">
        <v>21.2</v>
      </c>
      <c r="H743" s="168">
        <f>'ведом. 2023-2025'!AE388</f>
        <v>162.6</v>
      </c>
      <c r="I743" s="168">
        <v>21.2</v>
      </c>
      <c r="J743" s="497">
        <f>'ведом. 2023-2025'!AF388</f>
        <v>162.6</v>
      </c>
      <c r="K743" s="575">
        <f t="shared" si="353"/>
        <v>1</v>
      </c>
      <c r="L743" s="168">
        <v>21.2</v>
      </c>
      <c r="M743" s="580">
        <f t="shared" si="356"/>
        <v>1</v>
      </c>
      <c r="N743" s="161"/>
    </row>
    <row r="744" spans="1:14" s="188" customFormat="1" ht="31.5" x14ac:dyDescent="0.25">
      <c r="A744" s="401" t="s">
        <v>62</v>
      </c>
      <c r="B744" s="209" t="s">
        <v>8</v>
      </c>
      <c r="C744" s="4" t="s">
        <v>23</v>
      </c>
      <c r="D744" s="163" t="s">
        <v>581</v>
      </c>
      <c r="E744" s="352">
        <v>600</v>
      </c>
      <c r="F744" s="168">
        <f>F745+F746</f>
        <v>1406.5</v>
      </c>
      <c r="G744" s="327">
        <f t="shared" ref="G744:I744" si="364">G745</f>
        <v>543</v>
      </c>
      <c r="H744" s="168">
        <f>H745+H746</f>
        <v>1406.5</v>
      </c>
      <c r="I744" s="327">
        <f t="shared" si="364"/>
        <v>543</v>
      </c>
      <c r="J744" s="497">
        <f>J745+J746</f>
        <v>1406.5</v>
      </c>
      <c r="K744" s="575">
        <f t="shared" si="353"/>
        <v>1</v>
      </c>
      <c r="L744" s="168">
        <f>L745</f>
        <v>543</v>
      </c>
      <c r="M744" s="580">
        <f t="shared" si="356"/>
        <v>1</v>
      </c>
      <c r="N744" s="161"/>
    </row>
    <row r="745" spans="1:14" s="188" customFormat="1" x14ac:dyDescent="0.25">
      <c r="A745" s="401" t="s">
        <v>63</v>
      </c>
      <c r="B745" s="209" t="s">
        <v>8</v>
      </c>
      <c r="C745" s="4" t="s">
        <v>23</v>
      </c>
      <c r="D745" s="163" t="s">
        <v>581</v>
      </c>
      <c r="E745" s="352">
        <v>610</v>
      </c>
      <c r="F745" s="168">
        <f>'ведом. 2023-2025'!AD796+'ведом. 2023-2025'!AD390</f>
        <v>1400.3</v>
      </c>
      <c r="G745" s="327">
        <f>435+108</f>
        <v>543</v>
      </c>
      <c r="H745" s="168">
        <f>'ведом. 2023-2025'!AE796+'ведом. 2023-2025'!AE390</f>
        <v>1400.3</v>
      </c>
      <c r="I745" s="327">
        <f>435+108</f>
        <v>543</v>
      </c>
      <c r="J745" s="497">
        <f>'ведом. 2023-2025'!AF796+'ведом. 2023-2025'!AF390</f>
        <v>1400.3</v>
      </c>
      <c r="K745" s="575">
        <f t="shared" si="353"/>
        <v>1</v>
      </c>
      <c r="L745" s="168">
        <v>543</v>
      </c>
      <c r="M745" s="580">
        <f t="shared" si="356"/>
        <v>1</v>
      </c>
      <c r="N745" s="161"/>
    </row>
    <row r="746" spans="1:14" s="188" customFormat="1" x14ac:dyDescent="0.25">
      <c r="A746" s="401" t="s">
        <v>132</v>
      </c>
      <c r="B746" s="209" t="s">
        <v>8</v>
      </c>
      <c r="C746" s="4" t="s">
        <v>23</v>
      </c>
      <c r="D746" s="163" t="s">
        <v>581</v>
      </c>
      <c r="E746" s="352">
        <v>620</v>
      </c>
      <c r="F746" s="168">
        <f>'ведом. 2023-2025'!AD391</f>
        <v>6.2</v>
      </c>
      <c r="G746" s="327"/>
      <c r="H746" s="168">
        <f>'ведом. 2023-2025'!AE391</f>
        <v>6.2</v>
      </c>
      <c r="I746" s="168"/>
      <c r="J746" s="497">
        <f>'ведом. 2023-2025'!AF391</f>
        <v>6.2</v>
      </c>
      <c r="K746" s="575">
        <f t="shared" si="353"/>
        <v>1</v>
      </c>
      <c r="L746" s="168"/>
      <c r="M746" s="580"/>
      <c r="N746" s="161"/>
    </row>
    <row r="747" spans="1:14" s="145" customFormat="1" ht="31.5" x14ac:dyDescent="0.25">
      <c r="A747" s="401" t="s">
        <v>336</v>
      </c>
      <c r="B747" s="209" t="s">
        <v>8</v>
      </c>
      <c r="C747" s="4" t="s">
        <v>23</v>
      </c>
      <c r="D747" s="163" t="s">
        <v>582</v>
      </c>
      <c r="E747" s="352"/>
      <c r="F747" s="168">
        <f t="shared" ref="F747:J748" si="365">F748</f>
        <v>1511</v>
      </c>
      <c r="G747" s="327">
        <f t="shared" si="365"/>
        <v>540</v>
      </c>
      <c r="H747" s="168">
        <f t="shared" si="365"/>
        <v>1511</v>
      </c>
      <c r="I747" s="327">
        <f t="shared" si="365"/>
        <v>540</v>
      </c>
      <c r="J747" s="497">
        <f t="shared" si="365"/>
        <v>1511</v>
      </c>
      <c r="K747" s="575">
        <f t="shared" si="353"/>
        <v>1</v>
      </c>
      <c r="L747" s="168">
        <f>L748</f>
        <v>540</v>
      </c>
      <c r="M747" s="580">
        <f t="shared" si="356"/>
        <v>1</v>
      </c>
      <c r="N747" s="161"/>
    </row>
    <row r="748" spans="1:14" s="145" customFormat="1" ht="31.5" x14ac:dyDescent="0.25">
      <c r="A748" s="401" t="s">
        <v>62</v>
      </c>
      <c r="B748" s="209" t="s">
        <v>8</v>
      </c>
      <c r="C748" s="4" t="s">
        <v>23</v>
      </c>
      <c r="D748" s="163" t="s">
        <v>582</v>
      </c>
      <c r="E748" s="351">
        <v>600</v>
      </c>
      <c r="F748" s="168">
        <f t="shared" si="365"/>
        <v>1511</v>
      </c>
      <c r="G748" s="327">
        <f t="shared" si="365"/>
        <v>540</v>
      </c>
      <c r="H748" s="168">
        <f t="shared" si="365"/>
        <v>1511</v>
      </c>
      <c r="I748" s="327">
        <f t="shared" si="365"/>
        <v>540</v>
      </c>
      <c r="J748" s="497">
        <f t="shared" si="365"/>
        <v>1511</v>
      </c>
      <c r="K748" s="575">
        <f t="shared" si="353"/>
        <v>1</v>
      </c>
      <c r="L748" s="168">
        <f>L749</f>
        <v>540</v>
      </c>
      <c r="M748" s="580">
        <f t="shared" si="356"/>
        <v>1</v>
      </c>
      <c r="N748" s="161"/>
    </row>
    <row r="749" spans="1:14" s="145" customFormat="1" x14ac:dyDescent="0.25">
      <c r="A749" s="401" t="s">
        <v>63</v>
      </c>
      <c r="B749" s="209" t="s">
        <v>8</v>
      </c>
      <c r="C749" s="4" t="s">
        <v>23</v>
      </c>
      <c r="D749" s="163" t="s">
        <v>582</v>
      </c>
      <c r="E749" s="351">
        <v>610</v>
      </c>
      <c r="F749" s="168">
        <f>'ведом. 2023-2025'!AD799</f>
        <v>1511</v>
      </c>
      <c r="G749" s="327">
        <v>540</v>
      </c>
      <c r="H749" s="168">
        <f>'ведом. 2023-2025'!AE799</f>
        <v>1511</v>
      </c>
      <c r="I749" s="327">
        <v>540</v>
      </c>
      <c r="J749" s="497">
        <f>'ведом. 2023-2025'!AF799</f>
        <v>1511</v>
      </c>
      <c r="K749" s="575">
        <f t="shared" si="353"/>
        <v>1</v>
      </c>
      <c r="L749" s="168">
        <v>540</v>
      </c>
      <c r="M749" s="580">
        <f t="shared" si="356"/>
        <v>1</v>
      </c>
      <c r="N749" s="161"/>
    </row>
    <row r="750" spans="1:14" s="188" customFormat="1" x14ac:dyDescent="0.25">
      <c r="A750" s="437" t="s">
        <v>354</v>
      </c>
      <c r="B750" s="1" t="s">
        <v>8</v>
      </c>
      <c r="C750" s="4" t="s">
        <v>23</v>
      </c>
      <c r="D750" s="326" t="s">
        <v>140</v>
      </c>
      <c r="E750" s="322"/>
      <c r="F750" s="168">
        <f>F751</f>
        <v>0</v>
      </c>
      <c r="G750" s="168"/>
      <c r="H750" s="168">
        <f t="shared" ref="H750:J752" si="366">H751</f>
        <v>963.8</v>
      </c>
      <c r="I750" s="168">
        <f t="shared" si="366"/>
        <v>0</v>
      </c>
      <c r="J750" s="497">
        <f t="shared" si="366"/>
        <v>963.8</v>
      </c>
      <c r="K750" s="575">
        <f t="shared" si="353"/>
        <v>1</v>
      </c>
      <c r="L750" s="168"/>
      <c r="M750" s="580"/>
      <c r="N750" s="161"/>
    </row>
    <row r="751" spans="1:14" s="188" customFormat="1" ht="31.5" x14ac:dyDescent="0.25">
      <c r="A751" s="284" t="s">
        <v>798</v>
      </c>
      <c r="B751" s="1" t="s">
        <v>8</v>
      </c>
      <c r="C751" s="4" t="s">
        <v>23</v>
      </c>
      <c r="D751" s="326" t="s">
        <v>799</v>
      </c>
      <c r="E751" s="322"/>
      <c r="F751" s="168">
        <f>F752</f>
        <v>0</v>
      </c>
      <c r="G751" s="168"/>
      <c r="H751" s="168">
        <f t="shared" si="366"/>
        <v>963.8</v>
      </c>
      <c r="I751" s="168"/>
      <c r="J751" s="497">
        <f t="shared" si="366"/>
        <v>963.8</v>
      </c>
      <c r="K751" s="575">
        <f t="shared" si="353"/>
        <v>1</v>
      </c>
      <c r="L751" s="168"/>
      <c r="M751" s="580"/>
      <c r="N751" s="161"/>
    </row>
    <row r="752" spans="1:14" s="188" customFormat="1" ht="47.25" x14ac:dyDescent="0.25">
      <c r="A752" s="278" t="s">
        <v>43</v>
      </c>
      <c r="B752" s="1" t="s">
        <v>8</v>
      </c>
      <c r="C752" s="4" t="s">
        <v>23</v>
      </c>
      <c r="D752" s="326" t="s">
        <v>799</v>
      </c>
      <c r="E752" s="311">
        <v>100</v>
      </c>
      <c r="F752" s="168">
        <f>F753</f>
        <v>0</v>
      </c>
      <c r="G752" s="168"/>
      <c r="H752" s="168">
        <f t="shared" si="366"/>
        <v>963.8</v>
      </c>
      <c r="I752" s="168"/>
      <c r="J752" s="497">
        <f t="shared" si="366"/>
        <v>963.8</v>
      </c>
      <c r="K752" s="575">
        <f t="shared" si="353"/>
        <v>1</v>
      </c>
      <c r="L752" s="168"/>
      <c r="M752" s="580"/>
      <c r="N752" s="161"/>
    </row>
    <row r="753" spans="1:14" s="188" customFormat="1" x14ac:dyDescent="0.25">
      <c r="A753" s="278" t="s">
        <v>99</v>
      </c>
      <c r="B753" s="1" t="s">
        <v>8</v>
      </c>
      <c r="C753" s="4" t="s">
        <v>23</v>
      </c>
      <c r="D753" s="326" t="s">
        <v>799</v>
      </c>
      <c r="E753" s="311">
        <v>120</v>
      </c>
      <c r="F753" s="168">
        <f>'ведом. 2023-2025'!AD803</f>
        <v>0</v>
      </c>
      <c r="G753" s="327"/>
      <c r="H753" s="168">
        <f>'ведом. 2023-2025'!AE803</f>
        <v>963.8</v>
      </c>
      <c r="I753" s="168"/>
      <c r="J753" s="497">
        <f>'ведом. 2023-2025'!AF803</f>
        <v>963.8</v>
      </c>
      <c r="K753" s="575">
        <f t="shared" si="353"/>
        <v>1</v>
      </c>
      <c r="L753" s="168"/>
      <c r="M753" s="580"/>
      <c r="N753" s="161"/>
    </row>
    <row r="754" spans="1:14" s="141" customFormat="1" x14ac:dyDescent="0.25">
      <c r="A754" s="417" t="s">
        <v>22</v>
      </c>
      <c r="B754" s="211" t="s">
        <v>17</v>
      </c>
      <c r="C754" s="206"/>
      <c r="D754" s="305"/>
      <c r="E754" s="363"/>
      <c r="F754" s="170">
        <f>F755</f>
        <v>140942.99999999997</v>
      </c>
      <c r="G754" s="373">
        <f t="shared" ref="G754:J754" si="367">G755</f>
        <v>8753.5</v>
      </c>
      <c r="H754" s="170">
        <f>H755</f>
        <v>140942.99999999997</v>
      </c>
      <c r="I754" s="373">
        <f t="shared" si="367"/>
        <v>8753.5</v>
      </c>
      <c r="J754" s="505">
        <f t="shared" si="367"/>
        <v>140686.5</v>
      </c>
      <c r="K754" s="574">
        <f t="shared" si="353"/>
        <v>0.99818011536578632</v>
      </c>
      <c r="L754" s="170">
        <f>L755</f>
        <v>8753.5</v>
      </c>
      <c r="M754" s="581">
        <f t="shared" si="356"/>
        <v>1</v>
      </c>
      <c r="N754" s="548"/>
    </row>
    <row r="755" spans="1:14" s="145" customFormat="1" x14ac:dyDescent="0.25">
      <c r="A755" s="401" t="s">
        <v>66</v>
      </c>
      <c r="B755" s="209" t="s">
        <v>17</v>
      </c>
      <c r="C755" s="4" t="s">
        <v>31</v>
      </c>
      <c r="D755" s="33"/>
      <c r="E755" s="352"/>
      <c r="F755" s="168">
        <f>F756+F816+F805</f>
        <v>140942.99999999997</v>
      </c>
      <c r="G755" s="168">
        <f>G756+G816+G805</f>
        <v>8753.5</v>
      </c>
      <c r="H755" s="168">
        <f>H756+H816+H805</f>
        <v>140942.99999999997</v>
      </c>
      <c r="I755" s="168">
        <f>I756+I816+I805</f>
        <v>8753.5</v>
      </c>
      <c r="J755" s="497">
        <f>J756+J816+J805</f>
        <v>140686.5</v>
      </c>
      <c r="K755" s="575">
        <f t="shared" si="353"/>
        <v>0.99818011536578632</v>
      </c>
      <c r="L755" s="168">
        <f>L756+L816+L805</f>
        <v>8753.5</v>
      </c>
      <c r="M755" s="580">
        <f t="shared" si="356"/>
        <v>1</v>
      </c>
      <c r="N755" s="161"/>
    </row>
    <row r="756" spans="1:14" s="145" customFormat="1" x14ac:dyDescent="0.25">
      <c r="A756" s="280" t="s">
        <v>661</v>
      </c>
      <c r="B756" s="209" t="s">
        <v>17</v>
      </c>
      <c r="C756" s="4" t="s">
        <v>31</v>
      </c>
      <c r="D756" s="163" t="s">
        <v>117</v>
      </c>
      <c r="E756" s="351"/>
      <c r="F756" s="168">
        <f>F757+F765+F779</f>
        <v>130226.29999999999</v>
      </c>
      <c r="G756" s="168">
        <f t="shared" ref="G756:J756" si="368">G757+G765+G779</f>
        <v>8753.5</v>
      </c>
      <c r="H756" s="168">
        <f t="shared" si="368"/>
        <v>130226.29999999999</v>
      </c>
      <c r="I756" s="168">
        <f t="shared" si="368"/>
        <v>8753.5</v>
      </c>
      <c r="J756" s="497">
        <f t="shared" si="368"/>
        <v>129982.2</v>
      </c>
      <c r="K756" s="575">
        <f t="shared" si="353"/>
        <v>0.99812557064126073</v>
      </c>
      <c r="L756" s="168">
        <f>L757+L765+L779</f>
        <v>8753.5</v>
      </c>
      <c r="M756" s="580">
        <f t="shared" si="356"/>
        <v>1</v>
      </c>
      <c r="N756" s="161"/>
    </row>
    <row r="757" spans="1:14" s="145" customFormat="1" x14ac:dyDescent="0.25">
      <c r="A757" s="280" t="s">
        <v>562</v>
      </c>
      <c r="B757" s="209" t="s">
        <v>17</v>
      </c>
      <c r="C757" s="4" t="s">
        <v>31</v>
      </c>
      <c r="D757" s="163" t="s">
        <v>331</v>
      </c>
      <c r="E757" s="351"/>
      <c r="F757" s="168">
        <f>F758</f>
        <v>21780.100000000002</v>
      </c>
      <c r="G757" s="168">
        <f t="shared" ref="G757:J757" si="369">G758</f>
        <v>1623</v>
      </c>
      <c r="H757" s="168">
        <f>H758</f>
        <v>21780.100000000002</v>
      </c>
      <c r="I757" s="168">
        <f t="shared" si="369"/>
        <v>1623</v>
      </c>
      <c r="J757" s="497">
        <f t="shared" si="369"/>
        <v>21780.1</v>
      </c>
      <c r="K757" s="575">
        <f t="shared" si="353"/>
        <v>0.99999999999999978</v>
      </c>
      <c r="L757" s="168">
        <f>L758</f>
        <v>1623</v>
      </c>
      <c r="M757" s="580">
        <f t="shared" si="356"/>
        <v>1</v>
      </c>
      <c r="N757" s="161"/>
    </row>
    <row r="758" spans="1:14" s="145" customFormat="1" x14ac:dyDescent="0.25">
      <c r="A758" s="280" t="s">
        <v>332</v>
      </c>
      <c r="B758" s="209" t="s">
        <v>17</v>
      </c>
      <c r="C758" s="4" t="s">
        <v>31</v>
      </c>
      <c r="D758" s="163" t="s">
        <v>333</v>
      </c>
      <c r="E758" s="351"/>
      <c r="F758" s="168">
        <f>F759+F762</f>
        <v>21780.100000000002</v>
      </c>
      <c r="G758" s="168">
        <f t="shared" ref="G758:J758" si="370">G759+G762</f>
        <v>1623</v>
      </c>
      <c r="H758" s="168">
        <f>H759+H762</f>
        <v>21780.100000000002</v>
      </c>
      <c r="I758" s="168">
        <f t="shared" ref="I758" si="371">I759+I762</f>
        <v>1623</v>
      </c>
      <c r="J758" s="497">
        <f t="shared" si="370"/>
        <v>21780.1</v>
      </c>
      <c r="K758" s="575">
        <f t="shared" si="353"/>
        <v>0.99999999999999978</v>
      </c>
      <c r="L758" s="168">
        <f>L759+L762</f>
        <v>1623</v>
      </c>
      <c r="M758" s="580">
        <f t="shared" si="356"/>
        <v>1</v>
      </c>
      <c r="N758" s="161"/>
    </row>
    <row r="759" spans="1:14" s="145" customFormat="1" ht="31.5" x14ac:dyDescent="0.25">
      <c r="A759" s="404" t="s">
        <v>266</v>
      </c>
      <c r="B759" s="209" t="s">
        <v>17</v>
      </c>
      <c r="C759" s="4" t="s">
        <v>31</v>
      </c>
      <c r="D759" s="163" t="s">
        <v>267</v>
      </c>
      <c r="E759" s="351"/>
      <c r="F759" s="168">
        <f>F760</f>
        <v>20157.100000000002</v>
      </c>
      <c r="G759" s="168"/>
      <c r="H759" s="168">
        <f>H760</f>
        <v>20157.100000000002</v>
      </c>
      <c r="I759" s="168"/>
      <c r="J759" s="497">
        <f t="shared" ref="J759" si="372">J760</f>
        <v>20157.099999999999</v>
      </c>
      <c r="K759" s="575">
        <f t="shared" si="353"/>
        <v>0.99999999999999978</v>
      </c>
      <c r="L759" s="168"/>
      <c r="M759" s="580"/>
      <c r="N759" s="161"/>
    </row>
    <row r="760" spans="1:14" s="145" customFormat="1" ht="31.5" x14ac:dyDescent="0.25">
      <c r="A760" s="401" t="s">
        <v>62</v>
      </c>
      <c r="B760" s="209" t="s">
        <v>17</v>
      </c>
      <c r="C760" s="4" t="s">
        <v>31</v>
      </c>
      <c r="D760" s="163" t="s">
        <v>267</v>
      </c>
      <c r="E760" s="352">
        <v>600</v>
      </c>
      <c r="F760" s="168">
        <f>F761</f>
        <v>20157.100000000002</v>
      </c>
      <c r="G760" s="327"/>
      <c r="H760" s="168">
        <f>H761</f>
        <v>20157.100000000002</v>
      </c>
      <c r="I760" s="327"/>
      <c r="J760" s="497">
        <f>J761</f>
        <v>20157.099999999999</v>
      </c>
      <c r="K760" s="575">
        <f t="shared" si="353"/>
        <v>0.99999999999999978</v>
      </c>
      <c r="L760" s="168"/>
      <c r="M760" s="580"/>
      <c r="N760" s="161"/>
    </row>
    <row r="761" spans="1:14" s="145" customFormat="1" x14ac:dyDescent="0.25">
      <c r="A761" s="401" t="s">
        <v>63</v>
      </c>
      <c r="B761" s="209" t="s">
        <v>17</v>
      </c>
      <c r="C761" s="4" t="s">
        <v>31</v>
      </c>
      <c r="D761" s="163" t="s">
        <v>267</v>
      </c>
      <c r="E761" s="352">
        <v>610</v>
      </c>
      <c r="F761" s="168">
        <f>'ведом. 2023-2025'!AD399</f>
        <v>20157.100000000002</v>
      </c>
      <c r="G761" s="327"/>
      <c r="H761" s="168">
        <f>'ведом. 2023-2025'!AE399</f>
        <v>20157.100000000002</v>
      </c>
      <c r="I761" s="327"/>
      <c r="J761" s="497">
        <f>'ведом. 2023-2025'!AF399</f>
        <v>20157.099999999999</v>
      </c>
      <c r="K761" s="575">
        <f t="shared" si="353"/>
        <v>0.99999999999999978</v>
      </c>
      <c r="L761" s="168"/>
      <c r="M761" s="580"/>
      <c r="N761" s="161"/>
    </row>
    <row r="762" spans="1:14" s="188" customFormat="1" ht="31.5" x14ac:dyDescent="0.25">
      <c r="A762" s="278" t="s">
        <v>763</v>
      </c>
      <c r="B762" s="1" t="s">
        <v>17</v>
      </c>
      <c r="C762" s="4" t="s">
        <v>31</v>
      </c>
      <c r="D762" s="326" t="s">
        <v>779</v>
      </c>
      <c r="E762" s="309"/>
      <c r="F762" s="168">
        <f>F763</f>
        <v>1623</v>
      </c>
      <c r="G762" s="168">
        <f t="shared" ref="G762:J763" si="373">G763</f>
        <v>1623</v>
      </c>
      <c r="H762" s="168">
        <f>H763</f>
        <v>1623</v>
      </c>
      <c r="I762" s="168">
        <f t="shared" si="373"/>
        <v>1623</v>
      </c>
      <c r="J762" s="497">
        <f t="shared" si="373"/>
        <v>1623</v>
      </c>
      <c r="K762" s="575">
        <f t="shared" si="353"/>
        <v>1</v>
      </c>
      <c r="L762" s="168">
        <f>L763</f>
        <v>1623</v>
      </c>
      <c r="M762" s="580">
        <f t="shared" si="356"/>
        <v>1</v>
      </c>
      <c r="N762" s="161"/>
    </row>
    <row r="763" spans="1:14" s="188" customFormat="1" ht="31.5" x14ac:dyDescent="0.25">
      <c r="A763" s="278" t="s">
        <v>62</v>
      </c>
      <c r="B763" s="1" t="s">
        <v>17</v>
      </c>
      <c r="C763" s="4" t="s">
        <v>31</v>
      </c>
      <c r="D763" s="326" t="s">
        <v>779</v>
      </c>
      <c r="E763" s="309">
        <v>600</v>
      </c>
      <c r="F763" s="168">
        <f>F764</f>
        <v>1623</v>
      </c>
      <c r="G763" s="168">
        <f t="shared" ref="G763:I763" si="374">G764</f>
        <v>1623</v>
      </c>
      <c r="H763" s="168">
        <f>H764</f>
        <v>1623</v>
      </c>
      <c r="I763" s="168">
        <f t="shared" si="374"/>
        <v>1623</v>
      </c>
      <c r="J763" s="497">
        <f t="shared" si="373"/>
        <v>1623</v>
      </c>
      <c r="K763" s="575">
        <f t="shared" si="353"/>
        <v>1</v>
      </c>
      <c r="L763" s="168">
        <f>L764</f>
        <v>1623</v>
      </c>
      <c r="M763" s="580">
        <f t="shared" si="356"/>
        <v>1</v>
      </c>
      <c r="N763" s="161"/>
    </row>
    <row r="764" spans="1:14" s="188" customFormat="1" x14ac:dyDescent="0.25">
      <c r="A764" s="278" t="s">
        <v>63</v>
      </c>
      <c r="B764" s="1" t="s">
        <v>17</v>
      </c>
      <c r="C764" s="4" t="s">
        <v>31</v>
      </c>
      <c r="D764" s="326" t="s">
        <v>779</v>
      </c>
      <c r="E764" s="309">
        <v>610</v>
      </c>
      <c r="F764" s="168">
        <f>'ведом. 2023-2025'!AD402</f>
        <v>1623</v>
      </c>
      <c r="G764" s="327">
        <f>F764</f>
        <v>1623</v>
      </c>
      <c r="H764" s="168">
        <f>'ведом. 2023-2025'!AE402</f>
        <v>1623</v>
      </c>
      <c r="I764" s="327">
        <f>H764</f>
        <v>1623</v>
      </c>
      <c r="J764" s="497">
        <f>'ведом. 2023-2025'!AF402</f>
        <v>1623</v>
      </c>
      <c r="K764" s="575">
        <f t="shared" si="353"/>
        <v>1</v>
      </c>
      <c r="L764" s="168">
        <f>J764</f>
        <v>1623</v>
      </c>
      <c r="M764" s="580">
        <f t="shared" si="356"/>
        <v>1</v>
      </c>
      <c r="N764" s="161"/>
    </row>
    <row r="765" spans="1:14" s="145" customFormat="1" x14ac:dyDescent="0.25">
      <c r="A765" s="295" t="s">
        <v>570</v>
      </c>
      <c r="B765" s="209" t="s">
        <v>17</v>
      </c>
      <c r="C765" s="4" t="s">
        <v>31</v>
      </c>
      <c r="D765" s="163" t="s">
        <v>143</v>
      </c>
      <c r="E765" s="362"/>
      <c r="F765" s="168">
        <f>F766</f>
        <v>32488.799999999999</v>
      </c>
      <c r="G765" s="327">
        <f t="shared" ref="G765:J765" si="375">G766</f>
        <v>2861.5</v>
      </c>
      <c r="H765" s="168">
        <f>H766</f>
        <v>32488.799999999999</v>
      </c>
      <c r="I765" s="327">
        <f t="shared" si="375"/>
        <v>2861.5</v>
      </c>
      <c r="J765" s="497">
        <f t="shared" si="375"/>
        <v>32488.799999999999</v>
      </c>
      <c r="K765" s="575">
        <f t="shared" si="353"/>
        <v>1</v>
      </c>
      <c r="L765" s="168">
        <f>L766</f>
        <v>2861.5</v>
      </c>
      <c r="M765" s="580">
        <f t="shared" si="356"/>
        <v>1</v>
      </c>
      <c r="N765" s="161"/>
    </row>
    <row r="766" spans="1:14" s="145" customFormat="1" ht="31.5" x14ac:dyDescent="0.25">
      <c r="A766" s="280" t="s">
        <v>268</v>
      </c>
      <c r="B766" s="209" t="s">
        <v>17</v>
      </c>
      <c r="C766" s="4" t="s">
        <v>31</v>
      </c>
      <c r="D766" s="163" t="s">
        <v>144</v>
      </c>
      <c r="E766" s="352"/>
      <c r="F766" s="168">
        <f>F767+F770+F776+F773</f>
        <v>32488.799999999999</v>
      </c>
      <c r="G766" s="168">
        <f t="shared" ref="G766:J766" si="376">G767+G770+G776+G773</f>
        <v>2861.5</v>
      </c>
      <c r="H766" s="168">
        <f>H767+H770+H776+H773</f>
        <v>32488.799999999999</v>
      </c>
      <c r="I766" s="168">
        <f t="shared" ref="I766" si="377">I767+I770+I776+I773</f>
        <v>2861.5</v>
      </c>
      <c r="J766" s="497">
        <f t="shared" si="376"/>
        <v>32488.799999999999</v>
      </c>
      <c r="K766" s="575">
        <f t="shared" si="353"/>
        <v>1</v>
      </c>
      <c r="L766" s="168">
        <f>L767+L770+L776+L773</f>
        <v>2861.5</v>
      </c>
      <c r="M766" s="580">
        <f t="shared" si="356"/>
        <v>1</v>
      </c>
      <c r="N766" s="161"/>
    </row>
    <row r="767" spans="1:14" s="145" customFormat="1" ht="31.5" x14ac:dyDescent="0.25">
      <c r="A767" s="404" t="s">
        <v>269</v>
      </c>
      <c r="B767" s="209" t="s">
        <v>17</v>
      </c>
      <c r="C767" s="4" t="s">
        <v>31</v>
      </c>
      <c r="D767" s="163" t="s">
        <v>270</v>
      </c>
      <c r="E767" s="352"/>
      <c r="F767" s="168">
        <f>F768</f>
        <v>1000</v>
      </c>
      <c r="G767" s="327"/>
      <c r="H767" s="168">
        <f>H768</f>
        <v>1000</v>
      </c>
      <c r="I767" s="168"/>
      <c r="J767" s="497">
        <f>J768</f>
        <v>1000</v>
      </c>
      <c r="K767" s="575">
        <f t="shared" si="353"/>
        <v>1</v>
      </c>
      <c r="L767" s="168"/>
      <c r="M767" s="580"/>
      <c r="N767" s="161"/>
    </row>
    <row r="768" spans="1:14" s="145" customFormat="1" ht="31.5" x14ac:dyDescent="0.25">
      <c r="A768" s="401" t="s">
        <v>62</v>
      </c>
      <c r="B768" s="209" t="s">
        <v>17</v>
      </c>
      <c r="C768" s="4" t="s">
        <v>31</v>
      </c>
      <c r="D768" s="163" t="s">
        <v>270</v>
      </c>
      <c r="E768" s="352">
        <v>600</v>
      </c>
      <c r="F768" s="168">
        <f>F769</f>
        <v>1000</v>
      </c>
      <c r="G768" s="327"/>
      <c r="H768" s="168">
        <f>H769</f>
        <v>1000</v>
      </c>
      <c r="I768" s="168"/>
      <c r="J768" s="497">
        <f>J769</f>
        <v>1000</v>
      </c>
      <c r="K768" s="575">
        <f t="shared" si="353"/>
        <v>1</v>
      </c>
      <c r="L768" s="168"/>
      <c r="M768" s="580"/>
      <c r="N768" s="161"/>
    </row>
    <row r="769" spans="1:14" s="145" customFormat="1" x14ac:dyDescent="0.25">
      <c r="A769" s="401" t="s">
        <v>63</v>
      </c>
      <c r="B769" s="209" t="s">
        <v>17</v>
      </c>
      <c r="C769" s="4" t="s">
        <v>31</v>
      </c>
      <c r="D769" s="163" t="s">
        <v>270</v>
      </c>
      <c r="E769" s="352">
        <v>610</v>
      </c>
      <c r="F769" s="168">
        <f>'ведом. 2023-2025'!AD407</f>
        <v>1000</v>
      </c>
      <c r="G769" s="327"/>
      <c r="H769" s="168">
        <f>'ведом. 2023-2025'!AE407</f>
        <v>1000</v>
      </c>
      <c r="I769" s="168"/>
      <c r="J769" s="497">
        <f>'ведом. 2023-2025'!AF407</f>
        <v>1000</v>
      </c>
      <c r="K769" s="575">
        <f t="shared" si="353"/>
        <v>1</v>
      </c>
      <c r="L769" s="168"/>
      <c r="M769" s="580"/>
      <c r="N769" s="161"/>
    </row>
    <row r="770" spans="1:14" s="145" customFormat="1" ht="31.5" x14ac:dyDescent="0.25">
      <c r="A770" s="401" t="s">
        <v>271</v>
      </c>
      <c r="B770" s="209" t="s">
        <v>17</v>
      </c>
      <c r="C770" s="4" t="s">
        <v>31</v>
      </c>
      <c r="D770" s="163" t="s">
        <v>272</v>
      </c>
      <c r="E770" s="352"/>
      <c r="F770" s="168">
        <f>F771</f>
        <v>28565.599999999999</v>
      </c>
      <c r="G770" s="327"/>
      <c r="H770" s="168">
        <f>H771</f>
        <v>28565.599999999999</v>
      </c>
      <c r="I770" s="168"/>
      <c r="J770" s="497">
        <f>J771</f>
        <v>28565.599999999999</v>
      </c>
      <c r="K770" s="575">
        <f t="shared" si="353"/>
        <v>1</v>
      </c>
      <c r="L770" s="168"/>
      <c r="M770" s="580"/>
      <c r="N770" s="161"/>
    </row>
    <row r="771" spans="1:14" s="145" customFormat="1" ht="31.5" x14ac:dyDescent="0.25">
      <c r="A771" s="401" t="s">
        <v>62</v>
      </c>
      <c r="B771" s="209" t="s">
        <v>17</v>
      </c>
      <c r="C771" s="4" t="s">
        <v>31</v>
      </c>
      <c r="D771" s="163" t="s">
        <v>272</v>
      </c>
      <c r="E771" s="352">
        <v>600</v>
      </c>
      <c r="F771" s="168">
        <f>F772</f>
        <v>28565.599999999999</v>
      </c>
      <c r="G771" s="327"/>
      <c r="H771" s="168">
        <f>H772</f>
        <v>28565.599999999999</v>
      </c>
      <c r="I771" s="168"/>
      <c r="J771" s="497">
        <f>J772</f>
        <v>28565.599999999999</v>
      </c>
      <c r="K771" s="575">
        <f t="shared" si="353"/>
        <v>1</v>
      </c>
      <c r="L771" s="168"/>
      <c r="M771" s="580"/>
      <c r="N771" s="161"/>
    </row>
    <row r="772" spans="1:14" s="145" customFormat="1" x14ac:dyDescent="0.25">
      <c r="A772" s="401" t="s">
        <v>63</v>
      </c>
      <c r="B772" s="209" t="s">
        <v>17</v>
      </c>
      <c r="C772" s="4" t="s">
        <v>31</v>
      </c>
      <c r="D772" s="163" t="s">
        <v>272</v>
      </c>
      <c r="E772" s="352">
        <v>610</v>
      </c>
      <c r="F772" s="168">
        <f>'ведом. 2023-2025'!AD410</f>
        <v>28565.599999999999</v>
      </c>
      <c r="G772" s="327"/>
      <c r="H772" s="168">
        <f>'ведом. 2023-2025'!AE410</f>
        <v>28565.599999999999</v>
      </c>
      <c r="I772" s="168"/>
      <c r="J772" s="497">
        <f>'ведом. 2023-2025'!AF410</f>
        <v>28565.599999999999</v>
      </c>
      <c r="K772" s="575">
        <f t="shared" si="353"/>
        <v>1</v>
      </c>
      <c r="L772" s="168"/>
      <c r="M772" s="580"/>
      <c r="N772" s="161"/>
    </row>
    <row r="773" spans="1:14" s="188" customFormat="1" ht="31.5" x14ac:dyDescent="0.25">
      <c r="A773" s="278" t="s">
        <v>763</v>
      </c>
      <c r="B773" s="1" t="s">
        <v>17</v>
      </c>
      <c r="C773" s="4" t="s">
        <v>31</v>
      </c>
      <c r="D773" s="326" t="s">
        <v>780</v>
      </c>
      <c r="E773" s="309"/>
      <c r="F773" s="168">
        <f t="shared" ref="F773:I774" si="378">F774</f>
        <v>2556</v>
      </c>
      <c r="G773" s="168">
        <f t="shared" si="378"/>
        <v>2556</v>
      </c>
      <c r="H773" s="168">
        <f t="shared" si="378"/>
        <v>2556</v>
      </c>
      <c r="I773" s="168">
        <f t="shared" si="378"/>
        <v>2556</v>
      </c>
      <c r="J773" s="497">
        <f t="shared" ref="J773" si="379">J774</f>
        <v>2556</v>
      </c>
      <c r="K773" s="575">
        <f t="shared" si="353"/>
        <v>1</v>
      </c>
      <c r="L773" s="168">
        <f>L774</f>
        <v>2556</v>
      </c>
      <c r="M773" s="580">
        <f t="shared" si="356"/>
        <v>1</v>
      </c>
      <c r="N773" s="161"/>
    </row>
    <row r="774" spans="1:14" s="188" customFormat="1" ht="31.5" x14ac:dyDescent="0.25">
      <c r="A774" s="278" t="s">
        <v>62</v>
      </c>
      <c r="B774" s="1" t="s">
        <v>17</v>
      </c>
      <c r="C774" s="4" t="s">
        <v>31</v>
      </c>
      <c r="D774" s="326" t="s">
        <v>780</v>
      </c>
      <c r="E774" s="309">
        <v>600</v>
      </c>
      <c r="F774" s="168">
        <f t="shared" si="378"/>
        <v>2556</v>
      </c>
      <c r="G774" s="168">
        <f t="shared" si="378"/>
        <v>2556</v>
      </c>
      <c r="H774" s="168">
        <f t="shared" si="378"/>
        <v>2556</v>
      </c>
      <c r="I774" s="168">
        <f t="shared" si="378"/>
        <v>2556</v>
      </c>
      <c r="J774" s="497">
        <f t="shared" ref="J774" si="380">J775</f>
        <v>2556</v>
      </c>
      <c r="K774" s="575">
        <f t="shared" si="353"/>
        <v>1</v>
      </c>
      <c r="L774" s="168">
        <f>L775</f>
        <v>2556</v>
      </c>
      <c r="M774" s="580">
        <f t="shared" si="356"/>
        <v>1</v>
      </c>
      <c r="N774" s="161"/>
    </row>
    <row r="775" spans="1:14" s="188" customFormat="1" x14ac:dyDescent="0.25">
      <c r="A775" s="278" t="s">
        <v>63</v>
      </c>
      <c r="B775" s="1" t="s">
        <v>17</v>
      </c>
      <c r="C775" s="4" t="s">
        <v>31</v>
      </c>
      <c r="D775" s="326" t="s">
        <v>780</v>
      </c>
      <c r="E775" s="309">
        <v>610</v>
      </c>
      <c r="F775" s="168">
        <f>'ведом. 2023-2025'!AD413</f>
        <v>2556</v>
      </c>
      <c r="G775" s="327">
        <f>F775</f>
        <v>2556</v>
      </c>
      <c r="H775" s="168">
        <f>'ведом. 2023-2025'!AE413</f>
        <v>2556</v>
      </c>
      <c r="I775" s="327">
        <f>H775</f>
        <v>2556</v>
      </c>
      <c r="J775" s="497">
        <f>'ведом. 2023-2025'!AF413</f>
        <v>2556</v>
      </c>
      <c r="K775" s="575">
        <f t="shared" si="353"/>
        <v>1</v>
      </c>
      <c r="L775" s="168">
        <f>J775</f>
        <v>2556</v>
      </c>
      <c r="M775" s="580">
        <f t="shared" si="356"/>
        <v>1</v>
      </c>
      <c r="N775" s="161"/>
    </row>
    <row r="776" spans="1:14" s="188" customFormat="1" ht="31.5" x14ac:dyDescent="0.25">
      <c r="A776" s="401" t="s">
        <v>573</v>
      </c>
      <c r="B776" s="209" t="s">
        <v>17</v>
      </c>
      <c r="C776" s="4" t="s">
        <v>31</v>
      </c>
      <c r="D776" s="163" t="s">
        <v>441</v>
      </c>
      <c r="E776" s="352"/>
      <c r="F776" s="168">
        <f>F777</f>
        <v>367.2</v>
      </c>
      <c r="G776" s="327">
        <f t="shared" ref="G776:J776" si="381">G777</f>
        <v>305.5</v>
      </c>
      <c r="H776" s="168">
        <f>H777</f>
        <v>367.2</v>
      </c>
      <c r="I776" s="327">
        <f t="shared" si="381"/>
        <v>305.5</v>
      </c>
      <c r="J776" s="509">
        <f t="shared" si="381"/>
        <v>367.2</v>
      </c>
      <c r="K776" s="575">
        <f t="shared" si="353"/>
        <v>1</v>
      </c>
      <c r="L776" s="168">
        <f>L777</f>
        <v>305.5</v>
      </c>
      <c r="M776" s="580">
        <f t="shared" si="356"/>
        <v>1</v>
      </c>
      <c r="N776" s="161"/>
    </row>
    <row r="777" spans="1:14" s="188" customFormat="1" ht="31.5" x14ac:dyDescent="0.25">
      <c r="A777" s="401" t="s">
        <v>62</v>
      </c>
      <c r="B777" s="209" t="s">
        <v>17</v>
      </c>
      <c r="C777" s="4" t="s">
        <v>31</v>
      </c>
      <c r="D777" s="163" t="s">
        <v>441</v>
      </c>
      <c r="E777" s="352">
        <v>600</v>
      </c>
      <c r="F777" s="168">
        <f>F778</f>
        <v>367.2</v>
      </c>
      <c r="G777" s="327">
        <f t="shared" ref="G777:J777" si="382">G778</f>
        <v>305.5</v>
      </c>
      <c r="H777" s="168">
        <f>H778</f>
        <v>367.2</v>
      </c>
      <c r="I777" s="327">
        <f t="shared" si="382"/>
        <v>305.5</v>
      </c>
      <c r="J777" s="509">
        <f t="shared" si="382"/>
        <v>367.2</v>
      </c>
      <c r="K777" s="575">
        <f t="shared" si="353"/>
        <v>1</v>
      </c>
      <c r="L777" s="168">
        <f>L778</f>
        <v>305.5</v>
      </c>
      <c r="M777" s="580">
        <f t="shared" si="356"/>
        <v>1</v>
      </c>
      <c r="N777" s="161"/>
    </row>
    <row r="778" spans="1:14" s="188" customFormat="1" x14ac:dyDescent="0.25">
      <c r="A778" s="401" t="s">
        <v>63</v>
      </c>
      <c r="B778" s="209" t="s">
        <v>17</v>
      </c>
      <c r="C778" s="4" t="s">
        <v>31</v>
      </c>
      <c r="D778" s="163" t="s">
        <v>441</v>
      </c>
      <c r="E778" s="352">
        <v>610</v>
      </c>
      <c r="F778" s="168">
        <f>'ведом. 2023-2025'!AD416</f>
        <v>367.2</v>
      </c>
      <c r="G778" s="327">
        <v>305.5</v>
      </c>
      <c r="H778" s="168">
        <f>'ведом. 2023-2025'!AE416</f>
        <v>367.2</v>
      </c>
      <c r="I778" s="327">
        <v>305.5</v>
      </c>
      <c r="J778" s="509">
        <f>'ведом. 2023-2025'!AF416</f>
        <v>367.2</v>
      </c>
      <c r="K778" s="575">
        <f t="shared" si="353"/>
        <v>1</v>
      </c>
      <c r="L778" s="168">
        <v>305.5</v>
      </c>
      <c r="M778" s="580">
        <f t="shared" si="356"/>
        <v>1</v>
      </c>
      <c r="N778" s="161"/>
    </row>
    <row r="779" spans="1:14" s="145" customFormat="1" ht="31.5" x14ac:dyDescent="0.25">
      <c r="A779" s="280" t="s">
        <v>564</v>
      </c>
      <c r="B779" s="209" t="s">
        <v>17</v>
      </c>
      <c r="C779" s="4" t="s">
        <v>31</v>
      </c>
      <c r="D779" s="163" t="s">
        <v>273</v>
      </c>
      <c r="E779" s="352"/>
      <c r="F779" s="168">
        <f>F780+F797+F801</f>
        <v>75957.399999999994</v>
      </c>
      <c r="G779" s="168">
        <f t="shared" ref="G779:L779" si="383">G780+G797+G801</f>
        <v>4269</v>
      </c>
      <c r="H779" s="168">
        <f>H780+H797+H801</f>
        <v>75957.399999999994</v>
      </c>
      <c r="I779" s="168">
        <f t="shared" ref="I779" si="384">I780+I797+I801</f>
        <v>4269</v>
      </c>
      <c r="J779" s="497">
        <f t="shared" si="383"/>
        <v>75713.3</v>
      </c>
      <c r="K779" s="575">
        <f t="shared" si="353"/>
        <v>0.99678635656302095</v>
      </c>
      <c r="L779" s="168">
        <f t="shared" si="383"/>
        <v>4269</v>
      </c>
      <c r="M779" s="580">
        <f t="shared" si="356"/>
        <v>1</v>
      </c>
      <c r="N779" s="161"/>
    </row>
    <row r="780" spans="1:14" s="145" customFormat="1" x14ac:dyDescent="0.25">
      <c r="A780" s="280" t="s">
        <v>380</v>
      </c>
      <c r="B780" s="209" t="s">
        <v>17</v>
      </c>
      <c r="C780" s="4" t="s">
        <v>31</v>
      </c>
      <c r="D780" s="163" t="s">
        <v>565</v>
      </c>
      <c r="E780" s="352"/>
      <c r="F780" s="168">
        <f>F781+F790</f>
        <v>69965.899999999994</v>
      </c>
      <c r="G780" s="168"/>
      <c r="H780" s="168">
        <f>H781+H790</f>
        <v>69965.899999999994</v>
      </c>
      <c r="I780" s="168"/>
      <c r="J780" s="497">
        <f t="shared" ref="J780" si="385">J781+J790</f>
        <v>69721.8</v>
      </c>
      <c r="K780" s="575">
        <f t="shared" si="353"/>
        <v>0.99651115757819175</v>
      </c>
      <c r="L780" s="168"/>
      <c r="M780" s="580"/>
      <c r="N780" s="161"/>
    </row>
    <row r="781" spans="1:14" s="145" customFormat="1" x14ac:dyDescent="0.25">
      <c r="A781" s="404" t="s">
        <v>274</v>
      </c>
      <c r="B781" s="209" t="s">
        <v>17</v>
      </c>
      <c r="C781" s="4" t="s">
        <v>31</v>
      </c>
      <c r="D781" s="163" t="s">
        <v>646</v>
      </c>
      <c r="E781" s="352"/>
      <c r="F781" s="168">
        <f>F782+F787</f>
        <v>9328</v>
      </c>
      <c r="G781" s="327"/>
      <c r="H781" s="168">
        <f>H782+H787</f>
        <v>9328</v>
      </c>
      <c r="I781" s="168"/>
      <c r="J781" s="497">
        <f>J782+J787</f>
        <v>9083.9</v>
      </c>
      <c r="K781" s="575">
        <f t="shared" si="353"/>
        <v>0.97383147512864487</v>
      </c>
      <c r="L781" s="168"/>
      <c r="M781" s="580"/>
      <c r="N781" s="161"/>
    </row>
    <row r="782" spans="1:14" s="145" customFormat="1" ht="31.5" x14ac:dyDescent="0.25">
      <c r="A782" s="401" t="s">
        <v>275</v>
      </c>
      <c r="B782" s="209" t="s">
        <v>17</v>
      </c>
      <c r="C782" s="4" t="s">
        <v>31</v>
      </c>
      <c r="D782" s="163" t="s">
        <v>647</v>
      </c>
      <c r="E782" s="352"/>
      <c r="F782" s="168">
        <f>F785+F783</f>
        <v>8893</v>
      </c>
      <c r="G782" s="327"/>
      <c r="H782" s="168">
        <f>H785+H783</f>
        <v>8893</v>
      </c>
      <c r="I782" s="168"/>
      <c r="J782" s="497">
        <f>J785+J783</f>
        <v>8650.9</v>
      </c>
      <c r="K782" s="575">
        <f t="shared" si="353"/>
        <v>0.97277634094231413</v>
      </c>
      <c r="L782" s="168"/>
      <c r="M782" s="580"/>
      <c r="N782" s="161"/>
    </row>
    <row r="783" spans="1:14" s="188" customFormat="1" x14ac:dyDescent="0.25">
      <c r="A783" s="401" t="s">
        <v>123</v>
      </c>
      <c r="B783" s="209" t="s">
        <v>17</v>
      </c>
      <c r="C783" s="4" t="s">
        <v>31</v>
      </c>
      <c r="D783" s="163" t="s">
        <v>647</v>
      </c>
      <c r="E783" s="352">
        <v>200</v>
      </c>
      <c r="F783" s="168">
        <f>F784</f>
        <v>1100</v>
      </c>
      <c r="G783" s="327"/>
      <c r="H783" s="168">
        <f>H784</f>
        <v>1100</v>
      </c>
      <c r="I783" s="168"/>
      <c r="J783" s="497">
        <f>J784</f>
        <v>1100</v>
      </c>
      <c r="K783" s="575">
        <f t="shared" si="353"/>
        <v>1</v>
      </c>
      <c r="L783" s="168"/>
      <c r="M783" s="580"/>
      <c r="N783" s="161"/>
    </row>
    <row r="784" spans="1:14" s="188" customFormat="1" ht="31.5" x14ac:dyDescent="0.25">
      <c r="A784" s="401" t="s">
        <v>54</v>
      </c>
      <c r="B784" s="209" t="s">
        <v>17</v>
      </c>
      <c r="C784" s="4" t="s">
        <v>31</v>
      </c>
      <c r="D784" s="163" t="s">
        <v>647</v>
      </c>
      <c r="E784" s="352">
        <v>240</v>
      </c>
      <c r="F784" s="168">
        <f>'ведом. 2023-2025'!AD422</f>
        <v>1100</v>
      </c>
      <c r="G784" s="327"/>
      <c r="H784" s="168">
        <f>'ведом. 2023-2025'!AE422</f>
        <v>1100</v>
      </c>
      <c r="I784" s="168"/>
      <c r="J784" s="497">
        <f>'ведом. 2023-2025'!AF422</f>
        <v>1100</v>
      </c>
      <c r="K784" s="575">
        <f t="shared" ref="K784:K847" si="386">J784/H784</f>
        <v>1</v>
      </c>
      <c r="L784" s="168"/>
      <c r="M784" s="580"/>
      <c r="N784" s="161"/>
    </row>
    <row r="785" spans="1:14" s="145" customFormat="1" ht="31.5" x14ac:dyDescent="0.25">
      <c r="A785" s="401" t="s">
        <v>62</v>
      </c>
      <c r="B785" s="209" t="s">
        <v>17</v>
      </c>
      <c r="C785" s="4" t="s">
        <v>31</v>
      </c>
      <c r="D785" s="163" t="s">
        <v>647</v>
      </c>
      <c r="E785" s="352">
        <v>600</v>
      </c>
      <c r="F785" s="168">
        <f>F786</f>
        <v>7793</v>
      </c>
      <c r="G785" s="327"/>
      <c r="H785" s="168">
        <f>H786</f>
        <v>7793</v>
      </c>
      <c r="I785" s="168"/>
      <c r="J785" s="497">
        <f>J786</f>
        <v>7550.9</v>
      </c>
      <c r="K785" s="575">
        <f t="shared" si="386"/>
        <v>0.96893365841139478</v>
      </c>
      <c r="L785" s="168"/>
      <c r="M785" s="580"/>
      <c r="N785" s="161"/>
    </row>
    <row r="786" spans="1:14" s="145" customFormat="1" x14ac:dyDescent="0.25">
      <c r="A786" s="401" t="s">
        <v>63</v>
      </c>
      <c r="B786" s="209" t="s">
        <v>17</v>
      </c>
      <c r="C786" s="4" t="s">
        <v>31</v>
      </c>
      <c r="D786" s="163" t="s">
        <v>647</v>
      </c>
      <c r="E786" s="352">
        <v>610</v>
      </c>
      <c r="F786" s="168">
        <f>'ведом. 2023-2025'!AD424</f>
        <v>7793</v>
      </c>
      <c r="G786" s="327"/>
      <c r="H786" s="168">
        <f>'ведом. 2023-2025'!AE424</f>
        <v>7793</v>
      </c>
      <c r="I786" s="168"/>
      <c r="J786" s="497">
        <f>'ведом. 2023-2025'!AF424</f>
        <v>7550.9</v>
      </c>
      <c r="K786" s="575">
        <f t="shared" si="386"/>
        <v>0.96893365841139478</v>
      </c>
      <c r="L786" s="168"/>
      <c r="M786" s="580"/>
      <c r="N786" s="161"/>
    </row>
    <row r="787" spans="1:14" s="145" customFormat="1" ht="31.5" x14ac:dyDescent="0.25">
      <c r="A787" s="401" t="s">
        <v>276</v>
      </c>
      <c r="B787" s="209" t="s">
        <v>17</v>
      </c>
      <c r="C787" s="4" t="s">
        <v>31</v>
      </c>
      <c r="D787" s="163" t="s">
        <v>648</v>
      </c>
      <c r="E787" s="352"/>
      <c r="F787" s="168">
        <f>F788</f>
        <v>435</v>
      </c>
      <c r="G787" s="327"/>
      <c r="H787" s="168">
        <f>H788</f>
        <v>435</v>
      </c>
      <c r="I787" s="168"/>
      <c r="J787" s="497">
        <f>J788</f>
        <v>433</v>
      </c>
      <c r="K787" s="575">
        <f t="shared" si="386"/>
        <v>0.99540229885057474</v>
      </c>
      <c r="L787" s="168"/>
      <c r="M787" s="580"/>
      <c r="N787" s="161"/>
    </row>
    <row r="788" spans="1:14" s="145" customFormat="1" ht="31.5" x14ac:dyDescent="0.25">
      <c r="A788" s="401" t="s">
        <v>62</v>
      </c>
      <c r="B788" s="209" t="s">
        <v>17</v>
      </c>
      <c r="C788" s="4" t="s">
        <v>31</v>
      </c>
      <c r="D788" s="163" t="s">
        <v>648</v>
      </c>
      <c r="E788" s="352">
        <v>600</v>
      </c>
      <c r="F788" s="168">
        <f>F789</f>
        <v>435</v>
      </c>
      <c r="G788" s="327"/>
      <c r="H788" s="168">
        <f>H789</f>
        <v>435</v>
      </c>
      <c r="I788" s="168"/>
      <c r="J788" s="497">
        <f>J789</f>
        <v>433</v>
      </c>
      <c r="K788" s="575">
        <f t="shared" si="386"/>
        <v>0.99540229885057474</v>
      </c>
      <c r="L788" s="168"/>
      <c r="M788" s="580"/>
      <c r="N788" s="161"/>
    </row>
    <row r="789" spans="1:14" s="145" customFormat="1" x14ac:dyDescent="0.25">
      <c r="A789" s="401" t="s">
        <v>63</v>
      </c>
      <c r="B789" s="209" t="s">
        <v>17</v>
      </c>
      <c r="C789" s="4" t="s">
        <v>31</v>
      </c>
      <c r="D789" s="163" t="s">
        <v>648</v>
      </c>
      <c r="E789" s="352">
        <v>610</v>
      </c>
      <c r="F789" s="168">
        <f>'ведом. 2023-2025'!AD427</f>
        <v>435</v>
      </c>
      <c r="G789" s="327"/>
      <c r="H789" s="168">
        <f>'ведом. 2023-2025'!AE427</f>
        <v>435</v>
      </c>
      <c r="I789" s="168"/>
      <c r="J789" s="497">
        <f>'ведом. 2023-2025'!AF427</f>
        <v>433</v>
      </c>
      <c r="K789" s="575">
        <f t="shared" si="386"/>
        <v>0.99540229885057474</v>
      </c>
      <c r="L789" s="168"/>
      <c r="M789" s="580"/>
      <c r="N789" s="161"/>
    </row>
    <row r="790" spans="1:14" s="145" customFormat="1" ht="31.5" x14ac:dyDescent="0.25">
      <c r="A790" s="281" t="s">
        <v>381</v>
      </c>
      <c r="B790" s="209" t="s">
        <v>17</v>
      </c>
      <c r="C790" s="4" t="s">
        <v>31</v>
      </c>
      <c r="D790" s="163" t="s">
        <v>566</v>
      </c>
      <c r="E790" s="352"/>
      <c r="F790" s="168">
        <f>F791+F794</f>
        <v>60637.9</v>
      </c>
      <c r="G790" s="327"/>
      <c r="H790" s="168">
        <f>H791+H794</f>
        <v>60637.9</v>
      </c>
      <c r="I790" s="168"/>
      <c r="J790" s="497">
        <f>J791+J794</f>
        <v>60637.9</v>
      </c>
      <c r="K790" s="575">
        <f t="shared" si="386"/>
        <v>1</v>
      </c>
      <c r="L790" s="168"/>
      <c r="M790" s="580"/>
      <c r="N790" s="161"/>
    </row>
    <row r="791" spans="1:14" s="216" customFormat="1" ht="47.25" x14ac:dyDescent="0.25">
      <c r="A791" s="337" t="str">
        <f>'ведом. 2023-2025'!X429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791" s="218" t="str">
        <f>'ведом. 2023-2025'!Z429</f>
        <v>08</v>
      </c>
      <c r="C791" s="217" t="str">
        <f>'ведом. 2023-2025'!AA429</f>
        <v>01</v>
      </c>
      <c r="D791" s="163" t="s">
        <v>567</v>
      </c>
      <c r="E791" s="370"/>
      <c r="F791" s="168">
        <f t="shared" ref="F791:J792" si="387">F792</f>
        <v>30309.4</v>
      </c>
      <c r="G791" s="327"/>
      <c r="H791" s="168">
        <f t="shared" si="387"/>
        <v>30309.4</v>
      </c>
      <c r="I791" s="168"/>
      <c r="J791" s="497">
        <f t="shared" si="387"/>
        <v>30309.4</v>
      </c>
      <c r="K791" s="575">
        <f t="shared" si="386"/>
        <v>1</v>
      </c>
      <c r="L791" s="168"/>
      <c r="M791" s="580"/>
      <c r="N791" s="215"/>
    </row>
    <row r="792" spans="1:14" s="216" customFormat="1" ht="31.5" x14ac:dyDescent="0.25">
      <c r="A792" s="337" t="str">
        <f>'ведом. 2023-2025'!X430</f>
        <v>Предоставление субсидий бюджетным, автономным учреждениям и иным некоммерческим организациям</v>
      </c>
      <c r="B792" s="218" t="str">
        <f>'ведом. 2023-2025'!Z430</f>
        <v>08</v>
      </c>
      <c r="C792" s="217" t="str">
        <f>'ведом. 2023-2025'!AA430</f>
        <v>01</v>
      </c>
      <c r="D792" s="163" t="s">
        <v>567</v>
      </c>
      <c r="E792" s="370">
        <f>'ведом. 2023-2025'!AC430</f>
        <v>600</v>
      </c>
      <c r="F792" s="168">
        <f t="shared" si="387"/>
        <v>30309.4</v>
      </c>
      <c r="G792" s="327"/>
      <c r="H792" s="168">
        <f t="shared" si="387"/>
        <v>30309.4</v>
      </c>
      <c r="I792" s="168"/>
      <c r="J792" s="497">
        <f t="shared" si="387"/>
        <v>30309.4</v>
      </c>
      <c r="K792" s="575">
        <f t="shared" si="386"/>
        <v>1</v>
      </c>
      <c r="L792" s="168"/>
      <c r="M792" s="580"/>
      <c r="N792" s="215"/>
    </row>
    <row r="793" spans="1:14" s="216" customFormat="1" x14ac:dyDescent="0.25">
      <c r="A793" s="337" t="str">
        <f>'ведом. 2023-2025'!X431</f>
        <v>Субсидии бюджетным учреждениям</v>
      </c>
      <c r="B793" s="218" t="str">
        <f>'ведом. 2023-2025'!Z431</f>
        <v>08</v>
      </c>
      <c r="C793" s="217" t="str">
        <f>'ведом. 2023-2025'!AA431</f>
        <v>01</v>
      </c>
      <c r="D793" s="163" t="s">
        <v>567</v>
      </c>
      <c r="E793" s="370">
        <f>'ведом. 2023-2025'!AC431</f>
        <v>610</v>
      </c>
      <c r="F793" s="168">
        <f>'ведом. 2023-2025'!AD431</f>
        <v>30309.4</v>
      </c>
      <c r="G793" s="327"/>
      <c r="H793" s="168">
        <f>'ведом. 2023-2025'!AE431</f>
        <v>30309.4</v>
      </c>
      <c r="I793" s="168"/>
      <c r="J793" s="497">
        <f>'ведом. 2023-2025'!AF431</f>
        <v>30309.4</v>
      </c>
      <c r="K793" s="575">
        <f t="shared" si="386"/>
        <v>1</v>
      </c>
      <c r="L793" s="168"/>
      <c r="M793" s="580"/>
      <c r="N793" s="215"/>
    </row>
    <row r="794" spans="1:14" s="216" customFormat="1" ht="47.25" x14ac:dyDescent="0.25">
      <c r="A794" s="337" t="str">
        <f>'ведом. 2023-2025'!X432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794" s="218" t="str">
        <f>'ведом. 2023-2025'!Z432</f>
        <v>08</v>
      </c>
      <c r="C794" s="217" t="str">
        <f>'ведом. 2023-2025'!AA432</f>
        <v>01</v>
      </c>
      <c r="D794" s="163" t="s">
        <v>568</v>
      </c>
      <c r="E794" s="370"/>
      <c r="F794" s="168">
        <f>F795</f>
        <v>30328.5</v>
      </c>
      <c r="G794" s="327"/>
      <c r="H794" s="168">
        <f>H795</f>
        <v>30328.5</v>
      </c>
      <c r="I794" s="168"/>
      <c r="J794" s="497">
        <f>J795</f>
        <v>30328.5</v>
      </c>
      <c r="K794" s="575">
        <f t="shared" si="386"/>
        <v>1</v>
      </c>
      <c r="L794" s="168"/>
      <c r="M794" s="580"/>
      <c r="N794" s="215"/>
    </row>
    <row r="795" spans="1:14" s="216" customFormat="1" ht="31.5" x14ac:dyDescent="0.25">
      <c r="A795" s="337" t="str">
        <f>'ведом. 2023-2025'!X433</f>
        <v>Предоставление субсидий бюджетным, автономным учреждениям и иным некоммерческим организациям</v>
      </c>
      <c r="B795" s="218" t="str">
        <f>'ведом. 2023-2025'!Z433</f>
        <v>08</v>
      </c>
      <c r="C795" s="217" t="str">
        <f>'ведом. 2023-2025'!AA433</f>
        <v>01</v>
      </c>
      <c r="D795" s="163" t="s">
        <v>568</v>
      </c>
      <c r="E795" s="370">
        <f>'ведом. 2023-2025'!AC433</f>
        <v>600</v>
      </c>
      <c r="F795" s="168">
        <f>F796</f>
        <v>30328.5</v>
      </c>
      <c r="G795" s="327"/>
      <c r="H795" s="168">
        <f>H796</f>
        <v>30328.5</v>
      </c>
      <c r="I795" s="168"/>
      <c r="J795" s="497">
        <f>J796</f>
        <v>30328.5</v>
      </c>
      <c r="K795" s="575">
        <f t="shared" si="386"/>
        <v>1</v>
      </c>
      <c r="L795" s="168"/>
      <c r="M795" s="580"/>
      <c r="N795" s="215"/>
    </row>
    <row r="796" spans="1:14" s="216" customFormat="1" x14ac:dyDescent="0.25">
      <c r="A796" s="337" t="str">
        <f>'ведом. 2023-2025'!X434</f>
        <v>Субсидии бюджетным учреждениям</v>
      </c>
      <c r="B796" s="218" t="str">
        <f>'ведом. 2023-2025'!Z434</f>
        <v>08</v>
      </c>
      <c r="C796" s="217" t="str">
        <f>'ведом. 2023-2025'!AA434</f>
        <v>01</v>
      </c>
      <c r="D796" s="163" t="s">
        <v>568</v>
      </c>
      <c r="E796" s="370">
        <f>'ведом. 2023-2025'!AC434</f>
        <v>610</v>
      </c>
      <c r="F796" s="168">
        <f>'ведом. 2023-2025'!AD434</f>
        <v>30328.5</v>
      </c>
      <c r="G796" s="327"/>
      <c r="H796" s="168">
        <f>'ведом. 2023-2025'!AE434</f>
        <v>30328.5</v>
      </c>
      <c r="I796" s="168"/>
      <c r="J796" s="497">
        <f>'ведом. 2023-2025'!AF434</f>
        <v>30328.5</v>
      </c>
      <c r="K796" s="575">
        <f t="shared" si="386"/>
        <v>1</v>
      </c>
      <c r="L796" s="168"/>
      <c r="M796" s="580"/>
      <c r="N796" s="215"/>
    </row>
    <row r="797" spans="1:14" s="216" customFormat="1" ht="47.25" x14ac:dyDescent="0.25">
      <c r="A797" s="278" t="s">
        <v>752</v>
      </c>
      <c r="B797" s="1" t="s">
        <v>17</v>
      </c>
      <c r="C797" s="4" t="s">
        <v>31</v>
      </c>
      <c r="D797" s="326" t="s">
        <v>754</v>
      </c>
      <c r="E797" s="309"/>
      <c r="F797" s="168">
        <f>F798</f>
        <v>1722.5</v>
      </c>
      <c r="G797" s="168"/>
      <c r="H797" s="168">
        <f>H798</f>
        <v>1722.5</v>
      </c>
      <c r="I797" s="168"/>
      <c r="J797" s="497">
        <f t="shared" ref="J797" si="388">J798</f>
        <v>1722.5</v>
      </c>
      <c r="K797" s="575">
        <f t="shared" si="386"/>
        <v>1</v>
      </c>
      <c r="L797" s="168"/>
      <c r="M797" s="580"/>
      <c r="N797" s="215"/>
    </row>
    <row r="798" spans="1:14" s="216" customFormat="1" ht="31.5" x14ac:dyDescent="0.25">
      <c r="A798" s="278" t="s">
        <v>753</v>
      </c>
      <c r="B798" s="1" t="s">
        <v>17</v>
      </c>
      <c r="C798" s="4" t="s">
        <v>31</v>
      </c>
      <c r="D798" s="326" t="s">
        <v>755</v>
      </c>
      <c r="E798" s="309"/>
      <c r="F798" s="168">
        <f>F799</f>
        <v>1722.5</v>
      </c>
      <c r="G798" s="168"/>
      <c r="H798" s="168">
        <f>H799</f>
        <v>1722.5</v>
      </c>
      <c r="I798" s="168"/>
      <c r="J798" s="497">
        <f t="shared" ref="J798" si="389">J799</f>
        <v>1722.5</v>
      </c>
      <c r="K798" s="575">
        <f t="shared" si="386"/>
        <v>1</v>
      </c>
      <c r="L798" s="168"/>
      <c r="M798" s="580"/>
      <c r="N798" s="215"/>
    </row>
    <row r="799" spans="1:14" s="216" customFormat="1" ht="31.5" x14ac:dyDescent="0.25">
      <c r="A799" s="278" t="s">
        <v>62</v>
      </c>
      <c r="B799" s="1" t="s">
        <v>17</v>
      </c>
      <c r="C799" s="4" t="s">
        <v>31</v>
      </c>
      <c r="D799" s="326" t="s">
        <v>755</v>
      </c>
      <c r="E799" s="309">
        <v>600</v>
      </c>
      <c r="F799" s="168">
        <f>F800</f>
        <v>1722.5</v>
      </c>
      <c r="G799" s="168"/>
      <c r="H799" s="168">
        <f>H800</f>
        <v>1722.5</v>
      </c>
      <c r="I799" s="168"/>
      <c r="J799" s="497">
        <f t="shared" ref="J799" si="390">J800</f>
        <v>1722.5</v>
      </c>
      <c r="K799" s="575">
        <f t="shared" si="386"/>
        <v>1</v>
      </c>
      <c r="L799" s="168"/>
      <c r="M799" s="580"/>
      <c r="N799" s="215"/>
    </row>
    <row r="800" spans="1:14" s="216" customFormat="1" x14ac:dyDescent="0.25">
      <c r="A800" s="278" t="s">
        <v>63</v>
      </c>
      <c r="B800" s="1" t="s">
        <v>17</v>
      </c>
      <c r="C800" s="4" t="s">
        <v>31</v>
      </c>
      <c r="D800" s="326" t="s">
        <v>755</v>
      </c>
      <c r="E800" s="309">
        <v>610</v>
      </c>
      <c r="F800" s="168">
        <f>'ведом. 2023-2025'!AD438</f>
        <v>1722.5</v>
      </c>
      <c r="G800" s="327"/>
      <c r="H800" s="168">
        <f>'ведом. 2023-2025'!AE438</f>
        <v>1722.5</v>
      </c>
      <c r="I800" s="168"/>
      <c r="J800" s="497">
        <f>'ведом. 2023-2025'!AF438</f>
        <v>1722.5</v>
      </c>
      <c r="K800" s="575">
        <f t="shared" si="386"/>
        <v>1</v>
      </c>
      <c r="L800" s="168"/>
      <c r="M800" s="580"/>
      <c r="N800" s="215"/>
    </row>
    <row r="801" spans="1:14" s="216" customFormat="1" ht="31.5" x14ac:dyDescent="0.25">
      <c r="A801" s="278" t="s">
        <v>758</v>
      </c>
      <c r="B801" s="1" t="s">
        <v>17</v>
      </c>
      <c r="C801" s="4" t="s">
        <v>31</v>
      </c>
      <c r="D801" s="326" t="s">
        <v>759</v>
      </c>
      <c r="E801" s="309"/>
      <c r="F801" s="168">
        <f>F802</f>
        <v>4269</v>
      </c>
      <c r="G801" s="168">
        <f t="shared" ref="G801:J803" si="391">G802</f>
        <v>4269</v>
      </c>
      <c r="H801" s="168">
        <f>H802</f>
        <v>4269</v>
      </c>
      <c r="I801" s="168">
        <f t="shared" si="391"/>
        <v>4269</v>
      </c>
      <c r="J801" s="497">
        <f t="shared" si="391"/>
        <v>4269</v>
      </c>
      <c r="K801" s="575">
        <f t="shared" si="386"/>
        <v>1</v>
      </c>
      <c r="L801" s="168">
        <f>L802</f>
        <v>4269</v>
      </c>
      <c r="M801" s="580">
        <f t="shared" ref="M801:M847" si="392">L801/I801</f>
        <v>1</v>
      </c>
      <c r="N801" s="215"/>
    </row>
    <row r="802" spans="1:14" s="216" customFormat="1" ht="39" customHeight="1" x14ac:dyDescent="0.25">
      <c r="A802" s="278" t="s">
        <v>763</v>
      </c>
      <c r="B802" s="1" t="s">
        <v>17</v>
      </c>
      <c r="C802" s="4" t="s">
        <v>31</v>
      </c>
      <c r="D802" s="326" t="s">
        <v>760</v>
      </c>
      <c r="E802" s="309"/>
      <c r="F802" s="168">
        <f>F803</f>
        <v>4269</v>
      </c>
      <c r="G802" s="168">
        <f t="shared" si="391"/>
        <v>4269</v>
      </c>
      <c r="H802" s="168">
        <f>H803</f>
        <v>4269</v>
      </c>
      <c r="I802" s="168">
        <f t="shared" si="391"/>
        <v>4269</v>
      </c>
      <c r="J802" s="497">
        <f t="shared" si="391"/>
        <v>4269</v>
      </c>
      <c r="K802" s="575">
        <f t="shared" si="386"/>
        <v>1</v>
      </c>
      <c r="L802" s="168">
        <f>L803</f>
        <v>4269</v>
      </c>
      <c r="M802" s="580">
        <f t="shared" si="392"/>
        <v>1</v>
      </c>
      <c r="N802" s="215"/>
    </row>
    <row r="803" spans="1:14" s="216" customFormat="1" ht="31.5" x14ac:dyDescent="0.25">
      <c r="A803" s="278" t="s">
        <v>62</v>
      </c>
      <c r="B803" s="1" t="s">
        <v>17</v>
      </c>
      <c r="C803" s="4" t="s">
        <v>31</v>
      </c>
      <c r="D803" s="326" t="s">
        <v>760</v>
      </c>
      <c r="E803" s="309">
        <v>600</v>
      </c>
      <c r="F803" s="168">
        <f>F804</f>
        <v>4269</v>
      </c>
      <c r="G803" s="168">
        <f t="shared" si="391"/>
        <v>4269</v>
      </c>
      <c r="H803" s="168">
        <f>H804</f>
        <v>4269</v>
      </c>
      <c r="I803" s="168">
        <f t="shared" si="391"/>
        <v>4269</v>
      </c>
      <c r="J803" s="497">
        <f t="shared" si="391"/>
        <v>4269</v>
      </c>
      <c r="K803" s="575">
        <f t="shared" si="386"/>
        <v>1</v>
      </c>
      <c r="L803" s="168">
        <f>L804</f>
        <v>4269</v>
      </c>
      <c r="M803" s="580">
        <f t="shared" si="392"/>
        <v>1</v>
      </c>
      <c r="N803" s="215"/>
    </row>
    <row r="804" spans="1:14" s="216" customFormat="1" x14ac:dyDescent="0.25">
      <c r="A804" s="278" t="s">
        <v>63</v>
      </c>
      <c r="B804" s="1" t="s">
        <v>17</v>
      </c>
      <c r="C804" s="4" t="s">
        <v>31</v>
      </c>
      <c r="D804" s="326" t="s">
        <v>760</v>
      </c>
      <c r="E804" s="309">
        <v>610</v>
      </c>
      <c r="F804" s="168">
        <f>'ведом. 2023-2025'!AD442</f>
        <v>4269</v>
      </c>
      <c r="G804" s="327">
        <f>F804</f>
        <v>4269</v>
      </c>
      <c r="H804" s="168">
        <f>'ведом. 2023-2025'!AE442</f>
        <v>4269</v>
      </c>
      <c r="I804" s="327">
        <f>H804</f>
        <v>4269</v>
      </c>
      <c r="J804" s="497">
        <f>'ведом. 2023-2025'!AF442</f>
        <v>4269</v>
      </c>
      <c r="K804" s="575">
        <f t="shared" si="386"/>
        <v>1</v>
      </c>
      <c r="L804" s="168">
        <f>J804</f>
        <v>4269</v>
      </c>
      <c r="M804" s="580">
        <f t="shared" si="392"/>
        <v>1</v>
      </c>
      <c r="N804" s="215"/>
    </row>
    <row r="805" spans="1:14" s="216" customFormat="1" ht="31.5" x14ac:dyDescent="0.25">
      <c r="A805" s="284" t="s">
        <v>168</v>
      </c>
      <c r="B805" s="1" t="s">
        <v>17</v>
      </c>
      <c r="C805" s="4" t="s">
        <v>31</v>
      </c>
      <c r="D805" s="339" t="s">
        <v>105</v>
      </c>
      <c r="E805" s="309"/>
      <c r="F805" s="168">
        <f>F806+F811</f>
        <v>234.3</v>
      </c>
      <c r="G805" s="168"/>
      <c r="H805" s="168">
        <f>H806+H811</f>
        <v>234.3</v>
      </c>
      <c r="I805" s="168"/>
      <c r="J805" s="497">
        <f t="shared" ref="J805" si="393">J806+J811</f>
        <v>221.9</v>
      </c>
      <c r="K805" s="575">
        <f t="shared" si="386"/>
        <v>0.94707639778062314</v>
      </c>
      <c r="L805" s="168"/>
      <c r="M805" s="580"/>
      <c r="N805" s="215"/>
    </row>
    <row r="806" spans="1:14" s="216" customFormat="1" x14ac:dyDescent="0.25">
      <c r="A806" s="284" t="s">
        <v>169</v>
      </c>
      <c r="B806" s="1" t="s">
        <v>17</v>
      </c>
      <c r="C806" s="4" t="s">
        <v>31</v>
      </c>
      <c r="D806" s="339" t="s">
        <v>109</v>
      </c>
      <c r="E806" s="309"/>
      <c r="F806" s="168">
        <f>F807</f>
        <v>198</v>
      </c>
      <c r="G806" s="168"/>
      <c r="H806" s="168">
        <f>H807</f>
        <v>198</v>
      </c>
      <c r="I806" s="168"/>
      <c r="J806" s="497">
        <f t="shared" ref="J806" si="394">J807</f>
        <v>196</v>
      </c>
      <c r="K806" s="575">
        <f t="shared" si="386"/>
        <v>0.98989898989898994</v>
      </c>
      <c r="L806" s="168"/>
      <c r="M806" s="580"/>
      <c r="N806" s="215"/>
    </row>
    <row r="807" spans="1:14" s="216" customFormat="1" ht="47.25" x14ac:dyDescent="0.25">
      <c r="A807" s="278" t="s">
        <v>781</v>
      </c>
      <c r="B807" s="1" t="s">
        <v>17</v>
      </c>
      <c r="C807" s="4" t="s">
        <v>31</v>
      </c>
      <c r="D807" s="339" t="s">
        <v>782</v>
      </c>
      <c r="E807" s="309"/>
      <c r="F807" s="168">
        <f>F808</f>
        <v>198</v>
      </c>
      <c r="G807" s="168"/>
      <c r="H807" s="168">
        <f>H808</f>
        <v>198</v>
      </c>
      <c r="I807" s="168"/>
      <c r="J807" s="497">
        <f t="shared" ref="J807" si="395">J808</f>
        <v>196</v>
      </c>
      <c r="K807" s="575">
        <f t="shared" si="386"/>
        <v>0.98989898989898994</v>
      </c>
      <c r="L807" s="168"/>
      <c r="M807" s="580"/>
      <c r="N807" s="215"/>
    </row>
    <row r="808" spans="1:14" s="216" customFormat="1" ht="78.75" x14ac:dyDescent="0.25">
      <c r="A808" s="278" t="s">
        <v>783</v>
      </c>
      <c r="B808" s="1" t="s">
        <v>17</v>
      </c>
      <c r="C808" s="4" t="s">
        <v>31</v>
      </c>
      <c r="D808" s="339" t="s">
        <v>784</v>
      </c>
      <c r="E808" s="309"/>
      <c r="F808" s="168">
        <f>F809</f>
        <v>198</v>
      </c>
      <c r="G808" s="168"/>
      <c r="H808" s="168">
        <f>H809</f>
        <v>198</v>
      </c>
      <c r="I808" s="168"/>
      <c r="J808" s="497">
        <f t="shared" ref="J808" si="396">J809</f>
        <v>196</v>
      </c>
      <c r="K808" s="575">
        <f t="shared" si="386"/>
        <v>0.98989898989898994</v>
      </c>
      <c r="L808" s="168"/>
      <c r="M808" s="580"/>
      <c r="N808" s="215"/>
    </row>
    <row r="809" spans="1:14" s="216" customFormat="1" ht="31.5" x14ac:dyDescent="0.25">
      <c r="A809" s="278" t="s">
        <v>62</v>
      </c>
      <c r="B809" s="1" t="s">
        <v>17</v>
      </c>
      <c r="C809" s="4" t="s">
        <v>31</v>
      </c>
      <c r="D809" s="339" t="s">
        <v>784</v>
      </c>
      <c r="E809" s="309">
        <v>600</v>
      </c>
      <c r="F809" s="168">
        <f>F810</f>
        <v>198</v>
      </c>
      <c r="G809" s="168"/>
      <c r="H809" s="168">
        <f>H810</f>
        <v>198</v>
      </c>
      <c r="I809" s="168"/>
      <c r="J809" s="497">
        <f t="shared" ref="J809" si="397">J810</f>
        <v>196</v>
      </c>
      <c r="K809" s="575">
        <f t="shared" si="386"/>
        <v>0.98989898989898994</v>
      </c>
      <c r="L809" s="168"/>
      <c r="M809" s="580"/>
      <c r="N809" s="215"/>
    </row>
    <row r="810" spans="1:14" s="216" customFormat="1" x14ac:dyDescent="0.25">
      <c r="A810" s="278" t="s">
        <v>63</v>
      </c>
      <c r="B810" s="1" t="s">
        <v>17</v>
      </c>
      <c r="C810" s="4" t="s">
        <v>31</v>
      </c>
      <c r="D810" s="339" t="s">
        <v>784</v>
      </c>
      <c r="E810" s="309">
        <v>610</v>
      </c>
      <c r="F810" s="168">
        <f>'ведом. 2023-2025'!AD448</f>
        <v>198</v>
      </c>
      <c r="G810" s="327"/>
      <c r="H810" s="168">
        <f>'ведом. 2023-2025'!AE448</f>
        <v>198</v>
      </c>
      <c r="I810" s="168"/>
      <c r="J810" s="497">
        <f>'ведом. 2023-2025'!AF448</f>
        <v>196</v>
      </c>
      <c r="K810" s="575">
        <f t="shared" si="386"/>
        <v>0.98989898989898994</v>
      </c>
      <c r="L810" s="168"/>
      <c r="M810" s="580"/>
      <c r="N810" s="215"/>
    </row>
    <row r="811" spans="1:14" s="216" customFormat="1" ht="31.5" x14ac:dyDescent="0.25">
      <c r="A811" s="284" t="s">
        <v>385</v>
      </c>
      <c r="B811" s="1" t="s">
        <v>17</v>
      </c>
      <c r="C811" s="4" t="s">
        <v>31</v>
      </c>
      <c r="D811" s="326" t="s">
        <v>107</v>
      </c>
      <c r="E811" s="309"/>
      <c r="F811" s="168">
        <f>F812</f>
        <v>36.299999999999997</v>
      </c>
      <c r="G811" s="168"/>
      <c r="H811" s="168">
        <f>H812</f>
        <v>36.299999999999997</v>
      </c>
      <c r="I811" s="168"/>
      <c r="J811" s="497">
        <f t="shared" ref="J811:J814" si="398">J812</f>
        <v>25.9</v>
      </c>
      <c r="K811" s="575">
        <f t="shared" si="386"/>
        <v>0.71349862258953167</v>
      </c>
      <c r="L811" s="168"/>
      <c r="M811" s="580"/>
      <c r="N811" s="215"/>
    </row>
    <row r="812" spans="1:14" s="216" customFormat="1" ht="31.5" x14ac:dyDescent="0.25">
      <c r="A812" s="282" t="s">
        <v>656</v>
      </c>
      <c r="B812" s="1" t="s">
        <v>17</v>
      </c>
      <c r="C812" s="4" t="s">
        <v>31</v>
      </c>
      <c r="D812" s="326" t="s">
        <v>127</v>
      </c>
      <c r="E812" s="317"/>
      <c r="F812" s="168">
        <f>F813</f>
        <v>36.299999999999997</v>
      </c>
      <c r="G812" s="168"/>
      <c r="H812" s="168">
        <f>H813</f>
        <v>36.299999999999997</v>
      </c>
      <c r="I812" s="168"/>
      <c r="J812" s="497">
        <f t="shared" si="398"/>
        <v>25.9</v>
      </c>
      <c r="K812" s="575">
        <f t="shared" si="386"/>
        <v>0.71349862258953167</v>
      </c>
      <c r="L812" s="168"/>
      <c r="M812" s="580"/>
      <c r="N812" s="215"/>
    </row>
    <row r="813" spans="1:14" s="216" customFormat="1" x14ac:dyDescent="0.25">
      <c r="A813" s="278" t="s">
        <v>178</v>
      </c>
      <c r="B813" s="1" t="s">
        <v>17</v>
      </c>
      <c r="C813" s="4" t="s">
        <v>31</v>
      </c>
      <c r="D813" s="326" t="s">
        <v>179</v>
      </c>
      <c r="E813" s="309"/>
      <c r="F813" s="168">
        <f>F814</f>
        <v>36.299999999999997</v>
      </c>
      <c r="G813" s="168"/>
      <c r="H813" s="168">
        <f>H814</f>
        <v>36.299999999999997</v>
      </c>
      <c r="I813" s="168"/>
      <c r="J813" s="497">
        <f t="shared" si="398"/>
        <v>25.9</v>
      </c>
      <c r="K813" s="575">
        <f t="shared" si="386"/>
        <v>0.71349862258953167</v>
      </c>
      <c r="L813" s="168"/>
      <c r="M813" s="580"/>
      <c r="N813" s="215"/>
    </row>
    <row r="814" spans="1:14" s="216" customFormat="1" ht="31.5" x14ac:dyDescent="0.25">
      <c r="A814" s="278" t="s">
        <v>62</v>
      </c>
      <c r="B814" s="1" t="s">
        <v>17</v>
      </c>
      <c r="C814" s="4" t="s">
        <v>31</v>
      </c>
      <c r="D814" s="326" t="s">
        <v>179</v>
      </c>
      <c r="E814" s="309">
        <v>600</v>
      </c>
      <c r="F814" s="168">
        <f>F815</f>
        <v>36.299999999999997</v>
      </c>
      <c r="G814" s="168"/>
      <c r="H814" s="168">
        <f>H815</f>
        <v>36.299999999999997</v>
      </c>
      <c r="I814" s="168"/>
      <c r="J814" s="497">
        <f t="shared" si="398"/>
        <v>25.9</v>
      </c>
      <c r="K814" s="575">
        <f t="shared" si="386"/>
        <v>0.71349862258953167</v>
      </c>
      <c r="L814" s="168"/>
      <c r="M814" s="580"/>
      <c r="N814" s="215"/>
    </row>
    <row r="815" spans="1:14" s="216" customFormat="1" x14ac:dyDescent="0.25">
      <c r="A815" s="278" t="s">
        <v>63</v>
      </c>
      <c r="B815" s="1" t="s">
        <v>17</v>
      </c>
      <c r="C815" s="4" t="s">
        <v>31</v>
      </c>
      <c r="D815" s="326" t="s">
        <v>179</v>
      </c>
      <c r="E815" s="309">
        <v>610</v>
      </c>
      <c r="F815" s="168">
        <f>'ведом. 2023-2025'!AD453</f>
        <v>36.299999999999997</v>
      </c>
      <c r="G815" s="327"/>
      <c r="H815" s="168">
        <f>'ведом. 2023-2025'!AE453</f>
        <v>36.299999999999997</v>
      </c>
      <c r="I815" s="168"/>
      <c r="J815" s="497">
        <f>'ведом. 2023-2025'!AF453</f>
        <v>25.9</v>
      </c>
      <c r="K815" s="575">
        <f t="shared" si="386"/>
        <v>0.71349862258953167</v>
      </c>
      <c r="L815" s="168"/>
      <c r="M815" s="580"/>
      <c r="N815" s="215"/>
    </row>
    <row r="816" spans="1:14" s="216" customFormat="1" x14ac:dyDescent="0.25">
      <c r="A816" s="284" t="s">
        <v>255</v>
      </c>
      <c r="B816" s="1" t="s">
        <v>17</v>
      </c>
      <c r="C816" s="4" t="s">
        <v>31</v>
      </c>
      <c r="D816" s="326" t="s">
        <v>256</v>
      </c>
      <c r="E816" s="317"/>
      <c r="F816" s="168">
        <f>F817</f>
        <v>10482.4</v>
      </c>
      <c r="G816" s="168"/>
      <c r="H816" s="168">
        <f>H817</f>
        <v>10482.4</v>
      </c>
      <c r="I816" s="168"/>
      <c r="J816" s="497">
        <f t="shared" ref="J816:J818" si="399">J817</f>
        <v>10482.4</v>
      </c>
      <c r="K816" s="575">
        <f t="shared" si="386"/>
        <v>1</v>
      </c>
      <c r="L816" s="168"/>
      <c r="M816" s="580"/>
      <c r="N816" s="215"/>
    </row>
    <row r="817" spans="1:14" s="216" customFormat="1" ht="31.5" x14ac:dyDescent="0.25">
      <c r="A817" s="299" t="s">
        <v>626</v>
      </c>
      <c r="B817" s="1" t="s">
        <v>17</v>
      </c>
      <c r="C817" s="4" t="s">
        <v>31</v>
      </c>
      <c r="D817" s="326" t="s">
        <v>257</v>
      </c>
      <c r="E817" s="317"/>
      <c r="F817" s="168">
        <f>F818</f>
        <v>10482.4</v>
      </c>
      <c r="G817" s="168"/>
      <c r="H817" s="168">
        <f>H818</f>
        <v>10482.4</v>
      </c>
      <c r="I817" s="168"/>
      <c r="J817" s="497">
        <f t="shared" si="399"/>
        <v>10482.4</v>
      </c>
      <c r="K817" s="575">
        <f t="shared" si="386"/>
        <v>1</v>
      </c>
      <c r="L817" s="168"/>
      <c r="M817" s="580"/>
      <c r="N817" s="215"/>
    </row>
    <row r="818" spans="1:14" s="216" customFormat="1" ht="31.5" x14ac:dyDescent="0.25">
      <c r="A818" s="282" t="s">
        <v>627</v>
      </c>
      <c r="B818" s="1" t="s">
        <v>17</v>
      </c>
      <c r="C818" s="4" t="s">
        <v>31</v>
      </c>
      <c r="D818" s="326" t="s">
        <v>258</v>
      </c>
      <c r="E818" s="309"/>
      <c r="F818" s="168">
        <f>F819</f>
        <v>10482.4</v>
      </c>
      <c r="G818" s="168"/>
      <c r="H818" s="168">
        <f>H819</f>
        <v>10482.4</v>
      </c>
      <c r="I818" s="168"/>
      <c r="J818" s="497">
        <f t="shared" si="399"/>
        <v>10482.4</v>
      </c>
      <c r="K818" s="575">
        <f t="shared" si="386"/>
        <v>1</v>
      </c>
      <c r="L818" s="168"/>
      <c r="M818" s="580"/>
      <c r="N818" s="215"/>
    </row>
    <row r="819" spans="1:14" s="216" customFormat="1" x14ac:dyDescent="0.25">
      <c r="A819" s="282" t="s">
        <v>671</v>
      </c>
      <c r="B819" s="1" t="s">
        <v>17</v>
      </c>
      <c r="C819" s="4" t="s">
        <v>31</v>
      </c>
      <c r="D819" s="163" t="s">
        <v>259</v>
      </c>
      <c r="E819" s="309"/>
      <c r="F819" s="168">
        <f>F820+F823</f>
        <v>10482.4</v>
      </c>
      <c r="G819" s="168"/>
      <c r="H819" s="168">
        <f>H820+H823</f>
        <v>10482.4</v>
      </c>
      <c r="I819" s="168"/>
      <c r="J819" s="497">
        <f t="shared" ref="J819" si="400">J820+J823</f>
        <v>10482.4</v>
      </c>
      <c r="K819" s="575">
        <f t="shared" si="386"/>
        <v>1</v>
      </c>
      <c r="L819" s="168"/>
      <c r="M819" s="580"/>
      <c r="N819" s="215"/>
    </row>
    <row r="820" spans="1:14" s="216" customFormat="1" ht="31.5" x14ac:dyDescent="0.25">
      <c r="A820" s="282" t="s">
        <v>701</v>
      </c>
      <c r="B820" s="1" t="s">
        <v>17</v>
      </c>
      <c r="C820" s="4" t="s">
        <v>31</v>
      </c>
      <c r="D820" s="163" t="s">
        <v>700</v>
      </c>
      <c r="E820" s="309"/>
      <c r="F820" s="168">
        <f>F821</f>
        <v>824.8</v>
      </c>
      <c r="G820" s="168"/>
      <c r="H820" s="168">
        <f>H821</f>
        <v>824.8</v>
      </c>
      <c r="I820" s="168"/>
      <c r="J820" s="497">
        <f t="shared" ref="J820:J821" si="401">J821</f>
        <v>824.8</v>
      </c>
      <c r="K820" s="575">
        <f t="shared" si="386"/>
        <v>1</v>
      </c>
      <c r="L820" s="168"/>
      <c r="M820" s="580"/>
      <c r="N820" s="215"/>
    </row>
    <row r="821" spans="1:14" s="216" customFormat="1" ht="31.5" x14ac:dyDescent="0.25">
      <c r="A821" s="278" t="s">
        <v>62</v>
      </c>
      <c r="B821" s="1" t="s">
        <v>17</v>
      </c>
      <c r="C821" s="4" t="s">
        <v>31</v>
      </c>
      <c r="D821" s="163" t="s">
        <v>700</v>
      </c>
      <c r="E821" s="309">
        <v>600</v>
      </c>
      <c r="F821" s="168">
        <f>F822</f>
        <v>824.8</v>
      </c>
      <c r="G821" s="168"/>
      <c r="H821" s="168">
        <f>H822</f>
        <v>824.8</v>
      </c>
      <c r="I821" s="168"/>
      <c r="J821" s="497">
        <f t="shared" si="401"/>
        <v>824.8</v>
      </c>
      <c r="K821" s="575">
        <f t="shared" si="386"/>
        <v>1</v>
      </c>
      <c r="L821" s="168"/>
      <c r="M821" s="580"/>
      <c r="N821" s="215"/>
    </row>
    <row r="822" spans="1:14" s="216" customFormat="1" x14ac:dyDescent="0.25">
      <c r="A822" s="278" t="s">
        <v>63</v>
      </c>
      <c r="B822" s="1" t="s">
        <v>17</v>
      </c>
      <c r="C822" s="4" t="s">
        <v>31</v>
      </c>
      <c r="D822" s="163" t="s">
        <v>700</v>
      </c>
      <c r="E822" s="309">
        <v>610</v>
      </c>
      <c r="F822" s="168">
        <f>'ведом. 2023-2025'!AD460</f>
        <v>824.8</v>
      </c>
      <c r="G822" s="327"/>
      <c r="H822" s="168">
        <f>'ведом. 2023-2025'!AE460</f>
        <v>824.8</v>
      </c>
      <c r="I822" s="168"/>
      <c r="J822" s="497">
        <f>'ведом. 2023-2025'!AF460</f>
        <v>824.8</v>
      </c>
      <c r="K822" s="575">
        <f t="shared" si="386"/>
        <v>1</v>
      </c>
      <c r="L822" s="168"/>
      <c r="M822" s="580"/>
      <c r="N822" s="215"/>
    </row>
    <row r="823" spans="1:14" s="216" customFormat="1" x14ac:dyDescent="0.25">
      <c r="A823" s="282" t="s">
        <v>702</v>
      </c>
      <c r="B823" s="1" t="s">
        <v>17</v>
      </c>
      <c r="C823" s="4" t="s">
        <v>31</v>
      </c>
      <c r="D823" s="163" t="s">
        <v>703</v>
      </c>
      <c r="E823" s="309"/>
      <c r="F823" s="168">
        <f>F824</f>
        <v>9657.6</v>
      </c>
      <c r="G823" s="168"/>
      <c r="H823" s="168">
        <f>H824</f>
        <v>9657.6</v>
      </c>
      <c r="I823" s="168"/>
      <c r="J823" s="497">
        <f t="shared" ref="J823:J824" si="402">J824</f>
        <v>9657.6</v>
      </c>
      <c r="K823" s="575">
        <f t="shared" si="386"/>
        <v>1</v>
      </c>
      <c r="L823" s="168"/>
      <c r="M823" s="580"/>
      <c r="N823" s="215"/>
    </row>
    <row r="824" spans="1:14" s="216" customFormat="1" ht="31.5" x14ac:dyDescent="0.25">
      <c r="A824" s="278" t="s">
        <v>62</v>
      </c>
      <c r="B824" s="1" t="s">
        <v>17</v>
      </c>
      <c r="C824" s="4" t="s">
        <v>31</v>
      </c>
      <c r="D824" s="163" t="s">
        <v>703</v>
      </c>
      <c r="E824" s="309">
        <v>600</v>
      </c>
      <c r="F824" s="168">
        <f>F825</f>
        <v>9657.6</v>
      </c>
      <c r="G824" s="168"/>
      <c r="H824" s="168">
        <f>H825</f>
        <v>9657.6</v>
      </c>
      <c r="I824" s="168"/>
      <c r="J824" s="497">
        <f t="shared" si="402"/>
        <v>9657.6</v>
      </c>
      <c r="K824" s="575">
        <f t="shared" si="386"/>
        <v>1</v>
      </c>
      <c r="L824" s="168"/>
      <c r="M824" s="580"/>
      <c r="N824" s="215"/>
    </row>
    <row r="825" spans="1:14" s="216" customFormat="1" x14ac:dyDescent="0.25">
      <c r="A825" s="278" t="s">
        <v>63</v>
      </c>
      <c r="B825" s="1" t="s">
        <v>17</v>
      </c>
      <c r="C825" s="4" t="s">
        <v>31</v>
      </c>
      <c r="D825" s="163" t="s">
        <v>703</v>
      </c>
      <c r="E825" s="309">
        <v>610</v>
      </c>
      <c r="F825" s="168">
        <f>'ведом. 2023-2025'!AD463</f>
        <v>9657.6</v>
      </c>
      <c r="G825" s="327"/>
      <c r="H825" s="168">
        <f>'ведом. 2023-2025'!AE463</f>
        <v>9657.6</v>
      </c>
      <c r="I825" s="168"/>
      <c r="J825" s="497">
        <f>'ведом. 2023-2025'!AF463</f>
        <v>9657.6</v>
      </c>
      <c r="K825" s="575">
        <f t="shared" si="386"/>
        <v>1</v>
      </c>
      <c r="L825" s="168"/>
      <c r="M825" s="580"/>
      <c r="N825" s="215"/>
    </row>
    <row r="826" spans="1:14" s="141" customFormat="1" x14ac:dyDescent="0.25">
      <c r="A826" s="417" t="s">
        <v>97</v>
      </c>
      <c r="B826" s="211" t="s">
        <v>38</v>
      </c>
      <c r="C826" s="200"/>
      <c r="D826" s="305"/>
      <c r="E826" s="356"/>
      <c r="F826" s="170">
        <f>F827+F834+F858</f>
        <v>73206.8</v>
      </c>
      <c r="G826" s="373">
        <f>G827+G834+G858</f>
        <v>61925.7</v>
      </c>
      <c r="H826" s="170">
        <f>H827+H834+H858</f>
        <v>71510.8</v>
      </c>
      <c r="I826" s="170">
        <f t="shared" ref="I826:J826" si="403">I827+I834+I858</f>
        <v>60229.7</v>
      </c>
      <c r="J826" s="505">
        <f t="shared" si="403"/>
        <v>69055.199999999997</v>
      </c>
      <c r="K826" s="574">
        <f t="shared" si="386"/>
        <v>0.96566113090610084</v>
      </c>
      <c r="L826" s="170">
        <f>L827+L834+L858</f>
        <v>57868.1</v>
      </c>
      <c r="M826" s="581">
        <f t="shared" si="392"/>
        <v>0.96079010853449376</v>
      </c>
      <c r="N826" s="548"/>
    </row>
    <row r="827" spans="1:14" s="145" customFormat="1" x14ac:dyDescent="0.25">
      <c r="A827" s="401" t="s">
        <v>58</v>
      </c>
      <c r="B827" s="209">
        <v>10</v>
      </c>
      <c r="C827" s="4" t="s">
        <v>31</v>
      </c>
      <c r="D827" s="33"/>
      <c r="E827" s="363"/>
      <c r="F827" s="168">
        <f>F828</f>
        <v>7532.2999999999993</v>
      </c>
      <c r="G827" s="327"/>
      <c r="H827" s="168">
        <f>H828</f>
        <v>7532.2999999999993</v>
      </c>
      <c r="I827" s="168"/>
      <c r="J827" s="497">
        <f>J828</f>
        <v>7438.3</v>
      </c>
      <c r="K827" s="575">
        <f t="shared" si="386"/>
        <v>0.9875204120919242</v>
      </c>
      <c r="L827" s="168"/>
      <c r="M827" s="580"/>
      <c r="N827" s="161"/>
    </row>
    <row r="828" spans="1:14" s="145" customFormat="1" x14ac:dyDescent="0.25">
      <c r="A828" s="280" t="s">
        <v>309</v>
      </c>
      <c r="B828" s="209">
        <v>10</v>
      </c>
      <c r="C828" s="4" t="s">
        <v>31</v>
      </c>
      <c r="D828" s="163" t="s">
        <v>112</v>
      </c>
      <c r="E828" s="363"/>
      <c r="F828" s="168">
        <f>F830</f>
        <v>7532.2999999999993</v>
      </c>
      <c r="G828" s="327"/>
      <c r="H828" s="168">
        <f>H830</f>
        <v>7532.2999999999993</v>
      </c>
      <c r="I828" s="168"/>
      <c r="J828" s="497">
        <f>J830</f>
        <v>7438.3</v>
      </c>
      <c r="K828" s="575">
        <f t="shared" si="386"/>
        <v>0.9875204120919242</v>
      </c>
      <c r="L828" s="168"/>
      <c r="M828" s="580"/>
      <c r="N828" s="161"/>
    </row>
    <row r="829" spans="1:14" s="188" customFormat="1" x14ac:dyDescent="0.25">
      <c r="A829" s="299" t="s">
        <v>310</v>
      </c>
      <c r="B829" s="209">
        <v>10</v>
      </c>
      <c r="C829" s="4" t="s">
        <v>31</v>
      </c>
      <c r="D829" s="163" t="s">
        <v>121</v>
      </c>
      <c r="E829" s="363"/>
      <c r="F829" s="168">
        <f>F830</f>
        <v>7532.2999999999993</v>
      </c>
      <c r="G829" s="327"/>
      <c r="H829" s="168">
        <f>H830</f>
        <v>7532.2999999999993</v>
      </c>
      <c r="I829" s="168"/>
      <c r="J829" s="497">
        <f>J830</f>
        <v>7438.3</v>
      </c>
      <c r="K829" s="575">
        <f t="shared" si="386"/>
        <v>0.9875204120919242</v>
      </c>
      <c r="L829" s="168"/>
      <c r="M829" s="580"/>
      <c r="N829" s="161"/>
    </row>
    <row r="830" spans="1:14" s="145" customFormat="1" ht="31.5" x14ac:dyDescent="0.25">
      <c r="A830" s="284" t="s">
        <v>527</v>
      </c>
      <c r="B830" s="209">
        <v>10</v>
      </c>
      <c r="C830" s="4" t="s">
        <v>31</v>
      </c>
      <c r="D830" s="163" t="s">
        <v>526</v>
      </c>
      <c r="E830" s="363"/>
      <c r="F830" s="168">
        <f>F833</f>
        <v>7532.2999999999993</v>
      </c>
      <c r="G830" s="327"/>
      <c r="H830" s="168">
        <f>H833</f>
        <v>7532.2999999999993</v>
      </c>
      <c r="I830" s="168"/>
      <c r="J830" s="497">
        <f>J833</f>
        <v>7438.3</v>
      </c>
      <c r="K830" s="575">
        <f t="shared" si="386"/>
        <v>0.9875204120919242</v>
      </c>
      <c r="L830" s="168"/>
      <c r="M830" s="580"/>
      <c r="N830" s="161"/>
    </row>
    <row r="831" spans="1:14" s="145" customFormat="1" ht="31.5" x14ac:dyDescent="0.25">
      <c r="A831" s="282" t="s">
        <v>312</v>
      </c>
      <c r="B831" s="209">
        <v>10</v>
      </c>
      <c r="C831" s="4" t="s">
        <v>31</v>
      </c>
      <c r="D831" s="163" t="s">
        <v>525</v>
      </c>
      <c r="E831" s="363"/>
      <c r="F831" s="168">
        <f>F832</f>
        <v>7532.2999999999993</v>
      </c>
      <c r="G831" s="327"/>
      <c r="H831" s="168">
        <f>H832</f>
        <v>7532.2999999999993</v>
      </c>
      <c r="I831" s="168"/>
      <c r="J831" s="497">
        <f>J832</f>
        <v>7438.3</v>
      </c>
      <c r="K831" s="575">
        <f t="shared" si="386"/>
        <v>0.9875204120919242</v>
      </c>
      <c r="L831" s="168"/>
      <c r="M831" s="580"/>
      <c r="N831" s="161"/>
    </row>
    <row r="832" spans="1:14" s="145" customFormat="1" x14ac:dyDescent="0.25">
      <c r="A832" s="401" t="s">
        <v>100</v>
      </c>
      <c r="B832" s="209">
        <v>10</v>
      </c>
      <c r="C832" s="4" t="s">
        <v>31</v>
      </c>
      <c r="D832" s="163" t="s">
        <v>525</v>
      </c>
      <c r="E832" s="352">
        <v>300</v>
      </c>
      <c r="F832" s="168">
        <f>F833</f>
        <v>7532.2999999999993</v>
      </c>
      <c r="G832" s="327"/>
      <c r="H832" s="168">
        <f>H833</f>
        <v>7532.2999999999993</v>
      </c>
      <c r="I832" s="168"/>
      <c r="J832" s="497">
        <f>J833</f>
        <v>7438.3</v>
      </c>
      <c r="K832" s="575">
        <f t="shared" si="386"/>
        <v>0.9875204120919242</v>
      </c>
      <c r="L832" s="168"/>
      <c r="M832" s="580"/>
      <c r="N832" s="161"/>
    </row>
    <row r="833" spans="1:14" s="145" customFormat="1" x14ac:dyDescent="0.25">
      <c r="A833" s="401" t="s">
        <v>42</v>
      </c>
      <c r="B833" s="209">
        <v>10</v>
      </c>
      <c r="C833" s="4" t="s">
        <v>31</v>
      </c>
      <c r="D833" s="163" t="s">
        <v>525</v>
      </c>
      <c r="E833" s="352">
        <v>320</v>
      </c>
      <c r="F833" s="168">
        <f>'ведом. 2023-2025'!AD471+'ведом. 2023-2025'!AD549+'ведом. 2023-2025'!AD583+'ведом. 2023-2025'!AD628+'ведом. 2023-2025'!AD811+'ведом. 2023-2025'!AD1002+'ведом. 2023-2025'!AD1042</f>
        <v>7532.2999999999993</v>
      </c>
      <c r="G833" s="327"/>
      <c r="H833" s="168">
        <f>'ведом. 2023-2025'!AE471+'ведом. 2023-2025'!AE549+'ведом. 2023-2025'!AE583+'ведом. 2023-2025'!AE628+'ведом. 2023-2025'!AE811+'ведом. 2023-2025'!AE1002+'ведом. 2023-2025'!AE1042</f>
        <v>7532.2999999999993</v>
      </c>
      <c r="I833" s="168"/>
      <c r="J833" s="497">
        <f>'ведом. 2023-2025'!AF471+'ведом. 2023-2025'!AF549+'ведом. 2023-2025'!AF583+'ведом. 2023-2025'!AF628+'ведом. 2023-2025'!AF811+'ведом. 2023-2025'!AF1002+'ведом. 2023-2025'!AF1042</f>
        <v>7438.3</v>
      </c>
      <c r="K833" s="575">
        <f t="shared" si="386"/>
        <v>0.9875204120919242</v>
      </c>
      <c r="L833" s="168"/>
      <c r="M833" s="580"/>
      <c r="N833" s="161"/>
    </row>
    <row r="834" spans="1:14" s="145" customFormat="1" x14ac:dyDescent="0.25">
      <c r="A834" s="401" t="s">
        <v>33</v>
      </c>
      <c r="B834" s="209">
        <v>10</v>
      </c>
      <c r="C834" s="4" t="s">
        <v>51</v>
      </c>
      <c r="D834" s="33"/>
      <c r="E834" s="352"/>
      <c r="F834" s="168">
        <f t="shared" ref="F834:J834" si="404">F835+F845</f>
        <v>65534.5</v>
      </c>
      <c r="G834" s="327">
        <f t="shared" si="404"/>
        <v>61925.7</v>
      </c>
      <c r="H834" s="168">
        <f>H835+H845</f>
        <v>63838.5</v>
      </c>
      <c r="I834" s="168">
        <f t="shared" ref="I834" si="405">I835+I845</f>
        <v>60229.7</v>
      </c>
      <c r="J834" s="497">
        <f t="shared" si="404"/>
        <v>61476.9</v>
      </c>
      <c r="K834" s="575">
        <f t="shared" si="386"/>
        <v>0.96300664959233062</v>
      </c>
      <c r="L834" s="168">
        <f>L835+L845</f>
        <v>57868.1</v>
      </c>
      <c r="M834" s="580">
        <f t="shared" si="392"/>
        <v>0.96079010853449376</v>
      </c>
      <c r="N834" s="161"/>
    </row>
    <row r="835" spans="1:14" s="145" customFormat="1" x14ac:dyDescent="0.25">
      <c r="A835" s="418" t="s">
        <v>278</v>
      </c>
      <c r="B835" s="209">
        <v>10</v>
      </c>
      <c r="C835" s="4" t="s">
        <v>51</v>
      </c>
      <c r="D835" s="33" t="s">
        <v>103</v>
      </c>
      <c r="E835" s="352"/>
      <c r="F835" s="168">
        <f t="shared" ref="F835:J835" si="406">F836</f>
        <v>17974</v>
      </c>
      <c r="G835" s="327">
        <f t="shared" si="406"/>
        <v>17974</v>
      </c>
      <c r="H835" s="168">
        <f t="shared" si="406"/>
        <v>17038</v>
      </c>
      <c r="I835" s="327">
        <f t="shared" si="406"/>
        <v>17038</v>
      </c>
      <c r="J835" s="497">
        <f t="shared" si="406"/>
        <v>14677.300000000001</v>
      </c>
      <c r="K835" s="575">
        <f t="shared" si="386"/>
        <v>0.86144500528231016</v>
      </c>
      <c r="L835" s="168">
        <f>L836</f>
        <v>14677.300000000001</v>
      </c>
      <c r="M835" s="580">
        <f t="shared" si="392"/>
        <v>0.86144500528231016</v>
      </c>
      <c r="N835" s="161"/>
    </row>
    <row r="836" spans="1:14" s="145" customFormat="1" x14ac:dyDescent="0.25">
      <c r="A836" s="280" t="s">
        <v>504</v>
      </c>
      <c r="B836" s="209">
        <v>10</v>
      </c>
      <c r="C836" s="4" t="s">
        <v>51</v>
      </c>
      <c r="D836" s="33" t="s">
        <v>120</v>
      </c>
      <c r="E836" s="352"/>
      <c r="F836" s="168">
        <f t="shared" ref="F836:J837" si="407">F837</f>
        <v>17974</v>
      </c>
      <c r="G836" s="327">
        <f t="shared" si="407"/>
        <v>17974</v>
      </c>
      <c r="H836" s="168">
        <f t="shared" si="407"/>
        <v>17038</v>
      </c>
      <c r="I836" s="327">
        <f t="shared" si="407"/>
        <v>17038</v>
      </c>
      <c r="J836" s="497">
        <f t="shared" si="407"/>
        <v>14677.300000000001</v>
      </c>
      <c r="K836" s="575">
        <f t="shared" si="386"/>
        <v>0.86144500528231016</v>
      </c>
      <c r="L836" s="168">
        <f>L837</f>
        <v>14677.300000000001</v>
      </c>
      <c r="M836" s="580">
        <f t="shared" si="392"/>
        <v>0.86144500528231016</v>
      </c>
      <c r="N836" s="161"/>
    </row>
    <row r="837" spans="1:14" s="145" customFormat="1" ht="31.5" x14ac:dyDescent="0.25">
      <c r="A837" s="280" t="s">
        <v>283</v>
      </c>
      <c r="B837" s="209">
        <v>10</v>
      </c>
      <c r="C837" s="4" t="s">
        <v>51</v>
      </c>
      <c r="D837" s="163" t="s">
        <v>505</v>
      </c>
      <c r="E837" s="352"/>
      <c r="F837" s="168">
        <f t="shared" si="407"/>
        <v>17974</v>
      </c>
      <c r="G837" s="327">
        <f t="shared" si="407"/>
        <v>17974</v>
      </c>
      <c r="H837" s="168">
        <f t="shared" si="407"/>
        <v>17038</v>
      </c>
      <c r="I837" s="327">
        <f t="shared" si="407"/>
        <v>17038</v>
      </c>
      <c r="J837" s="497">
        <f t="shared" si="407"/>
        <v>14677.300000000001</v>
      </c>
      <c r="K837" s="575">
        <f t="shared" si="386"/>
        <v>0.86144500528231016</v>
      </c>
      <c r="L837" s="168">
        <f>L838</f>
        <v>14677.300000000001</v>
      </c>
      <c r="M837" s="580">
        <f t="shared" si="392"/>
        <v>0.86144500528231016</v>
      </c>
      <c r="N837" s="161"/>
    </row>
    <row r="838" spans="1:14" s="145" customFormat="1" ht="47.25" x14ac:dyDescent="0.25">
      <c r="A838" s="281" t="s">
        <v>279</v>
      </c>
      <c r="B838" s="209">
        <v>10</v>
      </c>
      <c r="C838" s="4" t="s">
        <v>51</v>
      </c>
      <c r="D838" s="163" t="s">
        <v>529</v>
      </c>
      <c r="E838" s="352"/>
      <c r="F838" s="168">
        <f>F841+F839+F843</f>
        <v>17974</v>
      </c>
      <c r="G838" s="327">
        <f t="shared" ref="G838:J838" si="408">G841+G839+G843</f>
        <v>17974</v>
      </c>
      <c r="H838" s="168">
        <f>H841+H839+H843</f>
        <v>17038</v>
      </c>
      <c r="I838" s="327">
        <f t="shared" ref="I838" si="409">I841+I839+I843</f>
        <v>17038</v>
      </c>
      <c r="J838" s="497">
        <f t="shared" si="408"/>
        <v>14677.300000000001</v>
      </c>
      <c r="K838" s="575">
        <f t="shared" si="386"/>
        <v>0.86144500528231016</v>
      </c>
      <c r="L838" s="168">
        <f>L841+L839+L843</f>
        <v>14677.300000000001</v>
      </c>
      <c r="M838" s="580">
        <f t="shared" si="392"/>
        <v>0.86144500528231016</v>
      </c>
      <c r="N838" s="161"/>
    </row>
    <row r="839" spans="1:14" s="145" customFormat="1" x14ac:dyDescent="0.25">
      <c r="A839" s="401" t="s">
        <v>123</v>
      </c>
      <c r="B839" s="209">
        <v>10</v>
      </c>
      <c r="C839" s="4" t="s">
        <v>51</v>
      </c>
      <c r="D839" s="163" t="s">
        <v>529</v>
      </c>
      <c r="E839" s="352">
        <v>200</v>
      </c>
      <c r="F839" s="168">
        <f t="shared" ref="F839:J839" si="410">F840</f>
        <v>170</v>
      </c>
      <c r="G839" s="327">
        <f t="shared" si="410"/>
        <v>170</v>
      </c>
      <c r="H839" s="168">
        <f t="shared" si="410"/>
        <v>161</v>
      </c>
      <c r="I839" s="327">
        <f t="shared" si="410"/>
        <v>161</v>
      </c>
      <c r="J839" s="497">
        <f t="shared" si="410"/>
        <v>65.099999999999994</v>
      </c>
      <c r="K839" s="575">
        <f t="shared" si="386"/>
        <v>0.40434782608695646</v>
      </c>
      <c r="L839" s="168">
        <f>L840</f>
        <v>65.099999999999994</v>
      </c>
      <c r="M839" s="580">
        <f t="shared" si="392"/>
        <v>0.40434782608695646</v>
      </c>
      <c r="N839" s="161"/>
    </row>
    <row r="840" spans="1:14" s="145" customFormat="1" ht="31.5" x14ac:dyDescent="0.25">
      <c r="A840" s="401" t="s">
        <v>54</v>
      </c>
      <c r="B840" s="209">
        <v>10</v>
      </c>
      <c r="C840" s="4" t="s">
        <v>51</v>
      </c>
      <c r="D840" s="163" t="s">
        <v>529</v>
      </c>
      <c r="E840" s="352">
        <v>240</v>
      </c>
      <c r="F840" s="168">
        <f>'ведом. 2023-2025'!AD818</f>
        <v>170</v>
      </c>
      <c r="G840" s="327">
        <f>F840</f>
        <v>170</v>
      </c>
      <c r="H840" s="168">
        <f>'ведом. 2023-2025'!AE818</f>
        <v>161</v>
      </c>
      <c r="I840" s="327">
        <f>H840</f>
        <v>161</v>
      </c>
      <c r="J840" s="497">
        <f>'ведом. 2023-2025'!AF818</f>
        <v>65.099999999999994</v>
      </c>
      <c r="K840" s="575">
        <f t="shared" si="386"/>
        <v>0.40434782608695646</v>
      </c>
      <c r="L840" s="168">
        <f>J840</f>
        <v>65.099999999999994</v>
      </c>
      <c r="M840" s="580">
        <f t="shared" si="392"/>
        <v>0.40434782608695646</v>
      </c>
      <c r="N840" s="161"/>
    </row>
    <row r="841" spans="1:14" s="145" customFormat="1" x14ac:dyDescent="0.25">
      <c r="A841" s="401" t="s">
        <v>100</v>
      </c>
      <c r="B841" s="209">
        <v>10</v>
      </c>
      <c r="C841" s="4" t="s">
        <v>51</v>
      </c>
      <c r="D841" s="163" t="s">
        <v>529</v>
      </c>
      <c r="E841" s="352">
        <v>300</v>
      </c>
      <c r="F841" s="168">
        <f t="shared" ref="F841:J841" si="411">F842</f>
        <v>16978</v>
      </c>
      <c r="G841" s="327">
        <f t="shared" si="411"/>
        <v>16978</v>
      </c>
      <c r="H841" s="168">
        <f t="shared" si="411"/>
        <v>16077</v>
      </c>
      <c r="I841" s="327">
        <f t="shared" si="411"/>
        <v>16077</v>
      </c>
      <c r="J841" s="497">
        <f t="shared" si="411"/>
        <v>13812.2</v>
      </c>
      <c r="K841" s="575">
        <f t="shared" si="386"/>
        <v>0.85912794675623572</v>
      </c>
      <c r="L841" s="168">
        <f>L842</f>
        <v>13812.2</v>
      </c>
      <c r="M841" s="580">
        <f t="shared" si="392"/>
        <v>0.85912794675623572</v>
      </c>
      <c r="N841" s="161"/>
    </row>
    <row r="842" spans="1:14" s="145" customFormat="1" x14ac:dyDescent="0.25">
      <c r="A842" s="401" t="s">
        <v>133</v>
      </c>
      <c r="B842" s="209">
        <v>10</v>
      </c>
      <c r="C842" s="4" t="s">
        <v>51</v>
      </c>
      <c r="D842" s="163" t="s">
        <v>529</v>
      </c>
      <c r="E842" s="352">
        <v>310</v>
      </c>
      <c r="F842" s="168">
        <f>'ведом. 2023-2025'!AD820</f>
        <v>16978</v>
      </c>
      <c r="G842" s="327">
        <f>F842</f>
        <v>16978</v>
      </c>
      <c r="H842" s="168">
        <f>'ведом. 2023-2025'!AE820</f>
        <v>16077</v>
      </c>
      <c r="I842" s="327">
        <f>H842</f>
        <v>16077</v>
      </c>
      <c r="J842" s="497">
        <f>'ведом. 2023-2025'!AF820</f>
        <v>13812.2</v>
      </c>
      <c r="K842" s="575">
        <f t="shared" si="386"/>
        <v>0.85912794675623572</v>
      </c>
      <c r="L842" s="168">
        <f>J842</f>
        <v>13812.2</v>
      </c>
      <c r="M842" s="580">
        <f t="shared" si="392"/>
        <v>0.85912794675623572</v>
      </c>
      <c r="N842" s="161"/>
    </row>
    <row r="843" spans="1:14" s="188" customFormat="1" ht="31.5" x14ac:dyDescent="0.25">
      <c r="A843" s="278" t="s">
        <v>62</v>
      </c>
      <c r="B843" s="209">
        <v>10</v>
      </c>
      <c r="C843" s="4" t="s">
        <v>51</v>
      </c>
      <c r="D843" s="163" t="s">
        <v>529</v>
      </c>
      <c r="E843" s="352">
        <v>600</v>
      </c>
      <c r="F843" s="168">
        <f>F844</f>
        <v>826</v>
      </c>
      <c r="G843" s="327">
        <f t="shared" ref="G843:J843" si="412">G844</f>
        <v>826</v>
      </c>
      <c r="H843" s="168">
        <f>H844</f>
        <v>800</v>
      </c>
      <c r="I843" s="327">
        <f t="shared" si="412"/>
        <v>800</v>
      </c>
      <c r="J843" s="497">
        <f t="shared" si="412"/>
        <v>800</v>
      </c>
      <c r="K843" s="575">
        <f t="shared" si="386"/>
        <v>1</v>
      </c>
      <c r="L843" s="168">
        <f>L844</f>
        <v>800</v>
      </c>
      <c r="M843" s="580">
        <f t="shared" si="392"/>
        <v>1</v>
      </c>
      <c r="N843" s="161"/>
    </row>
    <row r="844" spans="1:14" s="188" customFormat="1" x14ac:dyDescent="0.25">
      <c r="A844" s="278" t="s">
        <v>63</v>
      </c>
      <c r="B844" s="209">
        <v>10</v>
      </c>
      <c r="C844" s="4" t="s">
        <v>51</v>
      </c>
      <c r="D844" s="163" t="s">
        <v>529</v>
      </c>
      <c r="E844" s="352">
        <v>610</v>
      </c>
      <c r="F844" s="168">
        <f>'ведом. 2023-2025'!AD822</f>
        <v>826</v>
      </c>
      <c r="G844" s="327">
        <f>F844</f>
        <v>826</v>
      </c>
      <c r="H844" s="168">
        <f>'ведом. 2023-2025'!AE822</f>
        <v>800</v>
      </c>
      <c r="I844" s="327">
        <f>H844</f>
        <v>800</v>
      </c>
      <c r="J844" s="497">
        <f>'ведом. 2023-2025'!AF822</f>
        <v>800</v>
      </c>
      <c r="K844" s="575">
        <f t="shared" si="386"/>
        <v>1</v>
      </c>
      <c r="L844" s="168">
        <f>J844</f>
        <v>800</v>
      </c>
      <c r="M844" s="580">
        <f t="shared" si="392"/>
        <v>1</v>
      </c>
      <c r="N844" s="161"/>
    </row>
    <row r="845" spans="1:14" s="145" customFormat="1" x14ac:dyDescent="0.25">
      <c r="A845" s="280" t="s">
        <v>187</v>
      </c>
      <c r="B845" s="209">
        <v>10</v>
      </c>
      <c r="C845" s="4" t="s">
        <v>51</v>
      </c>
      <c r="D845" s="163" t="s">
        <v>119</v>
      </c>
      <c r="E845" s="352"/>
      <c r="F845" s="168">
        <f t="shared" ref="F845:L845" si="413">F851+F846</f>
        <v>47560.5</v>
      </c>
      <c r="G845" s="327">
        <f t="shared" si="413"/>
        <v>43951.7</v>
      </c>
      <c r="H845" s="168">
        <f t="shared" ref="H845:I845" si="414">H851+H846</f>
        <v>46800.5</v>
      </c>
      <c r="I845" s="327">
        <f t="shared" si="414"/>
        <v>43191.7</v>
      </c>
      <c r="J845" s="497">
        <f t="shared" si="413"/>
        <v>46799.6</v>
      </c>
      <c r="K845" s="575">
        <f t="shared" si="386"/>
        <v>0.99998076943622394</v>
      </c>
      <c r="L845" s="168">
        <f t="shared" si="413"/>
        <v>43190.799999999996</v>
      </c>
      <c r="M845" s="580">
        <f t="shared" si="392"/>
        <v>0.99997916266319686</v>
      </c>
      <c r="N845" s="161"/>
    </row>
    <row r="846" spans="1:14" s="145" customFormat="1" x14ac:dyDescent="0.25">
      <c r="A846" s="280" t="s">
        <v>186</v>
      </c>
      <c r="B846" s="209">
        <v>10</v>
      </c>
      <c r="C846" s="4" t="s">
        <v>51</v>
      </c>
      <c r="D846" s="163" t="s">
        <v>147</v>
      </c>
      <c r="E846" s="352"/>
      <c r="F846" s="168">
        <f t="shared" ref="F846:J847" si="415">F847</f>
        <v>8611.5</v>
      </c>
      <c r="G846" s="327">
        <f t="shared" si="415"/>
        <v>5002.7</v>
      </c>
      <c r="H846" s="168">
        <f t="shared" si="415"/>
        <v>8611.5</v>
      </c>
      <c r="I846" s="327">
        <f t="shared" si="415"/>
        <v>5002.7</v>
      </c>
      <c r="J846" s="497">
        <f t="shared" si="415"/>
        <v>8611.4</v>
      </c>
      <c r="K846" s="575">
        <f t="shared" si="386"/>
        <v>0.99998838762120412</v>
      </c>
      <c r="L846" s="168">
        <f>L847</f>
        <v>5002.6000000000004</v>
      </c>
      <c r="M846" s="580">
        <f t="shared" si="392"/>
        <v>0.9999800107941712</v>
      </c>
      <c r="N846" s="161"/>
    </row>
    <row r="847" spans="1:14" s="145" customFormat="1" ht="47.25" x14ac:dyDescent="0.25">
      <c r="A847" s="280" t="s">
        <v>468</v>
      </c>
      <c r="B847" s="209">
        <v>10</v>
      </c>
      <c r="C847" s="4" t="s">
        <v>51</v>
      </c>
      <c r="D847" s="163" t="s">
        <v>146</v>
      </c>
      <c r="E847" s="352"/>
      <c r="F847" s="168">
        <f>F848</f>
        <v>8611.5</v>
      </c>
      <c r="G847" s="327">
        <f t="shared" si="415"/>
        <v>5002.7</v>
      </c>
      <c r="H847" s="168">
        <f>H848</f>
        <v>8611.5</v>
      </c>
      <c r="I847" s="327">
        <f t="shared" si="415"/>
        <v>5002.7</v>
      </c>
      <c r="J847" s="497">
        <f t="shared" si="415"/>
        <v>8611.4</v>
      </c>
      <c r="K847" s="575">
        <f t="shared" si="386"/>
        <v>0.99998838762120412</v>
      </c>
      <c r="L847" s="168">
        <f>L848</f>
        <v>5002.6000000000004</v>
      </c>
      <c r="M847" s="580">
        <f t="shared" si="392"/>
        <v>0.9999800107941712</v>
      </c>
      <c r="N847" s="161"/>
    </row>
    <row r="848" spans="1:14" s="145" customFormat="1" x14ac:dyDescent="0.25">
      <c r="A848" s="280" t="s">
        <v>184</v>
      </c>
      <c r="B848" s="209">
        <v>10</v>
      </c>
      <c r="C848" s="4" t="s">
        <v>51</v>
      </c>
      <c r="D848" s="163" t="s">
        <v>185</v>
      </c>
      <c r="E848" s="352"/>
      <c r="F848" s="168">
        <f t="shared" ref="F848:J849" si="416">F849</f>
        <v>8611.5</v>
      </c>
      <c r="G848" s="327">
        <f t="shared" si="416"/>
        <v>5002.7</v>
      </c>
      <c r="H848" s="168">
        <f t="shared" si="416"/>
        <v>8611.5</v>
      </c>
      <c r="I848" s="327">
        <f t="shared" si="416"/>
        <v>5002.7</v>
      </c>
      <c r="J848" s="497">
        <f t="shared" si="416"/>
        <v>8611.4</v>
      </c>
      <c r="K848" s="575">
        <f t="shared" ref="K848:K908" si="417">J848/H848</f>
        <v>0.99998838762120412</v>
      </c>
      <c r="L848" s="168">
        <f>L849</f>
        <v>5002.6000000000004</v>
      </c>
      <c r="M848" s="580">
        <f t="shared" ref="M848:M908" si="418">L848/I848</f>
        <v>0.9999800107941712</v>
      </c>
      <c r="N848" s="161"/>
    </row>
    <row r="849" spans="1:14" s="145" customFormat="1" x14ac:dyDescent="0.25">
      <c r="A849" s="401" t="s">
        <v>100</v>
      </c>
      <c r="B849" s="209">
        <v>10</v>
      </c>
      <c r="C849" s="4" t="s">
        <v>51</v>
      </c>
      <c r="D849" s="163" t="s">
        <v>185</v>
      </c>
      <c r="E849" s="352">
        <v>300</v>
      </c>
      <c r="F849" s="168">
        <f t="shared" si="416"/>
        <v>8611.5</v>
      </c>
      <c r="G849" s="327">
        <f t="shared" si="416"/>
        <v>5002.7</v>
      </c>
      <c r="H849" s="168">
        <f t="shared" si="416"/>
        <v>8611.5</v>
      </c>
      <c r="I849" s="327">
        <f t="shared" si="416"/>
        <v>5002.7</v>
      </c>
      <c r="J849" s="497">
        <f t="shared" si="416"/>
        <v>8611.4</v>
      </c>
      <c r="K849" s="575">
        <f t="shared" si="417"/>
        <v>0.99998838762120412</v>
      </c>
      <c r="L849" s="168">
        <f>L850</f>
        <v>5002.6000000000004</v>
      </c>
      <c r="M849" s="580">
        <f t="shared" si="418"/>
        <v>0.9999800107941712</v>
      </c>
      <c r="N849" s="161"/>
    </row>
    <row r="850" spans="1:14" s="145" customFormat="1" x14ac:dyDescent="0.25">
      <c r="A850" s="401" t="s">
        <v>25</v>
      </c>
      <c r="B850" s="209">
        <v>10</v>
      </c>
      <c r="C850" s="4" t="s">
        <v>51</v>
      </c>
      <c r="D850" s="163" t="s">
        <v>185</v>
      </c>
      <c r="E850" s="352">
        <v>320</v>
      </c>
      <c r="F850" s="168">
        <f>'ведом. 2023-2025'!AD1009</f>
        <v>8611.5</v>
      </c>
      <c r="G850" s="327">
        <v>5002.7</v>
      </c>
      <c r="H850" s="168">
        <f>'ведом. 2023-2025'!AE1009</f>
        <v>8611.5</v>
      </c>
      <c r="I850" s="327">
        <v>5002.7</v>
      </c>
      <c r="J850" s="497">
        <f>'ведом. 2023-2025'!AF1009</f>
        <v>8611.4</v>
      </c>
      <c r="K850" s="575">
        <f t="shared" si="417"/>
        <v>0.99998838762120412</v>
      </c>
      <c r="L850" s="168">
        <v>5002.6000000000004</v>
      </c>
      <c r="M850" s="580">
        <f t="shared" si="418"/>
        <v>0.9999800107941712</v>
      </c>
      <c r="N850" s="161"/>
    </row>
    <row r="851" spans="1:14" s="145" customFormat="1" ht="31.5" x14ac:dyDescent="0.25">
      <c r="A851" s="402" t="s">
        <v>493</v>
      </c>
      <c r="B851" s="209">
        <v>10</v>
      </c>
      <c r="C851" s="4" t="s">
        <v>51</v>
      </c>
      <c r="D851" s="163" t="s">
        <v>150</v>
      </c>
      <c r="E851" s="352"/>
      <c r="F851" s="168">
        <f t="shared" ref="F851:J851" si="419">F853</f>
        <v>38949</v>
      </c>
      <c r="G851" s="327">
        <f t="shared" si="419"/>
        <v>38949</v>
      </c>
      <c r="H851" s="168">
        <f t="shared" ref="H851:I851" si="420">H853</f>
        <v>38189</v>
      </c>
      <c r="I851" s="168">
        <f t="shared" si="420"/>
        <v>38189</v>
      </c>
      <c r="J851" s="497">
        <f t="shared" si="419"/>
        <v>38188.199999999997</v>
      </c>
      <c r="K851" s="575">
        <f t="shared" si="417"/>
        <v>0.99997905155934952</v>
      </c>
      <c r="L851" s="168">
        <f>L853</f>
        <v>38188.199999999997</v>
      </c>
      <c r="M851" s="580">
        <f t="shared" si="418"/>
        <v>0.99997905155934952</v>
      </c>
      <c r="N851" s="161"/>
    </row>
    <row r="852" spans="1:14" s="145" customFormat="1" ht="47.25" x14ac:dyDescent="0.25">
      <c r="A852" s="402" t="s">
        <v>494</v>
      </c>
      <c r="B852" s="209">
        <v>10</v>
      </c>
      <c r="C852" s="4" t="s">
        <v>51</v>
      </c>
      <c r="D852" s="163" t="s">
        <v>149</v>
      </c>
      <c r="E852" s="352"/>
      <c r="F852" s="168">
        <f t="shared" ref="F852:J852" si="421">F853</f>
        <v>38949</v>
      </c>
      <c r="G852" s="327">
        <f t="shared" si="421"/>
        <v>38949</v>
      </c>
      <c r="H852" s="168">
        <f t="shared" si="421"/>
        <v>38189</v>
      </c>
      <c r="I852" s="168">
        <f t="shared" si="421"/>
        <v>38189</v>
      </c>
      <c r="J852" s="497">
        <f t="shared" si="421"/>
        <v>38188.199999999997</v>
      </c>
      <c r="K852" s="575">
        <f t="shared" si="417"/>
        <v>0.99997905155934952</v>
      </c>
      <c r="L852" s="168">
        <f>L853</f>
        <v>38188.199999999997</v>
      </c>
      <c r="M852" s="580">
        <f t="shared" si="418"/>
        <v>0.99997905155934952</v>
      </c>
      <c r="N852" s="161"/>
    </row>
    <row r="853" spans="1:14" s="145" customFormat="1" ht="47.25" x14ac:dyDescent="0.25">
      <c r="A853" s="299" t="s">
        <v>188</v>
      </c>
      <c r="B853" s="209">
        <v>10</v>
      </c>
      <c r="C853" s="4" t="s">
        <v>51</v>
      </c>
      <c r="D853" s="163" t="s">
        <v>148</v>
      </c>
      <c r="E853" s="352"/>
      <c r="F853" s="168">
        <f>F856+F854</f>
        <v>38949</v>
      </c>
      <c r="G853" s="168">
        <f t="shared" ref="G853:J853" si="422">G856+G854</f>
        <v>38949</v>
      </c>
      <c r="H853" s="168">
        <f>H856+H854</f>
        <v>38189</v>
      </c>
      <c r="I853" s="168">
        <f>I856+I854</f>
        <v>38189</v>
      </c>
      <c r="J853" s="497">
        <f t="shared" si="422"/>
        <v>38188.199999999997</v>
      </c>
      <c r="K853" s="575">
        <f t="shared" si="417"/>
        <v>0.99997905155934952</v>
      </c>
      <c r="L853" s="168">
        <f>L856+L854</f>
        <v>38188.199999999997</v>
      </c>
      <c r="M853" s="580">
        <f t="shared" si="418"/>
        <v>0.99997905155934952</v>
      </c>
      <c r="N853" s="161"/>
    </row>
    <row r="854" spans="1:14" s="188" customFormat="1" x14ac:dyDescent="0.25">
      <c r="A854" s="280" t="s">
        <v>184</v>
      </c>
      <c r="B854" s="209">
        <v>10</v>
      </c>
      <c r="C854" s="4" t="s">
        <v>51</v>
      </c>
      <c r="D854" s="304" t="s">
        <v>148</v>
      </c>
      <c r="E854" s="352">
        <v>300</v>
      </c>
      <c r="F854" s="168">
        <f>F855</f>
        <v>19637.2</v>
      </c>
      <c r="G854" s="168">
        <f t="shared" ref="G854:J854" si="423">G855</f>
        <v>19637.2</v>
      </c>
      <c r="H854" s="168">
        <f>H855</f>
        <v>19627.2</v>
      </c>
      <c r="I854" s="168">
        <f>I855</f>
        <v>19627.2</v>
      </c>
      <c r="J854" s="497">
        <f t="shared" si="423"/>
        <v>19627.2</v>
      </c>
      <c r="K854" s="575">
        <f t="shared" si="417"/>
        <v>1</v>
      </c>
      <c r="L854" s="168">
        <f>L855</f>
        <v>19627.2</v>
      </c>
      <c r="M854" s="580">
        <f t="shared" si="418"/>
        <v>1</v>
      </c>
      <c r="N854" s="161"/>
    </row>
    <row r="855" spans="1:14" s="188" customFormat="1" x14ac:dyDescent="0.25">
      <c r="A855" s="401" t="s">
        <v>100</v>
      </c>
      <c r="B855" s="209">
        <v>10</v>
      </c>
      <c r="C855" s="4" t="s">
        <v>51</v>
      </c>
      <c r="D855" s="304" t="s">
        <v>148</v>
      </c>
      <c r="E855" s="352">
        <v>320</v>
      </c>
      <c r="F855" s="168">
        <f>'ведом. 2023-2025'!AD635</f>
        <v>19637.2</v>
      </c>
      <c r="G855" s="327">
        <f>F855</f>
        <v>19637.2</v>
      </c>
      <c r="H855" s="168">
        <f>'ведом. 2023-2025'!AE635</f>
        <v>19627.2</v>
      </c>
      <c r="I855" s="168">
        <f>'ведом. 2023-2025'!AF635</f>
        <v>19627.2</v>
      </c>
      <c r="J855" s="497">
        <f>'ведом. 2023-2025'!AF635</f>
        <v>19627.2</v>
      </c>
      <c r="K855" s="575">
        <f t="shared" si="417"/>
        <v>1</v>
      </c>
      <c r="L855" s="168">
        <v>19627.2</v>
      </c>
      <c r="M855" s="580">
        <f t="shared" si="418"/>
        <v>1</v>
      </c>
      <c r="N855" s="161"/>
    </row>
    <row r="856" spans="1:14" s="145" customFormat="1" x14ac:dyDescent="0.25">
      <c r="A856" s="425" t="s">
        <v>24</v>
      </c>
      <c r="B856" s="209">
        <v>10</v>
      </c>
      <c r="C856" s="4" t="s">
        <v>51</v>
      </c>
      <c r="D856" s="304" t="s">
        <v>148</v>
      </c>
      <c r="E856" s="352">
        <v>400</v>
      </c>
      <c r="F856" s="168">
        <f t="shared" ref="F856:J856" si="424">F857</f>
        <v>19311.800000000003</v>
      </c>
      <c r="G856" s="327">
        <f t="shared" si="424"/>
        <v>19311.800000000003</v>
      </c>
      <c r="H856" s="168">
        <f t="shared" si="424"/>
        <v>18561.8</v>
      </c>
      <c r="I856" s="168">
        <f t="shared" si="424"/>
        <v>18561.8</v>
      </c>
      <c r="J856" s="497">
        <f t="shared" si="424"/>
        <v>18561</v>
      </c>
      <c r="K856" s="575">
        <f t="shared" si="417"/>
        <v>0.99995690073161014</v>
      </c>
      <c r="L856" s="168">
        <f>L857</f>
        <v>18561</v>
      </c>
      <c r="M856" s="580">
        <f t="shared" si="418"/>
        <v>0.99995690073161014</v>
      </c>
      <c r="N856" s="161"/>
    </row>
    <row r="857" spans="1:14" s="145" customFormat="1" x14ac:dyDescent="0.25">
      <c r="A857" s="401" t="s">
        <v>9</v>
      </c>
      <c r="B857" s="209">
        <v>10</v>
      </c>
      <c r="C857" s="4" t="s">
        <v>51</v>
      </c>
      <c r="D857" s="304" t="s">
        <v>148</v>
      </c>
      <c r="E857" s="352">
        <v>410</v>
      </c>
      <c r="F857" s="168">
        <f>'ведом. 2023-2025'!AD637</f>
        <v>19311.800000000003</v>
      </c>
      <c r="G857" s="327">
        <f>F857</f>
        <v>19311.800000000003</v>
      </c>
      <c r="H857" s="168">
        <f>'ведом. 2023-2025'!AE637</f>
        <v>18561.8</v>
      </c>
      <c r="I857" s="168">
        <f>'ведом. 2023-2025'!AE637</f>
        <v>18561.8</v>
      </c>
      <c r="J857" s="497">
        <f>'ведом. 2023-2025'!AF637</f>
        <v>18561</v>
      </c>
      <c r="K857" s="575">
        <f t="shared" si="417"/>
        <v>0.99995690073161014</v>
      </c>
      <c r="L857" s="168">
        <f>J857</f>
        <v>18561</v>
      </c>
      <c r="M857" s="580">
        <f t="shared" si="418"/>
        <v>0.99995690073161014</v>
      </c>
      <c r="N857" s="161"/>
    </row>
    <row r="858" spans="1:14" s="145" customFormat="1" x14ac:dyDescent="0.25">
      <c r="A858" s="401" t="s">
        <v>35</v>
      </c>
      <c r="B858" s="209">
        <v>10</v>
      </c>
      <c r="C858" s="4" t="s">
        <v>98</v>
      </c>
      <c r="D858" s="33"/>
      <c r="E858" s="351"/>
      <c r="F858" s="168">
        <f t="shared" ref="F858:H866" si="425">F859</f>
        <v>140</v>
      </c>
      <c r="G858" s="327"/>
      <c r="H858" s="168">
        <f t="shared" si="425"/>
        <v>140</v>
      </c>
      <c r="I858" s="168"/>
      <c r="J858" s="497">
        <f>J859</f>
        <v>140</v>
      </c>
      <c r="K858" s="575">
        <f t="shared" si="417"/>
        <v>1</v>
      </c>
      <c r="L858" s="168"/>
      <c r="M858" s="580"/>
      <c r="N858" s="161"/>
    </row>
    <row r="859" spans="1:14" s="145" customFormat="1" x14ac:dyDescent="0.25">
      <c r="A859" s="280" t="s">
        <v>309</v>
      </c>
      <c r="B859" s="209">
        <v>10</v>
      </c>
      <c r="C859" s="4" t="s">
        <v>98</v>
      </c>
      <c r="D859" s="163" t="s">
        <v>112</v>
      </c>
      <c r="E859" s="351"/>
      <c r="F859" s="168">
        <f t="shared" si="425"/>
        <v>140</v>
      </c>
      <c r="G859" s="327"/>
      <c r="H859" s="168">
        <f t="shared" si="425"/>
        <v>140</v>
      </c>
      <c r="I859" s="168"/>
      <c r="J859" s="497">
        <f>J860</f>
        <v>140</v>
      </c>
      <c r="K859" s="575">
        <f t="shared" si="417"/>
        <v>1</v>
      </c>
      <c r="L859" s="168"/>
      <c r="M859" s="580"/>
      <c r="N859" s="161"/>
    </row>
    <row r="860" spans="1:14" s="145" customFormat="1" ht="31.5" x14ac:dyDescent="0.25">
      <c r="A860" s="284" t="s">
        <v>369</v>
      </c>
      <c r="B860" s="209">
        <v>10</v>
      </c>
      <c r="C860" s="4" t="s">
        <v>98</v>
      </c>
      <c r="D860" s="163" t="s">
        <v>600</v>
      </c>
      <c r="E860" s="351"/>
      <c r="F860" s="168">
        <f t="shared" si="425"/>
        <v>140</v>
      </c>
      <c r="G860" s="327"/>
      <c r="H860" s="168">
        <f t="shared" si="425"/>
        <v>140</v>
      </c>
      <c r="I860" s="168"/>
      <c r="J860" s="497">
        <f>J861</f>
        <v>140</v>
      </c>
      <c r="K860" s="575">
        <f t="shared" si="417"/>
        <v>1</v>
      </c>
      <c r="L860" s="168"/>
      <c r="M860" s="580"/>
      <c r="N860" s="161"/>
    </row>
    <row r="861" spans="1:14" s="145" customFormat="1" x14ac:dyDescent="0.25">
      <c r="A861" s="300" t="s">
        <v>602</v>
      </c>
      <c r="B861" s="209">
        <v>10</v>
      </c>
      <c r="C861" s="4" t="s">
        <v>98</v>
      </c>
      <c r="D861" s="163" t="s">
        <v>601</v>
      </c>
      <c r="E861" s="351"/>
      <c r="F861" s="168">
        <f>F865+F862</f>
        <v>140</v>
      </c>
      <c r="G861" s="168"/>
      <c r="H861" s="168">
        <f>H865+H862</f>
        <v>140</v>
      </c>
      <c r="I861" s="168"/>
      <c r="J861" s="497">
        <f t="shared" ref="J861" si="426">J865+J862</f>
        <v>140</v>
      </c>
      <c r="K861" s="575">
        <f t="shared" si="417"/>
        <v>1</v>
      </c>
      <c r="L861" s="168"/>
      <c r="M861" s="580"/>
      <c r="N861" s="161"/>
    </row>
    <row r="862" spans="1:14" s="188" customFormat="1" x14ac:dyDescent="0.25">
      <c r="A862" s="478" t="s">
        <v>719</v>
      </c>
      <c r="B862" s="1">
        <v>10</v>
      </c>
      <c r="C862" s="1" t="s">
        <v>98</v>
      </c>
      <c r="D862" s="463" t="s">
        <v>720</v>
      </c>
      <c r="E862" s="479"/>
      <c r="F862" s="168">
        <f>F863</f>
        <v>70</v>
      </c>
      <c r="G862" s="327"/>
      <c r="H862" s="168">
        <f>H863</f>
        <v>70</v>
      </c>
      <c r="I862" s="168"/>
      <c r="J862" s="497">
        <f>J863</f>
        <v>70</v>
      </c>
      <c r="K862" s="575">
        <f t="shared" si="417"/>
        <v>1</v>
      </c>
      <c r="L862" s="168"/>
      <c r="M862" s="580"/>
      <c r="N862" s="161"/>
    </row>
    <row r="863" spans="1:14" s="188" customFormat="1" ht="31.5" x14ac:dyDescent="0.25">
      <c r="A863" s="480" t="s">
        <v>62</v>
      </c>
      <c r="B863" s="1">
        <v>10</v>
      </c>
      <c r="C863" s="1" t="s">
        <v>98</v>
      </c>
      <c r="D863" s="463" t="s">
        <v>720</v>
      </c>
      <c r="E863" s="479">
        <v>600</v>
      </c>
      <c r="F863" s="168">
        <f>F864</f>
        <v>70</v>
      </c>
      <c r="G863" s="327"/>
      <c r="H863" s="168">
        <f>H864</f>
        <v>70</v>
      </c>
      <c r="I863" s="168"/>
      <c r="J863" s="497">
        <f>J864</f>
        <v>70</v>
      </c>
      <c r="K863" s="575">
        <f t="shared" si="417"/>
        <v>1</v>
      </c>
      <c r="L863" s="168"/>
      <c r="M863" s="580"/>
      <c r="N863" s="161"/>
    </row>
    <row r="864" spans="1:14" s="188" customFormat="1" ht="47.25" x14ac:dyDescent="0.25">
      <c r="A864" s="481" t="s">
        <v>451</v>
      </c>
      <c r="B864" s="1">
        <v>10</v>
      </c>
      <c r="C864" s="1" t="s">
        <v>98</v>
      </c>
      <c r="D864" s="463" t="s">
        <v>720</v>
      </c>
      <c r="E864" s="479">
        <v>630</v>
      </c>
      <c r="F864" s="168">
        <f>'ведом. 2023-2025'!AD478</f>
        <v>70</v>
      </c>
      <c r="G864" s="327"/>
      <c r="H864" s="168">
        <f>'ведом. 2023-2025'!AE478</f>
        <v>70</v>
      </c>
      <c r="I864" s="168"/>
      <c r="J864" s="497">
        <f>'ведом. 2023-2025'!AF478</f>
        <v>70</v>
      </c>
      <c r="K864" s="575">
        <f t="shared" si="417"/>
        <v>1</v>
      </c>
      <c r="L864" s="168"/>
      <c r="M864" s="580"/>
      <c r="N864" s="161"/>
    </row>
    <row r="865" spans="1:14" s="145" customFormat="1" ht="31.5" x14ac:dyDescent="0.25">
      <c r="A865" s="281" t="s">
        <v>663</v>
      </c>
      <c r="B865" s="209">
        <v>10</v>
      </c>
      <c r="C865" s="4" t="s">
        <v>98</v>
      </c>
      <c r="D865" s="163" t="s">
        <v>664</v>
      </c>
      <c r="E865" s="367"/>
      <c r="F865" s="168">
        <f t="shared" si="425"/>
        <v>70</v>
      </c>
      <c r="G865" s="327"/>
      <c r="H865" s="168">
        <f t="shared" si="425"/>
        <v>70</v>
      </c>
      <c r="I865" s="168"/>
      <c r="J865" s="497">
        <f>J866</f>
        <v>70</v>
      </c>
      <c r="K865" s="575">
        <f t="shared" si="417"/>
        <v>1</v>
      </c>
      <c r="L865" s="168"/>
      <c r="M865" s="580"/>
      <c r="N865" s="161"/>
    </row>
    <row r="866" spans="1:14" s="145" customFormat="1" ht="31.5" x14ac:dyDescent="0.25">
      <c r="A866" s="401" t="s">
        <v>62</v>
      </c>
      <c r="B866" s="209">
        <v>10</v>
      </c>
      <c r="C866" s="4" t="s">
        <v>98</v>
      </c>
      <c r="D866" s="163" t="s">
        <v>664</v>
      </c>
      <c r="E866" s="367">
        <v>600</v>
      </c>
      <c r="F866" s="168">
        <f t="shared" si="425"/>
        <v>70</v>
      </c>
      <c r="G866" s="327"/>
      <c r="H866" s="168">
        <f t="shared" si="425"/>
        <v>70</v>
      </c>
      <c r="I866" s="168"/>
      <c r="J866" s="497">
        <f>J867</f>
        <v>70</v>
      </c>
      <c r="K866" s="575">
        <f t="shared" si="417"/>
        <v>1</v>
      </c>
      <c r="L866" s="168"/>
      <c r="M866" s="580"/>
      <c r="N866" s="161"/>
    </row>
    <row r="867" spans="1:14" s="145" customFormat="1" ht="47.25" x14ac:dyDescent="0.25">
      <c r="A867" s="426" t="s">
        <v>451</v>
      </c>
      <c r="B867" s="209">
        <v>10</v>
      </c>
      <c r="C867" s="4" t="s">
        <v>98</v>
      </c>
      <c r="D867" s="163" t="s">
        <v>664</v>
      </c>
      <c r="E867" s="367">
        <v>630</v>
      </c>
      <c r="F867" s="168">
        <f>'ведом. 2023-2025'!AD481</f>
        <v>70</v>
      </c>
      <c r="G867" s="327"/>
      <c r="H867" s="168">
        <f>'ведом. 2023-2025'!AE481</f>
        <v>70</v>
      </c>
      <c r="I867" s="168"/>
      <c r="J867" s="497">
        <f>'ведом. 2023-2025'!AF481</f>
        <v>70</v>
      </c>
      <c r="K867" s="575">
        <f t="shared" si="417"/>
        <v>1</v>
      </c>
      <c r="L867" s="168"/>
      <c r="M867" s="580"/>
      <c r="N867" s="161"/>
    </row>
    <row r="868" spans="1:14" s="145" customFormat="1" x14ac:dyDescent="0.25">
      <c r="A868" s="417" t="s">
        <v>13</v>
      </c>
      <c r="B868" s="199">
        <v>11</v>
      </c>
      <c r="C868" s="206"/>
      <c r="D868" s="305"/>
      <c r="E868" s="356"/>
      <c r="F868" s="170">
        <f>F869+F876+F886</f>
        <v>100180.4</v>
      </c>
      <c r="G868" s="170">
        <f>G869+G876+G886</f>
        <v>3308</v>
      </c>
      <c r="H868" s="170">
        <f>H869+H876+H886</f>
        <v>100180.4</v>
      </c>
      <c r="I868" s="170">
        <f>I869+I876+I886</f>
        <v>3308</v>
      </c>
      <c r="J868" s="505">
        <f>J869+J876+J886</f>
        <v>99806.1</v>
      </c>
      <c r="K868" s="574">
        <f t="shared" si="417"/>
        <v>0.99626374021265651</v>
      </c>
      <c r="L868" s="170">
        <f>L869+L876+L886</f>
        <v>3308</v>
      </c>
      <c r="M868" s="581">
        <f t="shared" si="418"/>
        <v>1</v>
      </c>
      <c r="N868" s="161"/>
    </row>
    <row r="869" spans="1:14" s="145" customFormat="1" x14ac:dyDescent="0.25">
      <c r="A869" s="401" t="s">
        <v>14</v>
      </c>
      <c r="B869" s="209">
        <v>11</v>
      </c>
      <c r="C869" s="4" t="s">
        <v>31</v>
      </c>
      <c r="D869" s="305"/>
      <c r="E869" s="356"/>
      <c r="F869" s="168">
        <f t="shared" ref="F869:J870" si="427">F870</f>
        <v>31714.9</v>
      </c>
      <c r="G869" s="168"/>
      <c r="H869" s="168">
        <f t="shared" si="427"/>
        <v>31714.9</v>
      </c>
      <c r="I869" s="168"/>
      <c r="J869" s="497">
        <f t="shared" si="427"/>
        <v>31714.9</v>
      </c>
      <c r="K869" s="575">
        <f t="shared" si="417"/>
        <v>1</v>
      </c>
      <c r="L869" s="168"/>
      <c r="M869" s="580"/>
      <c r="N869" s="161"/>
    </row>
    <row r="870" spans="1:14" s="145" customFormat="1" x14ac:dyDescent="0.25">
      <c r="A870" s="280" t="s">
        <v>161</v>
      </c>
      <c r="B870" s="209">
        <v>11</v>
      </c>
      <c r="C870" s="4" t="s">
        <v>31</v>
      </c>
      <c r="D870" s="163" t="s">
        <v>118</v>
      </c>
      <c r="E870" s="356"/>
      <c r="F870" s="168">
        <f t="shared" si="427"/>
        <v>31714.9</v>
      </c>
      <c r="G870" s="168"/>
      <c r="H870" s="168">
        <f t="shared" si="427"/>
        <v>31714.9</v>
      </c>
      <c r="I870" s="168"/>
      <c r="J870" s="497">
        <f t="shared" si="427"/>
        <v>31714.9</v>
      </c>
      <c r="K870" s="575">
        <f t="shared" si="417"/>
        <v>1</v>
      </c>
      <c r="L870" s="168"/>
      <c r="M870" s="580"/>
      <c r="N870" s="161"/>
    </row>
    <row r="871" spans="1:14" s="145" customFormat="1" x14ac:dyDescent="0.25">
      <c r="A871" s="280" t="s">
        <v>162</v>
      </c>
      <c r="B871" s="209">
        <v>11</v>
      </c>
      <c r="C871" s="4" t="s">
        <v>31</v>
      </c>
      <c r="D871" s="163" t="s">
        <v>122</v>
      </c>
      <c r="E871" s="356"/>
      <c r="F871" s="168">
        <f>F872</f>
        <v>31714.9</v>
      </c>
      <c r="G871" s="168"/>
      <c r="H871" s="168">
        <f>H872</f>
        <v>31714.9</v>
      </c>
      <c r="I871" s="168"/>
      <c r="J871" s="497">
        <f>J872</f>
        <v>31714.9</v>
      </c>
      <c r="K871" s="575">
        <f t="shared" si="417"/>
        <v>1</v>
      </c>
      <c r="L871" s="168"/>
      <c r="M871" s="580"/>
      <c r="N871" s="161"/>
    </row>
    <row r="872" spans="1:14" s="145" customFormat="1" ht="31.5" x14ac:dyDescent="0.25">
      <c r="A872" s="280" t="s">
        <v>163</v>
      </c>
      <c r="B872" s="209">
        <v>11</v>
      </c>
      <c r="C872" s="4" t="s">
        <v>31</v>
      </c>
      <c r="D872" s="163" t="s">
        <v>131</v>
      </c>
      <c r="E872" s="356"/>
      <c r="F872" s="168">
        <f>F873</f>
        <v>31714.9</v>
      </c>
      <c r="G872" s="327"/>
      <c r="H872" s="168">
        <f>H873</f>
        <v>31714.9</v>
      </c>
      <c r="I872" s="327"/>
      <c r="J872" s="497">
        <f>J873</f>
        <v>31714.9</v>
      </c>
      <c r="K872" s="575">
        <f t="shared" si="417"/>
        <v>1</v>
      </c>
      <c r="L872" s="168"/>
      <c r="M872" s="580"/>
      <c r="N872" s="161"/>
    </row>
    <row r="873" spans="1:14" s="145" customFormat="1" ht="31.5" x14ac:dyDescent="0.25">
      <c r="A873" s="302" t="s">
        <v>164</v>
      </c>
      <c r="B873" s="209">
        <v>11</v>
      </c>
      <c r="C873" s="4" t="s">
        <v>31</v>
      </c>
      <c r="D873" s="163" t="s">
        <v>165</v>
      </c>
      <c r="E873" s="356"/>
      <c r="F873" s="168">
        <f>F874</f>
        <v>31714.9</v>
      </c>
      <c r="G873" s="327"/>
      <c r="H873" s="168">
        <f>H874</f>
        <v>31714.9</v>
      </c>
      <c r="I873" s="327"/>
      <c r="J873" s="497">
        <f>J874</f>
        <v>31714.9</v>
      </c>
      <c r="K873" s="575">
        <f t="shared" si="417"/>
        <v>1</v>
      </c>
      <c r="L873" s="168"/>
      <c r="M873" s="580"/>
      <c r="N873" s="161"/>
    </row>
    <row r="874" spans="1:14" s="145" customFormat="1" ht="31.5" x14ac:dyDescent="0.25">
      <c r="A874" s="401" t="s">
        <v>62</v>
      </c>
      <c r="B874" s="209">
        <v>11</v>
      </c>
      <c r="C874" s="4" t="s">
        <v>31</v>
      </c>
      <c r="D874" s="163" t="s">
        <v>165</v>
      </c>
      <c r="E874" s="358">
        <v>600</v>
      </c>
      <c r="F874" s="168">
        <f>F875</f>
        <v>31714.9</v>
      </c>
      <c r="G874" s="327"/>
      <c r="H874" s="168">
        <f>H875</f>
        <v>31714.9</v>
      </c>
      <c r="I874" s="327"/>
      <c r="J874" s="497">
        <f>J875</f>
        <v>31714.9</v>
      </c>
      <c r="K874" s="575">
        <f t="shared" si="417"/>
        <v>1</v>
      </c>
      <c r="L874" s="168"/>
      <c r="M874" s="580"/>
      <c r="N874" s="161"/>
    </row>
    <row r="875" spans="1:14" s="145" customFormat="1" x14ac:dyDescent="0.25">
      <c r="A875" s="401" t="s">
        <v>132</v>
      </c>
      <c r="B875" s="209">
        <v>11</v>
      </c>
      <c r="C875" s="4" t="s">
        <v>31</v>
      </c>
      <c r="D875" s="163" t="s">
        <v>165</v>
      </c>
      <c r="E875" s="358">
        <v>620</v>
      </c>
      <c r="F875" s="168">
        <f>'ведом. 2023-2025'!AD489</f>
        <v>31714.9</v>
      </c>
      <c r="G875" s="327"/>
      <c r="H875" s="168">
        <f>'ведом. 2023-2025'!AF489</f>
        <v>31714.9</v>
      </c>
      <c r="I875" s="327"/>
      <c r="J875" s="497">
        <f>'ведом. 2023-2025'!AF489</f>
        <v>31714.9</v>
      </c>
      <c r="K875" s="575">
        <f t="shared" si="417"/>
        <v>1</v>
      </c>
      <c r="L875" s="168"/>
      <c r="M875" s="580"/>
      <c r="N875" s="161"/>
    </row>
    <row r="876" spans="1:14" s="145" customFormat="1" x14ac:dyDescent="0.25">
      <c r="A876" s="401" t="s">
        <v>37</v>
      </c>
      <c r="B876" s="209">
        <v>11</v>
      </c>
      <c r="C876" s="4" t="s">
        <v>32</v>
      </c>
      <c r="D876" s="163"/>
      <c r="E876" s="358"/>
      <c r="F876" s="168">
        <f>F877</f>
        <v>3294.4</v>
      </c>
      <c r="G876" s="168"/>
      <c r="H876" s="168">
        <f>H877</f>
        <v>3294.4</v>
      </c>
      <c r="I876" s="168"/>
      <c r="J876" s="497">
        <f t="shared" ref="J876:J877" si="428">J877</f>
        <v>2920.1</v>
      </c>
      <c r="K876" s="575">
        <f t="shared" si="417"/>
        <v>0.88638295288975222</v>
      </c>
      <c r="L876" s="168"/>
      <c r="M876" s="580"/>
      <c r="N876" s="161"/>
    </row>
    <row r="877" spans="1:14" s="188" customFormat="1" x14ac:dyDescent="0.25">
      <c r="A877" s="280" t="s">
        <v>161</v>
      </c>
      <c r="B877" s="209">
        <v>11</v>
      </c>
      <c r="C877" s="4" t="s">
        <v>32</v>
      </c>
      <c r="D877" s="163" t="s">
        <v>118</v>
      </c>
      <c r="E877" s="358"/>
      <c r="F877" s="168">
        <f>F878</f>
        <v>3294.4</v>
      </c>
      <c r="G877" s="168"/>
      <c r="H877" s="168">
        <f>H878</f>
        <v>3294.4</v>
      </c>
      <c r="I877" s="168"/>
      <c r="J877" s="497">
        <f t="shared" si="428"/>
        <v>2920.1</v>
      </c>
      <c r="K877" s="575">
        <f t="shared" si="417"/>
        <v>0.88638295288975222</v>
      </c>
      <c r="L877" s="168"/>
      <c r="M877" s="580"/>
      <c r="N877" s="161"/>
    </row>
    <row r="878" spans="1:14" s="145" customFormat="1" x14ac:dyDescent="0.25">
      <c r="A878" s="280" t="s">
        <v>162</v>
      </c>
      <c r="B878" s="209">
        <v>11</v>
      </c>
      <c r="C878" s="4" t="s">
        <v>32</v>
      </c>
      <c r="D878" s="163" t="s">
        <v>122</v>
      </c>
      <c r="E878" s="358"/>
      <c r="F878" s="168">
        <f>F879</f>
        <v>3294.4</v>
      </c>
      <c r="G878" s="327"/>
      <c r="H878" s="168">
        <f>H879</f>
        <v>3294.4</v>
      </c>
      <c r="I878" s="327"/>
      <c r="J878" s="497">
        <f t="shared" ref="J878" si="429">J879</f>
        <v>2920.1</v>
      </c>
      <c r="K878" s="575">
        <f t="shared" si="417"/>
        <v>0.88638295288975222</v>
      </c>
      <c r="L878" s="168"/>
      <c r="M878" s="580"/>
      <c r="N878" s="161"/>
    </row>
    <row r="879" spans="1:14" s="188" customFormat="1" ht="31.5" x14ac:dyDescent="0.25">
      <c r="A879" s="295" t="s">
        <v>163</v>
      </c>
      <c r="B879" s="209">
        <v>11</v>
      </c>
      <c r="C879" s="4" t="s">
        <v>32</v>
      </c>
      <c r="D879" s="163" t="s">
        <v>131</v>
      </c>
      <c r="E879" s="358"/>
      <c r="F879" s="168">
        <f>F880</f>
        <v>3294.4</v>
      </c>
      <c r="G879" s="327"/>
      <c r="H879" s="168">
        <f>H880</f>
        <v>3294.4</v>
      </c>
      <c r="I879" s="327"/>
      <c r="J879" s="497">
        <f>J880</f>
        <v>2920.1</v>
      </c>
      <c r="K879" s="575">
        <f t="shared" si="417"/>
        <v>0.88638295288975222</v>
      </c>
      <c r="L879" s="168"/>
      <c r="M879" s="580"/>
      <c r="N879" s="161"/>
    </row>
    <row r="880" spans="1:14" s="145" customFormat="1" ht="31.5" x14ac:dyDescent="0.25">
      <c r="A880" s="302" t="s">
        <v>166</v>
      </c>
      <c r="B880" s="209">
        <v>11</v>
      </c>
      <c r="C880" s="4" t="s">
        <v>32</v>
      </c>
      <c r="D880" s="163" t="s">
        <v>167</v>
      </c>
      <c r="E880" s="356"/>
      <c r="F880" s="168">
        <f>F881+F883</f>
        <v>3294.4</v>
      </c>
      <c r="G880" s="327"/>
      <c r="H880" s="168">
        <f>H881+H883</f>
        <v>3294.4</v>
      </c>
      <c r="I880" s="327"/>
      <c r="J880" s="497">
        <f t="shared" ref="J880" si="430">J881+J883</f>
        <v>2920.1</v>
      </c>
      <c r="K880" s="575">
        <f t="shared" si="417"/>
        <v>0.88638295288975222</v>
      </c>
      <c r="L880" s="168"/>
      <c r="M880" s="580"/>
      <c r="N880" s="161"/>
    </row>
    <row r="881" spans="1:14" s="145" customFormat="1" x14ac:dyDescent="0.25">
      <c r="A881" s="401" t="s">
        <v>123</v>
      </c>
      <c r="B881" s="209">
        <v>11</v>
      </c>
      <c r="C881" s="4" t="s">
        <v>32</v>
      </c>
      <c r="D881" s="163" t="s">
        <v>167</v>
      </c>
      <c r="E881" s="358">
        <v>200</v>
      </c>
      <c r="F881" s="168">
        <f>F882</f>
        <v>2535</v>
      </c>
      <c r="G881" s="327"/>
      <c r="H881" s="168">
        <f>H882</f>
        <v>2535</v>
      </c>
      <c r="I881" s="327"/>
      <c r="J881" s="497">
        <f>J882</f>
        <v>2160.6999999999998</v>
      </c>
      <c r="K881" s="575">
        <f t="shared" si="417"/>
        <v>0.85234714003944767</v>
      </c>
      <c r="L881" s="168"/>
      <c r="M881" s="580"/>
      <c r="N881" s="161"/>
    </row>
    <row r="882" spans="1:14" s="145" customFormat="1" ht="31.5" x14ac:dyDescent="0.25">
      <c r="A882" s="401" t="s">
        <v>54</v>
      </c>
      <c r="B882" s="209">
        <v>11</v>
      </c>
      <c r="C882" s="4" t="s">
        <v>32</v>
      </c>
      <c r="D882" s="163" t="s">
        <v>167</v>
      </c>
      <c r="E882" s="358">
        <v>240</v>
      </c>
      <c r="F882" s="168">
        <f>'ведом. 2023-2025'!AD496</f>
        <v>2535</v>
      </c>
      <c r="G882" s="327"/>
      <c r="H882" s="168">
        <f>'ведом. 2023-2025'!AE496</f>
        <v>2535</v>
      </c>
      <c r="I882" s="327"/>
      <c r="J882" s="497">
        <f>'ведом. 2023-2025'!AF496</f>
        <v>2160.6999999999998</v>
      </c>
      <c r="K882" s="575">
        <f t="shared" si="417"/>
        <v>0.85234714003944767</v>
      </c>
      <c r="L882" s="168"/>
      <c r="M882" s="580"/>
      <c r="N882" s="161"/>
    </row>
    <row r="883" spans="1:14" s="188" customFormat="1" ht="31.5" x14ac:dyDescent="0.25">
      <c r="A883" s="278" t="s">
        <v>62</v>
      </c>
      <c r="B883" s="209">
        <v>11</v>
      </c>
      <c r="C883" s="4" t="s">
        <v>32</v>
      </c>
      <c r="D883" s="163" t="s">
        <v>167</v>
      </c>
      <c r="E883" s="358">
        <v>600</v>
      </c>
      <c r="F883" s="168">
        <f>F884+F885</f>
        <v>759.4</v>
      </c>
      <c r="G883" s="327"/>
      <c r="H883" s="168">
        <f>H884+H885</f>
        <v>759.4</v>
      </c>
      <c r="I883" s="327"/>
      <c r="J883" s="497">
        <f t="shared" ref="J883" si="431">J884+J885</f>
        <v>759.4</v>
      </c>
      <c r="K883" s="575">
        <f t="shared" si="417"/>
        <v>1</v>
      </c>
      <c r="L883" s="168"/>
      <c r="M883" s="580"/>
      <c r="N883" s="161"/>
    </row>
    <row r="884" spans="1:14" s="188" customFormat="1" x14ac:dyDescent="0.25">
      <c r="A884" s="297" t="s">
        <v>63</v>
      </c>
      <c r="B884" s="209">
        <v>11</v>
      </c>
      <c r="C884" s="4" t="s">
        <v>32</v>
      </c>
      <c r="D884" s="163" t="s">
        <v>167</v>
      </c>
      <c r="E884" s="358">
        <v>610</v>
      </c>
      <c r="F884" s="168">
        <f>'ведом. 2023-2025'!AD498</f>
        <v>350</v>
      </c>
      <c r="G884" s="327"/>
      <c r="H884" s="168">
        <f>'ведом. 2023-2025'!AF498</f>
        <v>350</v>
      </c>
      <c r="I884" s="327"/>
      <c r="J884" s="497">
        <f>'ведом. 2023-2025'!AF498</f>
        <v>350</v>
      </c>
      <c r="K884" s="575">
        <f t="shared" si="417"/>
        <v>1</v>
      </c>
      <c r="L884" s="168"/>
      <c r="M884" s="580"/>
      <c r="N884" s="161"/>
    </row>
    <row r="885" spans="1:14" s="188" customFormat="1" x14ac:dyDescent="0.25">
      <c r="A885" s="297" t="s">
        <v>132</v>
      </c>
      <c r="B885" s="209">
        <v>11</v>
      </c>
      <c r="C885" s="4" t="s">
        <v>32</v>
      </c>
      <c r="D885" s="163" t="s">
        <v>167</v>
      </c>
      <c r="E885" s="358">
        <v>620</v>
      </c>
      <c r="F885" s="168">
        <f>'ведом. 2023-2025'!AD499</f>
        <v>409.4</v>
      </c>
      <c r="G885" s="327"/>
      <c r="H885" s="168">
        <f>'ведом. 2023-2025'!AF499</f>
        <v>409.4</v>
      </c>
      <c r="I885" s="327"/>
      <c r="J885" s="497">
        <f>'ведом. 2023-2025'!AF499</f>
        <v>409.4</v>
      </c>
      <c r="K885" s="575">
        <f t="shared" si="417"/>
        <v>1</v>
      </c>
      <c r="L885" s="168"/>
      <c r="M885" s="580"/>
      <c r="N885" s="161"/>
    </row>
    <row r="886" spans="1:14" s="188" customFormat="1" x14ac:dyDescent="0.25">
      <c r="A886" s="297" t="s">
        <v>737</v>
      </c>
      <c r="B886" s="1">
        <v>11</v>
      </c>
      <c r="C886" s="4" t="s">
        <v>7</v>
      </c>
      <c r="D886" s="326"/>
      <c r="E886" s="315"/>
      <c r="F886" s="168">
        <f t="shared" ref="F886:I891" si="432">F887</f>
        <v>65171.1</v>
      </c>
      <c r="G886" s="168">
        <f t="shared" si="432"/>
        <v>3308</v>
      </c>
      <c r="H886" s="168">
        <f t="shared" si="432"/>
        <v>65171.1</v>
      </c>
      <c r="I886" s="168">
        <f t="shared" si="432"/>
        <v>3308</v>
      </c>
      <c r="J886" s="497">
        <f t="shared" ref="J886" si="433">J887</f>
        <v>65171.1</v>
      </c>
      <c r="K886" s="575">
        <f t="shared" si="417"/>
        <v>1</v>
      </c>
      <c r="L886" s="168">
        <f t="shared" ref="L886:L887" si="434">L887</f>
        <v>3308</v>
      </c>
      <c r="M886" s="580">
        <f t="shared" si="418"/>
        <v>1</v>
      </c>
      <c r="N886" s="161"/>
    </row>
    <row r="887" spans="1:14" s="188" customFormat="1" x14ac:dyDescent="0.25">
      <c r="A887" s="280" t="s">
        <v>161</v>
      </c>
      <c r="B887" s="1">
        <v>11</v>
      </c>
      <c r="C887" s="4" t="s">
        <v>7</v>
      </c>
      <c r="D887" s="326" t="s">
        <v>118</v>
      </c>
      <c r="E887" s="315"/>
      <c r="F887" s="168">
        <f t="shared" si="432"/>
        <v>65171.1</v>
      </c>
      <c r="G887" s="168">
        <f t="shared" si="432"/>
        <v>3308</v>
      </c>
      <c r="H887" s="168">
        <f t="shared" si="432"/>
        <v>65171.1</v>
      </c>
      <c r="I887" s="168">
        <f t="shared" si="432"/>
        <v>3308</v>
      </c>
      <c r="J887" s="497">
        <f t="shared" ref="J887" si="435">J888</f>
        <v>65171.1</v>
      </c>
      <c r="K887" s="575">
        <f t="shared" si="417"/>
        <v>1</v>
      </c>
      <c r="L887" s="168">
        <f t="shared" si="434"/>
        <v>3308</v>
      </c>
      <c r="M887" s="580">
        <f t="shared" si="418"/>
        <v>1</v>
      </c>
      <c r="N887" s="161"/>
    </row>
    <row r="888" spans="1:14" s="188" customFormat="1" x14ac:dyDescent="0.25">
      <c r="A888" s="297" t="s">
        <v>738</v>
      </c>
      <c r="B888" s="1">
        <v>11</v>
      </c>
      <c r="C888" s="4" t="s">
        <v>7</v>
      </c>
      <c r="D888" s="326" t="s">
        <v>739</v>
      </c>
      <c r="E888" s="315"/>
      <c r="F888" s="168">
        <f>F889+F893</f>
        <v>65171.1</v>
      </c>
      <c r="G888" s="168">
        <f t="shared" ref="G888:J888" si="436">G889+G893</f>
        <v>3308</v>
      </c>
      <c r="H888" s="168">
        <f>H889+H893</f>
        <v>65171.1</v>
      </c>
      <c r="I888" s="168">
        <f t="shared" ref="I888" si="437">I889+I893</f>
        <v>3308</v>
      </c>
      <c r="J888" s="497">
        <f t="shared" si="436"/>
        <v>65171.1</v>
      </c>
      <c r="K888" s="575">
        <f t="shared" si="417"/>
        <v>1</v>
      </c>
      <c r="L888" s="168">
        <f t="shared" ref="L888" si="438">L889+L893</f>
        <v>3308</v>
      </c>
      <c r="M888" s="580">
        <f t="shared" si="418"/>
        <v>1</v>
      </c>
      <c r="N888" s="161"/>
    </row>
    <row r="889" spans="1:14" s="188" customFormat="1" x14ac:dyDescent="0.25">
      <c r="A889" s="297" t="s">
        <v>741</v>
      </c>
      <c r="B889" s="1">
        <v>11</v>
      </c>
      <c r="C889" s="4" t="s">
        <v>7</v>
      </c>
      <c r="D889" s="326" t="s">
        <v>740</v>
      </c>
      <c r="E889" s="315"/>
      <c r="F889" s="168">
        <f t="shared" si="432"/>
        <v>61863.1</v>
      </c>
      <c r="G889" s="168"/>
      <c r="H889" s="168">
        <f t="shared" si="432"/>
        <v>61863.1</v>
      </c>
      <c r="I889" s="168"/>
      <c r="J889" s="497">
        <f t="shared" ref="J889" si="439">J890</f>
        <v>61863.1</v>
      </c>
      <c r="K889" s="575">
        <f t="shared" si="417"/>
        <v>1</v>
      </c>
      <c r="L889" s="168"/>
      <c r="M889" s="580"/>
      <c r="N889" s="161"/>
    </row>
    <row r="890" spans="1:14" s="188" customFormat="1" ht="31.5" x14ac:dyDescent="0.25">
      <c r="A890" s="297" t="s">
        <v>743</v>
      </c>
      <c r="B890" s="1">
        <v>11</v>
      </c>
      <c r="C890" s="4" t="s">
        <v>7</v>
      </c>
      <c r="D890" s="326" t="s">
        <v>742</v>
      </c>
      <c r="E890" s="315"/>
      <c r="F890" s="168">
        <f t="shared" si="432"/>
        <v>61863.1</v>
      </c>
      <c r="G890" s="168"/>
      <c r="H890" s="168">
        <f t="shared" si="432"/>
        <v>61863.1</v>
      </c>
      <c r="I890" s="168"/>
      <c r="J890" s="497">
        <f t="shared" ref="J890" si="440">J891</f>
        <v>61863.1</v>
      </c>
      <c r="K890" s="575">
        <f t="shared" si="417"/>
        <v>1</v>
      </c>
      <c r="L890" s="168"/>
      <c r="M890" s="580"/>
      <c r="N890" s="161"/>
    </row>
    <row r="891" spans="1:14" s="188" customFormat="1" ht="31.5" x14ac:dyDescent="0.25">
      <c r="A891" s="278" t="s">
        <v>62</v>
      </c>
      <c r="B891" s="1">
        <v>11</v>
      </c>
      <c r="C891" s="4" t="s">
        <v>7</v>
      </c>
      <c r="D891" s="326" t="s">
        <v>742</v>
      </c>
      <c r="E891" s="315">
        <v>600</v>
      </c>
      <c r="F891" s="168">
        <f t="shared" si="432"/>
        <v>61863.1</v>
      </c>
      <c r="G891" s="168"/>
      <c r="H891" s="168">
        <f t="shared" si="432"/>
        <v>61863.1</v>
      </c>
      <c r="I891" s="168"/>
      <c r="J891" s="497">
        <f t="shared" ref="J891" si="441">J892</f>
        <v>61863.1</v>
      </c>
      <c r="K891" s="575">
        <f t="shared" si="417"/>
        <v>1</v>
      </c>
      <c r="L891" s="168"/>
      <c r="M891" s="580"/>
      <c r="N891" s="161"/>
    </row>
    <row r="892" spans="1:14" s="188" customFormat="1" x14ac:dyDescent="0.25">
      <c r="A892" s="297" t="s">
        <v>132</v>
      </c>
      <c r="B892" s="1">
        <v>11</v>
      </c>
      <c r="C892" s="4" t="s">
        <v>7</v>
      </c>
      <c r="D892" s="326" t="s">
        <v>742</v>
      </c>
      <c r="E892" s="315">
        <v>620</v>
      </c>
      <c r="F892" s="168">
        <f>'ведом. 2023-2025'!AD506</f>
        <v>61863.1</v>
      </c>
      <c r="G892" s="327"/>
      <c r="H892" s="168">
        <f>'ведом. 2023-2025'!AF506</f>
        <v>61863.1</v>
      </c>
      <c r="I892" s="327"/>
      <c r="J892" s="497">
        <f>'ведом. 2023-2025'!AF506</f>
        <v>61863.1</v>
      </c>
      <c r="K892" s="575">
        <f t="shared" si="417"/>
        <v>1</v>
      </c>
      <c r="L892" s="168"/>
      <c r="M892" s="580"/>
      <c r="N892" s="161"/>
    </row>
    <row r="893" spans="1:14" s="188" customFormat="1" ht="31.5" x14ac:dyDescent="0.25">
      <c r="A893" s="297" t="s">
        <v>762</v>
      </c>
      <c r="B893" s="1">
        <v>11</v>
      </c>
      <c r="C893" s="4" t="s">
        <v>7</v>
      </c>
      <c r="D893" s="326" t="s">
        <v>761</v>
      </c>
      <c r="E893" s="315"/>
      <c r="F893" s="168">
        <f>F897+F894</f>
        <v>3308</v>
      </c>
      <c r="G893" s="168">
        <f t="shared" ref="G893:J893" si="442">G897+G894</f>
        <v>3308</v>
      </c>
      <c r="H893" s="168">
        <f>H897+H894</f>
        <v>3308</v>
      </c>
      <c r="I893" s="168">
        <f t="shared" ref="I893" si="443">I897+I894</f>
        <v>3308</v>
      </c>
      <c r="J893" s="497">
        <f t="shared" si="442"/>
        <v>3308</v>
      </c>
      <c r="K893" s="575">
        <f t="shared" si="417"/>
        <v>1</v>
      </c>
      <c r="L893" s="168">
        <f>L897+L894</f>
        <v>3308</v>
      </c>
      <c r="M893" s="580">
        <f t="shared" si="418"/>
        <v>1</v>
      </c>
      <c r="N893" s="161"/>
    </row>
    <row r="894" spans="1:14" s="188" customFormat="1" ht="31.5" x14ac:dyDescent="0.25">
      <c r="A894" s="297" t="s">
        <v>789</v>
      </c>
      <c r="B894" s="1">
        <v>11</v>
      </c>
      <c r="C894" s="4" t="s">
        <v>7</v>
      </c>
      <c r="D894" s="326" t="s">
        <v>790</v>
      </c>
      <c r="E894" s="315"/>
      <c r="F894" s="168">
        <f>F895</f>
        <v>3012</v>
      </c>
      <c r="G894" s="168">
        <f t="shared" ref="G894:J894" si="444">G895</f>
        <v>3012</v>
      </c>
      <c r="H894" s="168">
        <f>H895</f>
        <v>3012</v>
      </c>
      <c r="I894" s="168">
        <f t="shared" si="444"/>
        <v>3012</v>
      </c>
      <c r="J894" s="497">
        <f t="shared" si="444"/>
        <v>3012</v>
      </c>
      <c r="K894" s="575">
        <f t="shared" si="417"/>
        <v>1</v>
      </c>
      <c r="L894" s="168">
        <f>L895</f>
        <v>3012</v>
      </c>
      <c r="M894" s="580">
        <f t="shared" si="418"/>
        <v>1</v>
      </c>
      <c r="N894" s="161"/>
    </row>
    <row r="895" spans="1:14" s="188" customFormat="1" ht="31.5" x14ac:dyDescent="0.25">
      <c r="A895" s="278" t="s">
        <v>62</v>
      </c>
      <c r="B895" s="1">
        <v>11</v>
      </c>
      <c r="C895" s="4" t="s">
        <v>7</v>
      </c>
      <c r="D895" s="326" t="s">
        <v>790</v>
      </c>
      <c r="E895" s="315">
        <v>600</v>
      </c>
      <c r="F895" s="168">
        <f>F896</f>
        <v>3012</v>
      </c>
      <c r="G895" s="168">
        <f t="shared" ref="G895:J895" si="445">G896</f>
        <v>3012</v>
      </c>
      <c r="H895" s="168">
        <f>H896</f>
        <v>3012</v>
      </c>
      <c r="I895" s="168">
        <f t="shared" si="445"/>
        <v>3012</v>
      </c>
      <c r="J895" s="497">
        <f t="shared" si="445"/>
        <v>3012</v>
      </c>
      <c r="K895" s="575">
        <f t="shared" si="417"/>
        <v>1</v>
      </c>
      <c r="L895" s="168">
        <f>L896</f>
        <v>3012</v>
      </c>
      <c r="M895" s="580">
        <f t="shared" si="418"/>
        <v>1</v>
      </c>
      <c r="N895" s="161"/>
    </row>
    <row r="896" spans="1:14" s="188" customFormat="1" x14ac:dyDescent="0.25">
      <c r="A896" s="278" t="s">
        <v>132</v>
      </c>
      <c r="B896" s="1">
        <v>11</v>
      </c>
      <c r="C896" s="4" t="s">
        <v>7</v>
      </c>
      <c r="D896" s="326" t="s">
        <v>790</v>
      </c>
      <c r="E896" s="315">
        <v>620</v>
      </c>
      <c r="F896" s="168">
        <f>'ведом. 2023-2025'!AD510</f>
        <v>3012</v>
      </c>
      <c r="G896" s="168">
        <f>F896</f>
        <v>3012</v>
      </c>
      <c r="H896" s="168">
        <f>'ведом. 2023-2025'!AF510</f>
        <v>3012</v>
      </c>
      <c r="I896" s="168">
        <f>H896</f>
        <v>3012</v>
      </c>
      <c r="J896" s="497">
        <f>'ведом. 2023-2025'!AF510</f>
        <v>3012</v>
      </c>
      <c r="K896" s="575">
        <f t="shared" si="417"/>
        <v>1</v>
      </c>
      <c r="L896" s="168">
        <f>J896</f>
        <v>3012</v>
      </c>
      <c r="M896" s="580">
        <f t="shared" si="418"/>
        <v>1</v>
      </c>
      <c r="N896" s="161"/>
    </row>
    <row r="897" spans="1:14" s="188" customFormat="1" ht="31.5" x14ac:dyDescent="0.25">
      <c r="A897" s="297" t="s">
        <v>763</v>
      </c>
      <c r="B897" s="1">
        <v>11</v>
      </c>
      <c r="C897" s="4" t="s">
        <v>7</v>
      </c>
      <c r="D897" s="326" t="s">
        <v>764</v>
      </c>
      <c r="E897" s="315"/>
      <c r="F897" s="168">
        <f>F898</f>
        <v>296</v>
      </c>
      <c r="G897" s="168">
        <f t="shared" ref="G897:J897" si="446">G898</f>
        <v>296</v>
      </c>
      <c r="H897" s="168">
        <f>H898</f>
        <v>296</v>
      </c>
      <c r="I897" s="168">
        <f t="shared" si="446"/>
        <v>296</v>
      </c>
      <c r="J897" s="497">
        <f t="shared" si="446"/>
        <v>296</v>
      </c>
      <c r="K897" s="575">
        <f t="shared" si="417"/>
        <v>1</v>
      </c>
      <c r="L897" s="168">
        <f>L898</f>
        <v>296</v>
      </c>
      <c r="M897" s="580">
        <f t="shared" si="418"/>
        <v>1</v>
      </c>
      <c r="N897" s="161"/>
    </row>
    <row r="898" spans="1:14" s="188" customFormat="1" ht="31.5" x14ac:dyDescent="0.25">
      <c r="A898" s="278" t="s">
        <v>62</v>
      </c>
      <c r="B898" s="1">
        <v>11</v>
      </c>
      <c r="C898" s="4" t="s">
        <v>7</v>
      </c>
      <c r="D898" s="326" t="s">
        <v>764</v>
      </c>
      <c r="E898" s="315">
        <v>600</v>
      </c>
      <c r="F898" s="168">
        <f>F899</f>
        <v>296</v>
      </c>
      <c r="G898" s="168">
        <f t="shared" ref="G898:J898" si="447">G899</f>
        <v>296</v>
      </c>
      <c r="H898" s="168">
        <f>H899</f>
        <v>296</v>
      </c>
      <c r="I898" s="168">
        <f t="shared" si="447"/>
        <v>296</v>
      </c>
      <c r="J898" s="497">
        <f t="shared" si="447"/>
        <v>296</v>
      </c>
      <c r="K898" s="575">
        <f t="shared" si="417"/>
        <v>1</v>
      </c>
      <c r="L898" s="168">
        <f>L899</f>
        <v>296</v>
      </c>
      <c r="M898" s="580">
        <f t="shared" si="418"/>
        <v>1</v>
      </c>
      <c r="N898" s="161"/>
    </row>
    <row r="899" spans="1:14" s="188" customFormat="1" x14ac:dyDescent="0.25">
      <c r="A899" s="297" t="s">
        <v>132</v>
      </c>
      <c r="B899" s="1">
        <v>11</v>
      </c>
      <c r="C899" s="4" t="s">
        <v>7</v>
      </c>
      <c r="D899" s="326" t="s">
        <v>764</v>
      </c>
      <c r="E899" s="315">
        <v>620</v>
      </c>
      <c r="F899" s="168">
        <f>'ведом. 2023-2025'!AD513</f>
        <v>296</v>
      </c>
      <c r="G899" s="327">
        <f>F899</f>
        <v>296</v>
      </c>
      <c r="H899" s="168">
        <f>'ведом. 2023-2025'!AF513</f>
        <v>296</v>
      </c>
      <c r="I899" s="327">
        <f>H899</f>
        <v>296</v>
      </c>
      <c r="J899" s="497">
        <f>'ведом. 2023-2025'!AF513</f>
        <v>296</v>
      </c>
      <c r="K899" s="575">
        <f t="shared" si="417"/>
        <v>1</v>
      </c>
      <c r="L899" s="168">
        <f>J899</f>
        <v>296</v>
      </c>
      <c r="M899" s="580">
        <f t="shared" si="418"/>
        <v>1</v>
      </c>
      <c r="N899" s="161"/>
    </row>
    <row r="900" spans="1:14" s="141" customFormat="1" x14ac:dyDescent="0.25">
      <c r="A900" s="417" t="s">
        <v>491</v>
      </c>
      <c r="B900" s="199">
        <v>13</v>
      </c>
      <c r="C900" s="206"/>
      <c r="D900" s="305"/>
      <c r="E900" s="356"/>
      <c r="F900" s="170">
        <f>F902</f>
        <v>355.70000000000005</v>
      </c>
      <c r="G900" s="373"/>
      <c r="H900" s="170">
        <f>H902</f>
        <v>355.70000000000005</v>
      </c>
      <c r="I900" s="170"/>
      <c r="J900" s="505">
        <f>J902</f>
        <v>355.5</v>
      </c>
      <c r="K900" s="574">
        <f t="shared" si="417"/>
        <v>0.99943772842282808</v>
      </c>
      <c r="L900" s="170"/>
      <c r="M900" s="581"/>
      <c r="N900" s="548"/>
    </row>
    <row r="901" spans="1:14" s="188" customFormat="1" x14ac:dyDescent="0.25">
      <c r="A901" s="278" t="s">
        <v>492</v>
      </c>
      <c r="B901" s="11">
        <v>13</v>
      </c>
      <c r="C901" s="4" t="s">
        <v>31</v>
      </c>
      <c r="D901" s="163"/>
      <c r="E901" s="356"/>
      <c r="F901" s="168">
        <f>F902</f>
        <v>355.70000000000005</v>
      </c>
      <c r="G901" s="327"/>
      <c r="H901" s="168">
        <f>H902</f>
        <v>355.70000000000005</v>
      </c>
      <c r="I901" s="168"/>
      <c r="J901" s="497">
        <f>J902</f>
        <v>355.5</v>
      </c>
      <c r="K901" s="575">
        <f t="shared" si="417"/>
        <v>0.99943772842282808</v>
      </c>
      <c r="L901" s="170"/>
      <c r="M901" s="580"/>
      <c r="N901" s="161"/>
    </row>
    <row r="902" spans="1:14" s="145" customFormat="1" x14ac:dyDescent="0.25">
      <c r="A902" s="280" t="s">
        <v>193</v>
      </c>
      <c r="B902" s="11">
        <v>13</v>
      </c>
      <c r="C902" s="4" t="s">
        <v>31</v>
      </c>
      <c r="D902" s="163" t="s">
        <v>115</v>
      </c>
      <c r="E902" s="352"/>
      <c r="F902" s="168">
        <f>F906</f>
        <v>355.70000000000005</v>
      </c>
      <c r="G902" s="327"/>
      <c r="H902" s="168">
        <f>H906</f>
        <v>355.70000000000005</v>
      </c>
      <c r="I902" s="168"/>
      <c r="J902" s="497">
        <f>J906</f>
        <v>355.5</v>
      </c>
      <c r="K902" s="575">
        <f t="shared" si="417"/>
        <v>0.99943772842282808</v>
      </c>
      <c r="L902" s="168"/>
      <c r="M902" s="580"/>
      <c r="N902" s="161"/>
    </row>
    <row r="903" spans="1:14" s="145" customFormat="1" x14ac:dyDescent="0.25">
      <c r="A903" s="284" t="s">
        <v>612</v>
      </c>
      <c r="B903" s="11">
        <v>13</v>
      </c>
      <c r="C903" s="4" t="s">
        <v>31</v>
      </c>
      <c r="D903" s="163" t="s">
        <v>448</v>
      </c>
      <c r="E903" s="352"/>
      <c r="F903" s="168">
        <f>F906</f>
        <v>355.70000000000005</v>
      </c>
      <c r="G903" s="327"/>
      <c r="H903" s="168">
        <f>H906</f>
        <v>355.70000000000005</v>
      </c>
      <c r="I903" s="168"/>
      <c r="J903" s="497">
        <f>J906</f>
        <v>355.5</v>
      </c>
      <c r="K903" s="575">
        <f t="shared" si="417"/>
        <v>0.99943772842282808</v>
      </c>
      <c r="L903" s="168"/>
      <c r="M903" s="580"/>
      <c r="N903" s="161"/>
    </row>
    <row r="904" spans="1:14" s="145" customFormat="1" ht="31.5" x14ac:dyDescent="0.25">
      <c r="A904" s="282" t="s">
        <v>613</v>
      </c>
      <c r="B904" s="11">
        <v>13</v>
      </c>
      <c r="C904" s="4" t="s">
        <v>31</v>
      </c>
      <c r="D904" s="163" t="s">
        <v>450</v>
      </c>
      <c r="E904" s="352"/>
      <c r="F904" s="168">
        <f>F905</f>
        <v>355.70000000000005</v>
      </c>
      <c r="G904" s="327"/>
      <c r="H904" s="168">
        <f>H905</f>
        <v>355.70000000000005</v>
      </c>
      <c r="I904" s="168"/>
      <c r="J904" s="497">
        <f>J905</f>
        <v>355.5</v>
      </c>
      <c r="K904" s="575">
        <f t="shared" si="417"/>
        <v>0.99943772842282808</v>
      </c>
      <c r="L904" s="168"/>
      <c r="M904" s="580"/>
      <c r="N904" s="161"/>
    </row>
    <row r="905" spans="1:14" s="145" customFormat="1" x14ac:dyDescent="0.25">
      <c r="A905" s="284" t="s">
        <v>197</v>
      </c>
      <c r="B905" s="11">
        <v>13</v>
      </c>
      <c r="C905" s="4" t="s">
        <v>31</v>
      </c>
      <c r="D905" s="163" t="s">
        <v>614</v>
      </c>
      <c r="E905" s="352"/>
      <c r="F905" s="168">
        <f>F906</f>
        <v>355.70000000000005</v>
      </c>
      <c r="G905" s="327"/>
      <c r="H905" s="168">
        <f>H906</f>
        <v>355.70000000000005</v>
      </c>
      <c r="I905" s="168"/>
      <c r="J905" s="497">
        <f>J906</f>
        <v>355.5</v>
      </c>
      <c r="K905" s="575">
        <f t="shared" si="417"/>
        <v>0.99943772842282808</v>
      </c>
      <c r="L905" s="168"/>
      <c r="M905" s="580"/>
      <c r="N905" s="161"/>
    </row>
    <row r="906" spans="1:14" s="145" customFormat="1" x14ac:dyDescent="0.25">
      <c r="A906" s="278" t="s">
        <v>69</v>
      </c>
      <c r="B906" s="11">
        <v>13</v>
      </c>
      <c r="C906" s="4" t="s">
        <v>31</v>
      </c>
      <c r="D906" s="163" t="s">
        <v>614</v>
      </c>
      <c r="E906" s="352">
        <v>700</v>
      </c>
      <c r="F906" s="168">
        <f>F907</f>
        <v>355.70000000000005</v>
      </c>
      <c r="G906" s="327"/>
      <c r="H906" s="168">
        <f>H907</f>
        <v>355.70000000000005</v>
      </c>
      <c r="I906" s="168"/>
      <c r="J906" s="497">
        <f>J907</f>
        <v>355.5</v>
      </c>
      <c r="K906" s="575">
        <f t="shared" si="417"/>
        <v>0.99943772842282808</v>
      </c>
      <c r="L906" s="168"/>
      <c r="M906" s="580"/>
      <c r="N906" s="161"/>
    </row>
    <row r="907" spans="1:14" s="145" customFormat="1" ht="17.25" thickBot="1" x14ac:dyDescent="0.3">
      <c r="A907" s="278" t="s">
        <v>382</v>
      </c>
      <c r="B907" s="11">
        <v>13</v>
      </c>
      <c r="C907" s="4" t="s">
        <v>31</v>
      </c>
      <c r="D907" s="163" t="s">
        <v>614</v>
      </c>
      <c r="E907" s="352">
        <v>730</v>
      </c>
      <c r="F907" s="171">
        <f>'ведом. 2023-2025'!AD521</f>
        <v>355.70000000000005</v>
      </c>
      <c r="G907" s="378"/>
      <c r="H907" s="171">
        <f>'ведом. 2023-2025'!AE521</f>
        <v>355.70000000000005</v>
      </c>
      <c r="I907" s="171"/>
      <c r="J907" s="510">
        <f>'ведом. 2023-2025'!AF521</f>
        <v>355.5</v>
      </c>
      <c r="K907" s="576">
        <f t="shared" si="417"/>
        <v>0.99943772842282808</v>
      </c>
      <c r="L907" s="171"/>
      <c r="M907" s="582"/>
      <c r="N907" s="161"/>
    </row>
    <row r="908" spans="1:14" s="145" customFormat="1" ht="17.25" thickBot="1" x14ac:dyDescent="0.3">
      <c r="A908" s="427" t="s">
        <v>59</v>
      </c>
      <c r="B908" s="208"/>
      <c r="C908" s="342"/>
      <c r="D908" s="349"/>
      <c r="E908" s="371"/>
      <c r="F908" s="328">
        <f>F900+F868+F826+F754+F561+F403+F322+F265+F250+F13+F545</f>
        <v>4094889.1999999997</v>
      </c>
      <c r="G908" s="328">
        <f>G900+G868+G826+G754+G561+G403+G322+G265+G250+G13+G545</f>
        <v>2615258.5</v>
      </c>
      <c r="H908" s="328">
        <f>H900+H868+H826+H754+H561+H403+H322+H265+H250+H13+H545</f>
        <v>4240954.3999999994</v>
      </c>
      <c r="I908" s="328">
        <f>I900+I868+I826+I754+I561+I403+I322+I265+I250+I13+I545</f>
        <v>2594909.2999999998</v>
      </c>
      <c r="J908" s="506">
        <f>J900+J868+J826+J754+J561+J403+J322+J265+J250+J13+J545</f>
        <v>4015975</v>
      </c>
      <c r="K908" s="514">
        <f t="shared" si="417"/>
        <v>0.94695076183794868</v>
      </c>
      <c r="L908" s="328">
        <f>L900+L868+L826+L754+L561+L403+L322+L265+L250+L13+L545</f>
        <v>2554220.4000000004</v>
      </c>
      <c r="M908" s="578">
        <f t="shared" si="418"/>
        <v>0.98431972169508986</v>
      </c>
      <c r="N908" s="161"/>
    </row>
    <row r="909" spans="1:14" x14ac:dyDescent="0.25">
      <c r="K909" s="522"/>
      <c r="L909" s="155"/>
      <c r="N909" s="155"/>
    </row>
    <row r="910" spans="1:14" x14ac:dyDescent="0.25">
      <c r="G910" s="31"/>
      <c r="J910" s="31"/>
      <c r="K910" s="194"/>
      <c r="L910" s="31"/>
      <c r="N910" s="155"/>
    </row>
    <row r="911" spans="1:14" x14ac:dyDescent="0.25">
      <c r="A911" s="182"/>
      <c r="B911" s="138"/>
      <c r="C911" s="138"/>
      <c r="D911" s="139"/>
      <c r="E911" s="138"/>
      <c r="G911" s="31"/>
      <c r="J911" s="31"/>
      <c r="K911" s="194"/>
      <c r="L911" s="31"/>
    </row>
    <row r="913" spans="10:11" x14ac:dyDescent="0.25">
      <c r="J913" s="155"/>
      <c r="K913" s="155"/>
    </row>
    <row r="915" spans="10:11" x14ac:dyDescent="0.25">
      <c r="J915" s="155"/>
      <c r="K915" s="155"/>
    </row>
  </sheetData>
  <mergeCells count="8">
    <mergeCell ref="A9:M9"/>
    <mergeCell ref="Q2:S2"/>
    <mergeCell ref="J2:M2"/>
    <mergeCell ref="K3:M3"/>
    <mergeCell ref="F5:L5"/>
    <mergeCell ref="D2:E2"/>
    <mergeCell ref="F2:H2"/>
    <mergeCell ref="H4:M4"/>
  </mergeCells>
  <phoneticPr fontId="29" type="noConversion"/>
  <pageMargins left="0.59055118110236227" right="0.39370078740157483" top="0.59055118110236227" bottom="0.59055118110236227" header="0.51181102362204722" footer="0.51181102362204722"/>
  <pageSetup paperSize="9" scale="56" fitToHeight="0" orientation="landscape" r:id="rId1"/>
  <headerFooter alignWithMargins="0">
    <oddHeader xml:space="preserve"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17"/>
  <sheetViews>
    <sheetView view="pageBreakPreview" topLeftCell="A702" zoomScale="88" zoomScaleNormal="75" zoomScaleSheetLayoutView="88" workbookViewId="0">
      <selection activeCell="K711" sqref="K711"/>
    </sheetView>
  </sheetViews>
  <sheetFormatPr defaultColWidth="9.28515625" defaultRowHeight="15.75" x14ac:dyDescent="0.25"/>
  <cols>
    <col min="1" max="1" width="97" style="140" customWidth="1"/>
    <col min="2" max="2" width="19.85546875" style="181" customWidth="1"/>
    <col min="3" max="3" width="6.7109375" style="143" customWidth="1"/>
    <col min="4" max="4" width="16.5703125" style="144" customWidth="1"/>
    <col min="5" max="5" width="16.42578125" style="144" customWidth="1"/>
    <col min="6" max="6" width="13.85546875" style="145" customWidth="1"/>
    <col min="7" max="7" width="12.28515625" style="145" customWidth="1"/>
    <col min="8" max="16384" width="9.28515625" style="145"/>
  </cols>
  <sheetData>
    <row r="1" spans="1:9" s="188" customFormat="1" x14ac:dyDescent="0.25">
      <c r="A1" s="140"/>
      <c r="B1" s="180"/>
      <c r="C1" s="35"/>
      <c r="D1" s="36"/>
      <c r="E1" s="36"/>
    </row>
    <row r="2" spans="1:9" s="188" customFormat="1" ht="6" customHeight="1" x14ac:dyDescent="0.25">
      <c r="A2" s="140"/>
      <c r="B2" s="180"/>
      <c r="C2" s="35"/>
      <c r="D2" s="36"/>
      <c r="E2" s="36"/>
    </row>
    <row r="3" spans="1:9" s="188" customFormat="1" ht="18" customHeight="1" x14ac:dyDescent="0.2">
      <c r="A3" s="140"/>
      <c r="B3" s="620" t="s">
        <v>809</v>
      </c>
      <c r="C3" s="621"/>
      <c r="D3" s="621"/>
      <c r="E3" s="621"/>
      <c r="F3" s="621"/>
      <c r="G3" s="610"/>
    </row>
    <row r="4" spans="1:9" s="188" customFormat="1" ht="30" customHeight="1" x14ac:dyDescent="0.25">
      <c r="A4" s="140"/>
      <c r="B4" s="622" t="s">
        <v>810</v>
      </c>
      <c r="C4" s="619"/>
      <c r="D4" s="619"/>
      <c r="E4" s="619"/>
      <c r="F4" s="610"/>
      <c r="G4" s="610"/>
    </row>
    <row r="5" spans="1:9" s="188" customFormat="1" x14ac:dyDescent="0.25">
      <c r="A5" s="140"/>
      <c r="B5" s="180"/>
      <c r="C5" s="35"/>
      <c r="D5" s="36"/>
      <c r="E5" s="36"/>
    </row>
    <row r="6" spans="1:9" s="188" customFormat="1" x14ac:dyDescent="0.25">
      <c r="A6" s="140"/>
      <c r="B6" s="154"/>
      <c r="C6" s="138"/>
      <c r="D6" s="10"/>
      <c r="E6" s="10"/>
    </row>
    <row r="7" spans="1:9" s="188" customFormat="1" x14ac:dyDescent="0.25">
      <c r="A7" s="140"/>
      <c r="B7" s="154"/>
      <c r="C7" s="138"/>
      <c r="D7" s="10"/>
      <c r="E7" s="10"/>
    </row>
    <row r="8" spans="1:9" ht="77.45" customHeight="1" x14ac:dyDescent="0.2">
      <c r="A8" s="623" t="s">
        <v>814</v>
      </c>
      <c r="B8" s="623"/>
      <c r="C8" s="623"/>
      <c r="D8" s="624"/>
      <c r="E8" s="624"/>
      <c r="F8" s="625"/>
      <c r="G8" s="625"/>
    </row>
    <row r="9" spans="1:9" x14ac:dyDescent="0.25">
      <c r="A9" s="28"/>
      <c r="B9" s="180"/>
      <c r="C9" s="35"/>
      <c r="D9" s="36"/>
      <c r="E9" s="36"/>
      <c r="F9" s="229"/>
      <c r="G9" s="228"/>
      <c r="H9" s="228"/>
      <c r="I9" s="228"/>
    </row>
    <row r="10" spans="1:9" ht="16.5" thickBot="1" x14ac:dyDescent="0.3">
      <c r="A10" s="28"/>
      <c r="B10" s="180"/>
      <c r="C10" s="35"/>
      <c r="D10" s="36"/>
      <c r="E10" s="36"/>
      <c r="G10" s="36" t="s">
        <v>153</v>
      </c>
      <c r="H10" s="249"/>
      <c r="I10" s="249"/>
    </row>
    <row r="11" spans="1:9" ht="32.25" thickBot="1" x14ac:dyDescent="0.25">
      <c r="A11" s="27" t="s">
        <v>74</v>
      </c>
      <c r="B11" s="27" t="s">
        <v>1</v>
      </c>
      <c r="C11" s="27" t="s">
        <v>64</v>
      </c>
      <c r="D11" s="195" t="s">
        <v>806</v>
      </c>
      <c r="E11" s="520" t="s">
        <v>807</v>
      </c>
      <c r="F11" s="187" t="s">
        <v>794</v>
      </c>
      <c r="G11" s="195" t="s">
        <v>795</v>
      </c>
      <c r="H11" s="219"/>
      <c r="I11" s="219"/>
    </row>
    <row r="12" spans="1:9" ht="16.5" thickBot="1" x14ac:dyDescent="0.3">
      <c r="A12" s="294">
        <v>1</v>
      </c>
      <c r="B12" s="164">
        <v>2</v>
      </c>
      <c r="C12" s="164">
        <v>3</v>
      </c>
      <c r="D12" s="177">
        <v>4</v>
      </c>
      <c r="E12" s="177">
        <v>5</v>
      </c>
      <c r="F12" s="521">
        <v>6</v>
      </c>
      <c r="G12" s="538">
        <v>7</v>
      </c>
      <c r="H12" s="158" t="s">
        <v>662</v>
      </c>
      <c r="I12" s="137"/>
    </row>
    <row r="13" spans="1:9" s="141" customFormat="1" x14ac:dyDescent="0.25">
      <c r="A13" s="430" t="s">
        <v>661</v>
      </c>
      <c r="B13" s="445" t="s">
        <v>117</v>
      </c>
      <c r="C13" s="540"/>
      <c r="D13" s="335">
        <f>D14+D22+D36+D62</f>
        <v>185690.9</v>
      </c>
      <c r="E13" s="335">
        <f t="shared" ref="E13:F13" si="0">E14+E22+E36+E62</f>
        <v>185690.9</v>
      </c>
      <c r="F13" s="335">
        <f t="shared" si="0"/>
        <v>185446.8</v>
      </c>
      <c r="G13" s="534">
        <f>F13/E13</f>
        <v>0.99868544985241603</v>
      </c>
    </row>
    <row r="14" spans="1:9" x14ac:dyDescent="0.25">
      <c r="A14" s="280" t="s">
        <v>562</v>
      </c>
      <c r="B14" s="163" t="s">
        <v>331</v>
      </c>
      <c r="C14" s="311"/>
      <c r="D14" s="34">
        <f t="shared" ref="D14:F17" si="1">D15</f>
        <v>21780.100000000002</v>
      </c>
      <c r="E14" s="34">
        <f t="shared" si="1"/>
        <v>21780.100000000002</v>
      </c>
      <c r="F14" s="34">
        <f t="shared" si="1"/>
        <v>21780.1</v>
      </c>
      <c r="G14" s="535">
        <f t="shared" ref="G14:G77" si="2">F14/E14</f>
        <v>0.99999999999999978</v>
      </c>
    </row>
    <row r="15" spans="1:9" x14ac:dyDescent="0.25">
      <c r="A15" s="295" t="s">
        <v>332</v>
      </c>
      <c r="B15" s="163" t="s">
        <v>333</v>
      </c>
      <c r="C15" s="311"/>
      <c r="D15" s="34">
        <f>D16+D19</f>
        <v>21780.100000000002</v>
      </c>
      <c r="E15" s="34">
        <f t="shared" ref="E15:F15" si="3">E16+E19</f>
        <v>21780.100000000002</v>
      </c>
      <c r="F15" s="34">
        <f t="shared" si="3"/>
        <v>21780.1</v>
      </c>
      <c r="G15" s="535">
        <f t="shared" si="2"/>
        <v>0.99999999999999978</v>
      </c>
    </row>
    <row r="16" spans="1:9" ht="31.5" x14ac:dyDescent="0.25">
      <c r="A16" s="431" t="s">
        <v>266</v>
      </c>
      <c r="B16" s="163" t="s">
        <v>267</v>
      </c>
      <c r="C16" s="311"/>
      <c r="D16" s="34">
        <f t="shared" si="1"/>
        <v>20157.100000000002</v>
      </c>
      <c r="E16" s="34">
        <f t="shared" si="1"/>
        <v>20157.100000000002</v>
      </c>
      <c r="F16" s="34">
        <f t="shared" si="1"/>
        <v>20157.099999999999</v>
      </c>
      <c r="G16" s="535">
        <f t="shared" si="2"/>
        <v>0.99999999999999978</v>
      </c>
    </row>
    <row r="17" spans="1:7" ht="31.5" x14ac:dyDescent="0.25">
      <c r="A17" s="297" t="s">
        <v>62</v>
      </c>
      <c r="B17" s="163" t="s">
        <v>267</v>
      </c>
      <c r="C17" s="309">
        <v>600</v>
      </c>
      <c r="D17" s="34">
        <f t="shared" si="1"/>
        <v>20157.100000000002</v>
      </c>
      <c r="E17" s="34">
        <f t="shared" si="1"/>
        <v>20157.100000000002</v>
      </c>
      <c r="F17" s="34">
        <f t="shared" si="1"/>
        <v>20157.099999999999</v>
      </c>
      <c r="G17" s="535">
        <f t="shared" si="2"/>
        <v>0.99999999999999978</v>
      </c>
    </row>
    <row r="18" spans="1:7" x14ac:dyDescent="0.25">
      <c r="A18" s="297" t="s">
        <v>63</v>
      </c>
      <c r="B18" s="163" t="s">
        <v>267</v>
      </c>
      <c r="C18" s="309">
        <v>610</v>
      </c>
      <c r="D18" s="34">
        <f>'Функц. 2023-2025'!F761</f>
        <v>20157.100000000002</v>
      </c>
      <c r="E18" s="34">
        <f>'Функц. 2023-2025'!H761</f>
        <v>20157.100000000002</v>
      </c>
      <c r="F18" s="34">
        <f>'Функц. 2023-2025'!J761</f>
        <v>20157.099999999999</v>
      </c>
      <c r="G18" s="535">
        <f t="shared" si="2"/>
        <v>0.99999999999999978</v>
      </c>
    </row>
    <row r="19" spans="1:7" s="188" customFormat="1" ht="31.5" x14ac:dyDescent="0.25">
      <c r="A19" s="278" t="s">
        <v>763</v>
      </c>
      <c r="B19" s="163" t="s">
        <v>779</v>
      </c>
      <c r="C19" s="309"/>
      <c r="D19" s="34">
        <f>D20</f>
        <v>1623</v>
      </c>
      <c r="E19" s="34">
        <f t="shared" ref="E19:F20" si="4">E20</f>
        <v>1623</v>
      </c>
      <c r="F19" s="34">
        <f t="shared" si="4"/>
        <v>1623</v>
      </c>
      <c r="G19" s="535">
        <f t="shared" si="2"/>
        <v>1</v>
      </c>
    </row>
    <row r="20" spans="1:7" s="188" customFormat="1" ht="31.5" x14ac:dyDescent="0.25">
      <c r="A20" s="278" t="s">
        <v>62</v>
      </c>
      <c r="B20" s="163" t="s">
        <v>779</v>
      </c>
      <c r="C20" s="309">
        <v>600</v>
      </c>
      <c r="D20" s="34">
        <f>D21</f>
        <v>1623</v>
      </c>
      <c r="E20" s="34">
        <f t="shared" si="4"/>
        <v>1623</v>
      </c>
      <c r="F20" s="34">
        <f t="shared" si="4"/>
        <v>1623</v>
      </c>
      <c r="G20" s="535">
        <f t="shared" si="2"/>
        <v>1</v>
      </c>
    </row>
    <row r="21" spans="1:7" s="188" customFormat="1" x14ac:dyDescent="0.25">
      <c r="A21" s="278" t="s">
        <v>63</v>
      </c>
      <c r="B21" s="163" t="s">
        <v>779</v>
      </c>
      <c r="C21" s="309">
        <v>610</v>
      </c>
      <c r="D21" s="34">
        <f>'Функц. 2023-2025'!F764</f>
        <v>1623</v>
      </c>
      <c r="E21" s="34">
        <f>'Функц. 2023-2025'!H764</f>
        <v>1623</v>
      </c>
      <c r="F21" s="34">
        <f>'Функц. 2023-2025'!J764</f>
        <v>1623</v>
      </c>
      <c r="G21" s="535">
        <f t="shared" si="2"/>
        <v>1</v>
      </c>
    </row>
    <row r="22" spans="1:7" x14ac:dyDescent="0.25">
      <c r="A22" s="295" t="s">
        <v>563</v>
      </c>
      <c r="B22" s="163" t="s">
        <v>143</v>
      </c>
      <c r="C22" s="541"/>
      <c r="D22" s="34">
        <f>D23</f>
        <v>32488.799999999999</v>
      </c>
      <c r="E22" s="34">
        <f>E23</f>
        <v>32488.799999999999</v>
      </c>
      <c r="F22" s="34">
        <f>F23</f>
        <v>32488.799999999999</v>
      </c>
      <c r="G22" s="535">
        <f t="shared" si="2"/>
        <v>1</v>
      </c>
    </row>
    <row r="23" spans="1:7" ht="31.5" x14ac:dyDescent="0.25">
      <c r="A23" s="295" t="s">
        <v>268</v>
      </c>
      <c r="B23" s="163" t="s">
        <v>144</v>
      </c>
      <c r="C23" s="309"/>
      <c r="D23" s="34">
        <f>D24+D27+D33+D30</f>
        <v>32488.799999999999</v>
      </c>
      <c r="E23" s="34">
        <f t="shared" ref="E23:F23" si="5">E24+E27+E33+E30</f>
        <v>32488.799999999999</v>
      </c>
      <c r="F23" s="34">
        <f t="shared" si="5"/>
        <v>32488.799999999999</v>
      </c>
      <c r="G23" s="535">
        <f t="shared" si="2"/>
        <v>1</v>
      </c>
    </row>
    <row r="24" spans="1:7" ht="31.5" x14ac:dyDescent="0.25">
      <c r="A24" s="431" t="s">
        <v>269</v>
      </c>
      <c r="B24" s="163" t="s">
        <v>270</v>
      </c>
      <c r="C24" s="309"/>
      <c r="D24" s="34">
        <f t="shared" ref="D24:F25" si="6">D25</f>
        <v>1000</v>
      </c>
      <c r="E24" s="34">
        <f t="shared" si="6"/>
        <v>1000</v>
      </c>
      <c r="F24" s="34">
        <f t="shared" si="6"/>
        <v>1000</v>
      </c>
      <c r="G24" s="535">
        <f t="shared" si="2"/>
        <v>1</v>
      </c>
    </row>
    <row r="25" spans="1:7" ht="31.5" x14ac:dyDescent="0.25">
      <c r="A25" s="297" t="s">
        <v>62</v>
      </c>
      <c r="B25" s="163" t="s">
        <v>270</v>
      </c>
      <c r="C25" s="309">
        <v>600</v>
      </c>
      <c r="D25" s="34">
        <f t="shared" si="6"/>
        <v>1000</v>
      </c>
      <c r="E25" s="34">
        <f t="shared" si="6"/>
        <v>1000</v>
      </c>
      <c r="F25" s="34">
        <f t="shared" si="6"/>
        <v>1000</v>
      </c>
      <c r="G25" s="535">
        <f t="shared" si="2"/>
        <v>1</v>
      </c>
    </row>
    <row r="26" spans="1:7" x14ac:dyDescent="0.25">
      <c r="A26" s="297" t="s">
        <v>63</v>
      </c>
      <c r="B26" s="163" t="s">
        <v>270</v>
      </c>
      <c r="C26" s="309">
        <v>610</v>
      </c>
      <c r="D26" s="34">
        <f>'Функц. 2023-2025'!F769</f>
        <v>1000</v>
      </c>
      <c r="E26" s="34">
        <f>'Функц. 2023-2025'!H769</f>
        <v>1000</v>
      </c>
      <c r="F26" s="34">
        <f>'Функц. 2023-2025'!J769</f>
        <v>1000</v>
      </c>
      <c r="G26" s="535">
        <f t="shared" si="2"/>
        <v>1</v>
      </c>
    </row>
    <row r="27" spans="1:7" ht="31.5" x14ac:dyDescent="0.25">
      <c r="A27" s="297" t="s">
        <v>271</v>
      </c>
      <c r="B27" s="163" t="s">
        <v>272</v>
      </c>
      <c r="C27" s="309"/>
      <c r="D27" s="34">
        <f t="shared" ref="D27:F28" si="7">D28</f>
        <v>28565.599999999999</v>
      </c>
      <c r="E27" s="34">
        <f t="shared" si="7"/>
        <v>28565.599999999999</v>
      </c>
      <c r="F27" s="34">
        <f t="shared" si="7"/>
        <v>28565.599999999999</v>
      </c>
      <c r="G27" s="535">
        <f t="shared" si="2"/>
        <v>1</v>
      </c>
    </row>
    <row r="28" spans="1:7" ht="31.5" x14ac:dyDescent="0.25">
      <c r="A28" s="297" t="s">
        <v>62</v>
      </c>
      <c r="B28" s="163" t="s">
        <v>272</v>
      </c>
      <c r="C28" s="309">
        <v>600</v>
      </c>
      <c r="D28" s="34">
        <f t="shared" si="7"/>
        <v>28565.599999999999</v>
      </c>
      <c r="E28" s="34">
        <f t="shared" si="7"/>
        <v>28565.599999999999</v>
      </c>
      <c r="F28" s="34">
        <f t="shared" si="7"/>
        <v>28565.599999999999</v>
      </c>
      <c r="G28" s="535">
        <f t="shared" si="2"/>
        <v>1</v>
      </c>
    </row>
    <row r="29" spans="1:7" x14ac:dyDescent="0.25">
      <c r="A29" s="297" t="s">
        <v>63</v>
      </c>
      <c r="B29" s="163" t="s">
        <v>272</v>
      </c>
      <c r="C29" s="309">
        <v>610</v>
      </c>
      <c r="D29" s="34">
        <f>'Функц. 2023-2025'!F772</f>
        <v>28565.599999999999</v>
      </c>
      <c r="E29" s="34">
        <f>'Функц. 2023-2025'!H772</f>
        <v>28565.599999999999</v>
      </c>
      <c r="F29" s="34">
        <f>'Функц. 2023-2025'!J772</f>
        <v>28565.599999999999</v>
      </c>
      <c r="G29" s="535">
        <f t="shared" si="2"/>
        <v>1</v>
      </c>
    </row>
    <row r="30" spans="1:7" s="188" customFormat="1" ht="31.5" x14ac:dyDescent="0.25">
      <c r="A30" s="278" t="s">
        <v>763</v>
      </c>
      <c r="B30" s="163" t="s">
        <v>780</v>
      </c>
      <c r="C30" s="309"/>
      <c r="D30" s="34">
        <f>D31</f>
        <v>2556</v>
      </c>
      <c r="E30" s="34">
        <f t="shared" ref="E30:F30" si="8">E31</f>
        <v>2556</v>
      </c>
      <c r="F30" s="34">
        <f t="shared" si="8"/>
        <v>2556</v>
      </c>
      <c r="G30" s="535">
        <f t="shared" si="2"/>
        <v>1</v>
      </c>
    </row>
    <row r="31" spans="1:7" s="188" customFormat="1" ht="31.5" x14ac:dyDescent="0.25">
      <c r="A31" s="278" t="s">
        <v>62</v>
      </c>
      <c r="B31" s="163" t="s">
        <v>780</v>
      </c>
      <c r="C31" s="309">
        <v>600</v>
      </c>
      <c r="D31" s="34">
        <f>D32</f>
        <v>2556</v>
      </c>
      <c r="E31" s="34">
        <f t="shared" ref="E31:F31" si="9">E32</f>
        <v>2556</v>
      </c>
      <c r="F31" s="34">
        <f t="shared" si="9"/>
        <v>2556</v>
      </c>
      <c r="G31" s="535">
        <f t="shared" si="2"/>
        <v>1</v>
      </c>
    </row>
    <row r="32" spans="1:7" s="188" customFormat="1" x14ac:dyDescent="0.25">
      <c r="A32" s="278" t="s">
        <v>63</v>
      </c>
      <c r="B32" s="163" t="s">
        <v>780</v>
      </c>
      <c r="C32" s="309">
        <v>610</v>
      </c>
      <c r="D32" s="34">
        <f>'Функц. 2023-2025'!G775</f>
        <v>2556</v>
      </c>
      <c r="E32" s="34">
        <f>'Функц. 2023-2025'!H775</f>
        <v>2556</v>
      </c>
      <c r="F32" s="34">
        <f>'Функц. 2023-2025'!J775</f>
        <v>2556</v>
      </c>
      <c r="G32" s="535">
        <f t="shared" si="2"/>
        <v>1</v>
      </c>
    </row>
    <row r="33" spans="1:7" s="188" customFormat="1" ht="31.5" x14ac:dyDescent="0.25">
      <c r="A33" s="401" t="s">
        <v>573</v>
      </c>
      <c r="B33" s="163" t="s">
        <v>441</v>
      </c>
      <c r="C33" s="309"/>
      <c r="D33" s="34">
        <f>D34</f>
        <v>367.2</v>
      </c>
      <c r="E33" s="34">
        <f t="shared" ref="E33:F33" si="10">E34</f>
        <v>367.2</v>
      </c>
      <c r="F33" s="34">
        <f t="shared" si="10"/>
        <v>367.2</v>
      </c>
      <c r="G33" s="535">
        <f t="shared" si="2"/>
        <v>1</v>
      </c>
    </row>
    <row r="34" spans="1:7" s="188" customFormat="1" ht="31.5" x14ac:dyDescent="0.25">
      <c r="A34" s="401" t="s">
        <v>62</v>
      </c>
      <c r="B34" s="163" t="s">
        <v>441</v>
      </c>
      <c r="C34" s="309">
        <v>600</v>
      </c>
      <c r="D34" s="34">
        <f>D35</f>
        <v>367.2</v>
      </c>
      <c r="E34" s="34">
        <f t="shared" ref="E34:F34" si="11">E35</f>
        <v>367.2</v>
      </c>
      <c r="F34" s="34">
        <f t="shared" si="11"/>
        <v>367.2</v>
      </c>
      <c r="G34" s="535">
        <f t="shared" si="2"/>
        <v>1</v>
      </c>
    </row>
    <row r="35" spans="1:7" s="188" customFormat="1" x14ac:dyDescent="0.25">
      <c r="A35" s="401" t="s">
        <v>63</v>
      </c>
      <c r="B35" s="163" t="s">
        <v>441</v>
      </c>
      <c r="C35" s="309">
        <v>610</v>
      </c>
      <c r="D35" s="34">
        <f>'Функц. 2023-2025'!F778</f>
        <v>367.2</v>
      </c>
      <c r="E35" s="34">
        <f>'Функц. 2023-2025'!H778</f>
        <v>367.2</v>
      </c>
      <c r="F35" s="34">
        <f>'Функц. 2023-2025'!J778</f>
        <v>367.2</v>
      </c>
      <c r="G35" s="535">
        <f t="shared" si="2"/>
        <v>1</v>
      </c>
    </row>
    <row r="36" spans="1:7" ht="31.5" x14ac:dyDescent="0.25">
      <c r="A36" s="280" t="s">
        <v>564</v>
      </c>
      <c r="B36" s="163" t="s">
        <v>273</v>
      </c>
      <c r="C36" s="309"/>
      <c r="D36" s="34">
        <f>D37+D54+D58</f>
        <v>75957.399999999994</v>
      </c>
      <c r="E36" s="34">
        <f t="shared" ref="E36:F36" si="12">E37+E54+E58</f>
        <v>75957.399999999994</v>
      </c>
      <c r="F36" s="34">
        <f t="shared" si="12"/>
        <v>75713.3</v>
      </c>
      <c r="G36" s="535">
        <f t="shared" si="2"/>
        <v>0.99678635656302095</v>
      </c>
    </row>
    <row r="37" spans="1:7" x14ac:dyDescent="0.25">
      <c r="A37" s="280" t="s">
        <v>380</v>
      </c>
      <c r="B37" s="163" t="s">
        <v>565</v>
      </c>
      <c r="C37" s="309"/>
      <c r="D37" s="34">
        <f>D38+D47</f>
        <v>69965.899999999994</v>
      </c>
      <c r="E37" s="34">
        <f t="shared" ref="E37:F37" si="13">E38+E47</f>
        <v>69965.899999999994</v>
      </c>
      <c r="F37" s="34">
        <f t="shared" si="13"/>
        <v>69721.8</v>
      </c>
      <c r="G37" s="535">
        <f t="shared" si="2"/>
        <v>0.99651115757819175</v>
      </c>
    </row>
    <row r="38" spans="1:7" x14ac:dyDescent="0.25">
      <c r="A38" s="431" t="s">
        <v>274</v>
      </c>
      <c r="B38" s="163" t="s">
        <v>646</v>
      </c>
      <c r="C38" s="309"/>
      <c r="D38" s="34">
        <f>D39+D44</f>
        <v>9328</v>
      </c>
      <c r="E38" s="34">
        <f>E39+E44</f>
        <v>9328</v>
      </c>
      <c r="F38" s="34">
        <f>F39+F44</f>
        <v>9083.9</v>
      </c>
      <c r="G38" s="535">
        <f t="shared" si="2"/>
        <v>0.97383147512864487</v>
      </c>
    </row>
    <row r="39" spans="1:7" ht="31.5" x14ac:dyDescent="0.25">
      <c r="A39" s="297" t="s">
        <v>275</v>
      </c>
      <c r="B39" s="163" t="s">
        <v>647</v>
      </c>
      <c r="C39" s="309"/>
      <c r="D39" s="34">
        <f>D42+D40</f>
        <v>8893</v>
      </c>
      <c r="E39" s="34">
        <f>E42+E40</f>
        <v>8893</v>
      </c>
      <c r="F39" s="34">
        <f>F42+F40</f>
        <v>8650.9</v>
      </c>
      <c r="G39" s="535">
        <f t="shared" si="2"/>
        <v>0.97277634094231413</v>
      </c>
    </row>
    <row r="40" spans="1:7" s="188" customFormat="1" x14ac:dyDescent="0.25">
      <c r="A40" s="297" t="s">
        <v>123</v>
      </c>
      <c r="B40" s="163" t="s">
        <v>647</v>
      </c>
      <c r="C40" s="309">
        <v>200</v>
      </c>
      <c r="D40" s="34">
        <f>D41</f>
        <v>1100</v>
      </c>
      <c r="E40" s="34">
        <f>E41</f>
        <v>1100</v>
      </c>
      <c r="F40" s="34">
        <f>F41</f>
        <v>1100</v>
      </c>
      <c r="G40" s="535">
        <f t="shared" si="2"/>
        <v>1</v>
      </c>
    </row>
    <row r="41" spans="1:7" s="188" customFormat="1" x14ac:dyDescent="0.25">
      <c r="A41" s="297" t="s">
        <v>54</v>
      </c>
      <c r="B41" s="163" t="s">
        <v>647</v>
      </c>
      <c r="C41" s="309">
        <v>240</v>
      </c>
      <c r="D41" s="34">
        <f>'Функц. 2023-2025'!F784</f>
        <v>1100</v>
      </c>
      <c r="E41" s="34">
        <f>'Функц. 2023-2025'!H784</f>
        <v>1100</v>
      </c>
      <c r="F41" s="34">
        <f>'Функц. 2023-2025'!J784</f>
        <v>1100</v>
      </c>
      <c r="G41" s="535">
        <f t="shared" si="2"/>
        <v>1</v>
      </c>
    </row>
    <row r="42" spans="1:7" ht="31.5" x14ac:dyDescent="0.25">
      <c r="A42" s="297" t="s">
        <v>62</v>
      </c>
      <c r="B42" s="163" t="s">
        <v>647</v>
      </c>
      <c r="C42" s="309">
        <v>600</v>
      </c>
      <c r="D42" s="34">
        <f>D43</f>
        <v>7793</v>
      </c>
      <c r="E42" s="34">
        <f>E43</f>
        <v>7793</v>
      </c>
      <c r="F42" s="34">
        <f>F43</f>
        <v>7550.9</v>
      </c>
      <c r="G42" s="535">
        <f t="shared" si="2"/>
        <v>0.96893365841139478</v>
      </c>
    </row>
    <row r="43" spans="1:7" x14ac:dyDescent="0.25">
      <c r="A43" s="297" t="s">
        <v>63</v>
      </c>
      <c r="B43" s="163" t="s">
        <v>647</v>
      </c>
      <c r="C43" s="309">
        <v>610</v>
      </c>
      <c r="D43" s="34">
        <f>'Функц. 2023-2025'!F786</f>
        <v>7793</v>
      </c>
      <c r="E43" s="34">
        <f>'Функц. 2023-2025'!H786</f>
        <v>7793</v>
      </c>
      <c r="F43" s="34">
        <f>'Функц. 2023-2025'!J786</f>
        <v>7550.9</v>
      </c>
      <c r="G43" s="535">
        <f t="shared" si="2"/>
        <v>0.96893365841139478</v>
      </c>
    </row>
    <row r="44" spans="1:7" ht="31.5" x14ac:dyDescent="0.25">
      <c r="A44" s="278" t="s">
        <v>276</v>
      </c>
      <c r="B44" s="163" t="s">
        <v>648</v>
      </c>
      <c r="C44" s="309"/>
      <c r="D44" s="34">
        <f t="shared" ref="D44:F45" si="14">D45</f>
        <v>435</v>
      </c>
      <c r="E44" s="34">
        <f t="shared" si="14"/>
        <v>435</v>
      </c>
      <c r="F44" s="34">
        <f t="shared" si="14"/>
        <v>433</v>
      </c>
      <c r="G44" s="535">
        <f t="shared" si="2"/>
        <v>0.99540229885057474</v>
      </c>
    </row>
    <row r="45" spans="1:7" ht="31.5" x14ac:dyDescent="0.25">
      <c r="A45" s="297" t="s">
        <v>62</v>
      </c>
      <c r="B45" s="163" t="s">
        <v>648</v>
      </c>
      <c r="C45" s="309">
        <v>600</v>
      </c>
      <c r="D45" s="34">
        <f t="shared" si="14"/>
        <v>435</v>
      </c>
      <c r="E45" s="34">
        <f t="shared" si="14"/>
        <v>435</v>
      </c>
      <c r="F45" s="34">
        <f t="shared" si="14"/>
        <v>433</v>
      </c>
      <c r="G45" s="535">
        <f t="shared" si="2"/>
        <v>0.99540229885057474</v>
      </c>
    </row>
    <row r="46" spans="1:7" x14ac:dyDescent="0.25">
      <c r="A46" s="297" t="s">
        <v>63</v>
      </c>
      <c r="B46" s="163" t="s">
        <v>648</v>
      </c>
      <c r="C46" s="309">
        <v>610</v>
      </c>
      <c r="D46" s="34">
        <f>'Функц. 2023-2025'!F789</f>
        <v>435</v>
      </c>
      <c r="E46" s="34">
        <f>'Функц. 2023-2025'!H789</f>
        <v>435</v>
      </c>
      <c r="F46" s="34">
        <f>'Функц. 2023-2025'!J789</f>
        <v>433</v>
      </c>
      <c r="G46" s="535">
        <f t="shared" si="2"/>
        <v>0.99540229885057474</v>
      </c>
    </row>
    <row r="47" spans="1:7" ht="31.5" x14ac:dyDescent="0.25">
      <c r="A47" s="281" t="s">
        <v>381</v>
      </c>
      <c r="B47" s="163" t="s">
        <v>566</v>
      </c>
      <c r="C47" s="309"/>
      <c r="D47" s="34">
        <f>D48+D51</f>
        <v>60637.9</v>
      </c>
      <c r="E47" s="34">
        <f>E48+E51</f>
        <v>60637.9</v>
      </c>
      <c r="F47" s="34">
        <f>F48+F51</f>
        <v>60637.9</v>
      </c>
      <c r="G47" s="535">
        <f t="shared" si="2"/>
        <v>1</v>
      </c>
    </row>
    <row r="48" spans="1:7" s="188" customFormat="1" ht="47.25" x14ac:dyDescent="0.25">
      <c r="A48" s="278" t="str">
        <f>'Функц. 2023-2025'!A791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48" s="163" t="s">
        <v>567</v>
      </c>
      <c r="C48" s="309"/>
      <c r="D48" s="34">
        <f t="shared" ref="D48:F49" si="15">D49</f>
        <v>30309.4</v>
      </c>
      <c r="E48" s="34">
        <f t="shared" si="15"/>
        <v>30309.4</v>
      </c>
      <c r="F48" s="34">
        <f t="shared" si="15"/>
        <v>30309.4</v>
      </c>
      <c r="G48" s="535">
        <f t="shared" si="2"/>
        <v>1</v>
      </c>
    </row>
    <row r="49" spans="1:7" s="188" customFormat="1" ht="31.5" x14ac:dyDescent="0.25">
      <c r="A49" s="278" t="str">
        <f>'Функц. 2023-2025'!A792</f>
        <v>Предоставление субсидий бюджетным, автономным учреждениям и иным некоммерческим организациям</v>
      </c>
      <c r="B49" s="163" t="s">
        <v>567</v>
      </c>
      <c r="C49" s="309">
        <v>600</v>
      </c>
      <c r="D49" s="34">
        <f t="shared" si="15"/>
        <v>30309.4</v>
      </c>
      <c r="E49" s="34">
        <f t="shared" si="15"/>
        <v>30309.4</v>
      </c>
      <c r="F49" s="34">
        <f t="shared" si="15"/>
        <v>30309.4</v>
      </c>
      <c r="G49" s="535">
        <f t="shared" si="2"/>
        <v>1</v>
      </c>
    </row>
    <row r="50" spans="1:7" s="188" customFormat="1" x14ac:dyDescent="0.25">
      <c r="A50" s="278" t="str">
        <f>'Функц. 2023-2025'!A793</f>
        <v>Субсидии бюджетным учреждениям</v>
      </c>
      <c r="B50" s="163" t="s">
        <v>567</v>
      </c>
      <c r="C50" s="309">
        <v>610</v>
      </c>
      <c r="D50" s="34">
        <f>'Функц. 2023-2025'!F793</f>
        <v>30309.4</v>
      </c>
      <c r="E50" s="34">
        <f>'Функц. 2023-2025'!H793</f>
        <v>30309.4</v>
      </c>
      <c r="F50" s="34">
        <f>'Функц. 2023-2025'!J793</f>
        <v>30309.4</v>
      </c>
      <c r="G50" s="535">
        <f t="shared" si="2"/>
        <v>1</v>
      </c>
    </row>
    <row r="51" spans="1:7" s="188" customFormat="1" ht="47.25" x14ac:dyDescent="0.25">
      <c r="A51" s="278" t="str">
        <f>'Функц. 2023-2025'!A794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51" s="163" t="s">
        <v>568</v>
      </c>
      <c r="C51" s="309"/>
      <c r="D51" s="34">
        <f t="shared" ref="D51:F52" si="16">D52</f>
        <v>30328.5</v>
      </c>
      <c r="E51" s="34">
        <f t="shared" si="16"/>
        <v>30328.5</v>
      </c>
      <c r="F51" s="34">
        <f t="shared" si="16"/>
        <v>30328.5</v>
      </c>
      <c r="G51" s="535">
        <f t="shared" si="2"/>
        <v>1</v>
      </c>
    </row>
    <row r="52" spans="1:7" s="188" customFormat="1" ht="31.5" x14ac:dyDescent="0.25">
      <c r="A52" s="278" t="str">
        <f>'Функц. 2023-2025'!A795</f>
        <v>Предоставление субсидий бюджетным, автономным учреждениям и иным некоммерческим организациям</v>
      </c>
      <c r="B52" s="163" t="s">
        <v>568</v>
      </c>
      <c r="C52" s="309">
        <v>600</v>
      </c>
      <c r="D52" s="34">
        <f t="shared" si="16"/>
        <v>30328.5</v>
      </c>
      <c r="E52" s="34">
        <f t="shared" si="16"/>
        <v>30328.5</v>
      </c>
      <c r="F52" s="34">
        <f t="shared" si="16"/>
        <v>30328.5</v>
      </c>
      <c r="G52" s="535">
        <f t="shared" si="2"/>
        <v>1</v>
      </c>
    </row>
    <row r="53" spans="1:7" s="188" customFormat="1" x14ac:dyDescent="0.25">
      <c r="A53" s="278" t="str">
        <f>'Функц. 2023-2025'!A796</f>
        <v>Субсидии бюджетным учреждениям</v>
      </c>
      <c r="B53" s="163" t="s">
        <v>568</v>
      </c>
      <c r="C53" s="309">
        <v>610</v>
      </c>
      <c r="D53" s="34">
        <f>'Функц. 2023-2025'!F796</f>
        <v>30328.5</v>
      </c>
      <c r="E53" s="34">
        <f>'Функц. 2023-2025'!H796</f>
        <v>30328.5</v>
      </c>
      <c r="F53" s="34">
        <f>'Функц. 2023-2025'!J796</f>
        <v>30328.5</v>
      </c>
      <c r="G53" s="535">
        <f t="shared" si="2"/>
        <v>1</v>
      </c>
    </row>
    <row r="54" spans="1:7" s="188" customFormat="1" ht="47.25" x14ac:dyDescent="0.25">
      <c r="A54" s="278" t="s">
        <v>752</v>
      </c>
      <c r="B54" s="163" t="s">
        <v>754</v>
      </c>
      <c r="C54" s="309"/>
      <c r="D54" s="34">
        <f>D55</f>
        <v>1722.5</v>
      </c>
      <c r="E54" s="34">
        <f t="shared" ref="E54:F54" si="17">E55</f>
        <v>1722.5</v>
      </c>
      <c r="F54" s="34">
        <f t="shared" si="17"/>
        <v>1722.5</v>
      </c>
      <c r="G54" s="535">
        <f t="shared" si="2"/>
        <v>1</v>
      </c>
    </row>
    <row r="55" spans="1:7" s="188" customFormat="1" ht="31.5" x14ac:dyDescent="0.25">
      <c r="A55" s="278" t="s">
        <v>753</v>
      </c>
      <c r="B55" s="163" t="s">
        <v>755</v>
      </c>
      <c r="C55" s="309"/>
      <c r="D55" s="34">
        <f>D56</f>
        <v>1722.5</v>
      </c>
      <c r="E55" s="34">
        <f t="shared" ref="E55:F56" si="18">E56</f>
        <v>1722.5</v>
      </c>
      <c r="F55" s="34">
        <f t="shared" si="18"/>
        <v>1722.5</v>
      </c>
      <c r="G55" s="535">
        <f t="shared" si="2"/>
        <v>1</v>
      </c>
    </row>
    <row r="56" spans="1:7" s="188" customFormat="1" ht="31.5" x14ac:dyDescent="0.25">
      <c r="A56" s="278" t="s">
        <v>62</v>
      </c>
      <c r="B56" s="163" t="s">
        <v>755</v>
      </c>
      <c r="C56" s="309">
        <v>600</v>
      </c>
      <c r="D56" s="34">
        <f>D57</f>
        <v>1722.5</v>
      </c>
      <c r="E56" s="34">
        <f t="shared" si="18"/>
        <v>1722.5</v>
      </c>
      <c r="F56" s="34">
        <f t="shared" si="18"/>
        <v>1722.5</v>
      </c>
      <c r="G56" s="535">
        <f t="shared" si="2"/>
        <v>1</v>
      </c>
    </row>
    <row r="57" spans="1:7" s="188" customFormat="1" x14ac:dyDescent="0.25">
      <c r="A57" s="278" t="s">
        <v>63</v>
      </c>
      <c r="B57" s="163" t="s">
        <v>755</v>
      </c>
      <c r="C57" s="309">
        <v>610</v>
      </c>
      <c r="D57" s="34">
        <f>'Функц. 2023-2025'!F800</f>
        <v>1722.5</v>
      </c>
      <c r="E57" s="34">
        <f>'Функц. 2023-2025'!H800</f>
        <v>1722.5</v>
      </c>
      <c r="F57" s="34">
        <f>'Функц. 2023-2025'!J800</f>
        <v>1722.5</v>
      </c>
      <c r="G57" s="535">
        <f t="shared" si="2"/>
        <v>1</v>
      </c>
    </row>
    <row r="58" spans="1:7" s="188" customFormat="1" ht="31.5" x14ac:dyDescent="0.25">
      <c r="A58" s="278" t="s">
        <v>758</v>
      </c>
      <c r="B58" s="163" t="s">
        <v>759</v>
      </c>
      <c r="C58" s="309"/>
      <c r="D58" s="34">
        <f>D59</f>
        <v>4269</v>
      </c>
      <c r="E58" s="34">
        <f t="shared" ref="E58:F60" si="19">E59</f>
        <v>4269</v>
      </c>
      <c r="F58" s="34">
        <f t="shared" si="19"/>
        <v>4269</v>
      </c>
      <c r="G58" s="535">
        <f t="shared" si="2"/>
        <v>1</v>
      </c>
    </row>
    <row r="59" spans="1:7" s="188" customFormat="1" ht="34.15" customHeight="1" x14ac:dyDescent="0.25">
      <c r="A59" s="278" t="s">
        <v>763</v>
      </c>
      <c r="B59" s="163" t="s">
        <v>760</v>
      </c>
      <c r="C59" s="309"/>
      <c r="D59" s="34">
        <f>D60</f>
        <v>4269</v>
      </c>
      <c r="E59" s="34">
        <f t="shared" si="19"/>
        <v>4269</v>
      </c>
      <c r="F59" s="34">
        <f t="shared" si="19"/>
        <v>4269</v>
      </c>
      <c r="G59" s="535">
        <f t="shared" si="2"/>
        <v>1</v>
      </c>
    </row>
    <row r="60" spans="1:7" s="188" customFormat="1" ht="31.5" x14ac:dyDescent="0.25">
      <c r="A60" s="278" t="s">
        <v>62</v>
      </c>
      <c r="B60" s="163" t="s">
        <v>760</v>
      </c>
      <c r="C60" s="309">
        <v>600</v>
      </c>
      <c r="D60" s="34">
        <f>D61</f>
        <v>4269</v>
      </c>
      <c r="E60" s="34">
        <f t="shared" si="19"/>
        <v>4269</v>
      </c>
      <c r="F60" s="34">
        <f t="shared" si="19"/>
        <v>4269</v>
      </c>
      <c r="G60" s="535">
        <f t="shared" si="2"/>
        <v>1</v>
      </c>
    </row>
    <row r="61" spans="1:7" s="188" customFormat="1" x14ac:dyDescent="0.25">
      <c r="A61" s="278" t="s">
        <v>63</v>
      </c>
      <c r="B61" s="163" t="s">
        <v>760</v>
      </c>
      <c r="C61" s="309">
        <v>610</v>
      </c>
      <c r="D61" s="34">
        <f>'Функц. 2023-2025'!F804</f>
        <v>4269</v>
      </c>
      <c r="E61" s="34">
        <f>'Функц. 2023-2025'!H804</f>
        <v>4269</v>
      </c>
      <c r="F61" s="34">
        <f>'Функц. 2023-2025'!J804</f>
        <v>4269</v>
      </c>
      <c r="G61" s="535">
        <f t="shared" si="2"/>
        <v>1</v>
      </c>
    </row>
    <row r="62" spans="1:7" s="188" customFormat="1" x14ac:dyDescent="0.25">
      <c r="A62" s="278" t="s">
        <v>569</v>
      </c>
      <c r="B62" s="163" t="s">
        <v>414</v>
      </c>
      <c r="C62" s="309"/>
      <c r="D62" s="34">
        <f>D63</f>
        <v>55464.6</v>
      </c>
      <c r="E62" s="34">
        <f t="shared" ref="E62:F62" si="20">E63</f>
        <v>55464.6</v>
      </c>
      <c r="F62" s="34">
        <f t="shared" si="20"/>
        <v>55464.6</v>
      </c>
      <c r="G62" s="535">
        <f t="shared" si="2"/>
        <v>1</v>
      </c>
    </row>
    <row r="63" spans="1:7" s="188" customFormat="1" ht="31.5" x14ac:dyDescent="0.25">
      <c r="A63" s="278" t="s">
        <v>412</v>
      </c>
      <c r="B63" s="163" t="s">
        <v>415</v>
      </c>
      <c r="C63" s="311"/>
      <c r="D63" s="34">
        <f>D64</f>
        <v>55464.6</v>
      </c>
      <c r="E63" s="34">
        <f t="shared" ref="E63:F63" si="21">E64</f>
        <v>55464.6</v>
      </c>
      <c r="F63" s="34">
        <f t="shared" si="21"/>
        <v>55464.6</v>
      </c>
      <c r="G63" s="535">
        <f t="shared" si="2"/>
        <v>1</v>
      </c>
    </row>
    <row r="64" spans="1:7" s="188" customFormat="1" ht="31.5" x14ac:dyDescent="0.25">
      <c r="A64" s="401" t="s">
        <v>413</v>
      </c>
      <c r="B64" s="163" t="s">
        <v>416</v>
      </c>
      <c r="C64" s="311"/>
      <c r="D64" s="34">
        <f>D65</f>
        <v>55464.6</v>
      </c>
      <c r="E64" s="34">
        <f t="shared" ref="E64:F64" si="22">E65</f>
        <v>55464.6</v>
      </c>
      <c r="F64" s="34">
        <f t="shared" si="22"/>
        <v>55464.6</v>
      </c>
      <c r="G64" s="535">
        <f t="shared" si="2"/>
        <v>1</v>
      </c>
    </row>
    <row r="65" spans="1:7" s="188" customFormat="1" ht="31.5" x14ac:dyDescent="0.25">
      <c r="A65" s="278" t="s">
        <v>62</v>
      </c>
      <c r="B65" s="163" t="s">
        <v>416</v>
      </c>
      <c r="C65" s="311">
        <v>600</v>
      </c>
      <c r="D65" s="34">
        <f>D66</f>
        <v>55464.6</v>
      </c>
      <c r="E65" s="34">
        <f t="shared" ref="E65:F65" si="23">E66</f>
        <v>55464.6</v>
      </c>
      <c r="F65" s="34">
        <f t="shared" si="23"/>
        <v>55464.6</v>
      </c>
      <c r="G65" s="535">
        <f t="shared" si="2"/>
        <v>1</v>
      </c>
    </row>
    <row r="66" spans="1:7" s="188" customFormat="1" x14ac:dyDescent="0.25">
      <c r="A66" s="278" t="s">
        <v>63</v>
      </c>
      <c r="B66" s="163" t="s">
        <v>416</v>
      </c>
      <c r="C66" s="311">
        <v>610</v>
      </c>
      <c r="D66" s="34">
        <f>'Функц. 2023-2025'!F672</f>
        <v>55464.6</v>
      </c>
      <c r="E66" s="34">
        <f>'Функц. 2023-2025'!H672</f>
        <v>55464.6</v>
      </c>
      <c r="F66" s="34">
        <f>'Функц. 2023-2025'!J672</f>
        <v>55464.6</v>
      </c>
      <c r="G66" s="535">
        <f t="shared" si="2"/>
        <v>1</v>
      </c>
    </row>
    <row r="67" spans="1:7" s="141" customFormat="1" x14ac:dyDescent="0.25">
      <c r="A67" s="432" t="s">
        <v>278</v>
      </c>
      <c r="B67" s="446" t="s">
        <v>103</v>
      </c>
      <c r="C67" s="310"/>
      <c r="D67" s="37">
        <f>D68+D157+D140</f>
        <v>1707887.6999999997</v>
      </c>
      <c r="E67" s="37">
        <f>E68+E157+E140</f>
        <v>1686436.9</v>
      </c>
      <c r="F67" s="37">
        <f>F68+F157+F140</f>
        <v>1665686.9</v>
      </c>
      <c r="G67" s="536">
        <f t="shared" si="2"/>
        <v>0.98769595233595753</v>
      </c>
    </row>
    <row r="68" spans="1:7" x14ac:dyDescent="0.25">
      <c r="A68" s="295" t="s">
        <v>504</v>
      </c>
      <c r="B68" s="163" t="s">
        <v>120</v>
      </c>
      <c r="C68" s="309"/>
      <c r="D68" s="34">
        <f>D69+D100+D113+D117+D136</f>
        <v>1619730.6999999997</v>
      </c>
      <c r="E68" s="34">
        <f>E69+E100+E113+E117+E136</f>
        <v>1598279.9</v>
      </c>
      <c r="F68" s="34">
        <f>F69+F100+F113+F117+F136</f>
        <v>1580142.5999999999</v>
      </c>
      <c r="G68" s="535">
        <f t="shared" si="2"/>
        <v>0.98865198767750251</v>
      </c>
    </row>
    <row r="69" spans="1:7" ht="31.5" x14ac:dyDescent="0.25">
      <c r="A69" s="280" t="s">
        <v>506</v>
      </c>
      <c r="B69" s="163" t="s">
        <v>505</v>
      </c>
      <c r="C69" s="311"/>
      <c r="D69" s="34">
        <f>D73+D93+D80+D87+D90+D70</f>
        <v>1037252.1</v>
      </c>
      <c r="E69" s="34">
        <f>E73+E93+E80+E87+E90+E70</f>
        <v>1028382.1</v>
      </c>
      <c r="F69" s="34">
        <f>F73+F93+F80+F87+F90+F70</f>
        <v>1017530</v>
      </c>
      <c r="G69" s="535">
        <f t="shared" si="2"/>
        <v>0.98944740481188853</v>
      </c>
    </row>
    <row r="70" spans="1:7" s="188" customFormat="1" ht="31.5" x14ac:dyDescent="0.25">
      <c r="A70" s="280" t="s">
        <v>750</v>
      </c>
      <c r="B70" s="163" t="s">
        <v>751</v>
      </c>
      <c r="C70" s="311"/>
      <c r="D70" s="34">
        <f>D71</f>
        <v>3100.1</v>
      </c>
      <c r="E70" s="34">
        <f t="shared" ref="E70:F71" si="24">E71</f>
        <v>3100.1</v>
      </c>
      <c r="F70" s="34">
        <f t="shared" si="24"/>
        <v>3069</v>
      </c>
      <c r="G70" s="535">
        <f t="shared" si="2"/>
        <v>0.9899680655462727</v>
      </c>
    </row>
    <row r="71" spans="1:7" s="188" customFormat="1" ht="31.5" x14ac:dyDescent="0.25">
      <c r="A71" s="278" t="s">
        <v>62</v>
      </c>
      <c r="B71" s="163" t="s">
        <v>751</v>
      </c>
      <c r="C71" s="309">
        <v>600</v>
      </c>
      <c r="D71" s="34">
        <f>D72</f>
        <v>3100.1</v>
      </c>
      <c r="E71" s="34">
        <f t="shared" si="24"/>
        <v>3100.1</v>
      </c>
      <c r="F71" s="34">
        <f t="shared" si="24"/>
        <v>3069</v>
      </c>
      <c r="G71" s="535">
        <f t="shared" si="2"/>
        <v>0.9899680655462727</v>
      </c>
    </row>
    <row r="72" spans="1:7" s="188" customFormat="1" x14ac:dyDescent="0.25">
      <c r="A72" s="278" t="s">
        <v>63</v>
      </c>
      <c r="B72" s="163" t="s">
        <v>751</v>
      </c>
      <c r="C72" s="309">
        <v>610</v>
      </c>
      <c r="D72" s="34">
        <f>'Функц. 2023-2025'!F598</f>
        <v>3100.1</v>
      </c>
      <c r="E72" s="34">
        <f>'Функц. 2023-2025'!H598</f>
        <v>3100.1</v>
      </c>
      <c r="F72" s="34">
        <f>'Функц. 2023-2025'!J598</f>
        <v>3069</v>
      </c>
      <c r="G72" s="535">
        <f t="shared" si="2"/>
        <v>0.9899680655462727</v>
      </c>
    </row>
    <row r="73" spans="1:7" ht="31.5" x14ac:dyDescent="0.25">
      <c r="A73" s="433" t="s">
        <v>280</v>
      </c>
      <c r="B73" s="163" t="s">
        <v>508</v>
      </c>
      <c r="C73" s="542"/>
      <c r="D73" s="34">
        <f>D74+D77</f>
        <v>150817.70000000001</v>
      </c>
      <c r="E73" s="34">
        <f>E74+E77</f>
        <v>150817.70000000001</v>
      </c>
      <c r="F73" s="34">
        <f>F74+F77</f>
        <v>150813.79999999999</v>
      </c>
      <c r="G73" s="535">
        <f t="shared" si="2"/>
        <v>0.99997414096621273</v>
      </c>
    </row>
    <row r="74" spans="1:7" ht="31.5" x14ac:dyDescent="0.25">
      <c r="A74" s="433" t="s">
        <v>356</v>
      </c>
      <c r="B74" s="163" t="s">
        <v>509</v>
      </c>
      <c r="C74" s="309"/>
      <c r="D74" s="34">
        <f t="shared" ref="D74:F75" si="25">D75</f>
        <v>146419</v>
      </c>
      <c r="E74" s="34">
        <f t="shared" si="25"/>
        <v>146419</v>
      </c>
      <c r="F74" s="34">
        <f t="shared" si="25"/>
        <v>146419</v>
      </c>
      <c r="G74" s="535">
        <f t="shared" si="2"/>
        <v>1</v>
      </c>
    </row>
    <row r="75" spans="1:7" ht="31.5" x14ac:dyDescent="0.25">
      <c r="A75" s="297" t="s">
        <v>62</v>
      </c>
      <c r="B75" s="163" t="s">
        <v>509</v>
      </c>
      <c r="C75" s="309">
        <v>600</v>
      </c>
      <c r="D75" s="34">
        <f t="shared" si="25"/>
        <v>146419</v>
      </c>
      <c r="E75" s="34">
        <f t="shared" si="25"/>
        <v>146419</v>
      </c>
      <c r="F75" s="34">
        <f t="shared" si="25"/>
        <v>146419</v>
      </c>
      <c r="G75" s="535">
        <f t="shared" si="2"/>
        <v>1</v>
      </c>
    </row>
    <row r="76" spans="1:7" x14ac:dyDescent="0.25">
      <c r="A76" s="297" t="s">
        <v>63</v>
      </c>
      <c r="B76" s="163" t="s">
        <v>509</v>
      </c>
      <c r="C76" s="309">
        <v>610</v>
      </c>
      <c r="D76" s="34">
        <f>'Функц. 2023-2025'!F569</f>
        <v>146419</v>
      </c>
      <c r="E76" s="34">
        <f>'Функц. 2023-2025'!H569</f>
        <v>146419</v>
      </c>
      <c r="F76" s="34">
        <f>'Функц. 2023-2025'!J569</f>
        <v>146419</v>
      </c>
      <c r="G76" s="535">
        <f t="shared" si="2"/>
        <v>1</v>
      </c>
    </row>
    <row r="77" spans="1:7" ht="31.5" x14ac:dyDescent="0.25">
      <c r="A77" s="297" t="s">
        <v>281</v>
      </c>
      <c r="B77" s="163" t="s">
        <v>528</v>
      </c>
      <c r="C77" s="309"/>
      <c r="D77" s="34">
        <f t="shared" ref="D77:F78" si="26">D78</f>
        <v>4398.7</v>
      </c>
      <c r="E77" s="34">
        <f t="shared" si="26"/>
        <v>4398.7</v>
      </c>
      <c r="F77" s="34">
        <f t="shared" si="26"/>
        <v>4394.8</v>
      </c>
      <c r="G77" s="535">
        <f t="shared" si="2"/>
        <v>0.99911337440607462</v>
      </c>
    </row>
    <row r="78" spans="1:7" ht="31.5" x14ac:dyDescent="0.25">
      <c r="A78" s="297" t="s">
        <v>62</v>
      </c>
      <c r="B78" s="163" t="s">
        <v>528</v>
      </c>
      <c r="C78" s="309">
        <v>600</v>
      </c>
      <c r="D78" s="34">
        <f t="shared" si="26"/>
        <v>4398.7</v>
      </c>
      <c r="E78" s="34">
        <f t="shared" si="26"/>
        <v>4398.7</v>
      </c>
      <c r="F78" s="34">
        <f t="shared" si="26"/>
        <v>4394.8</v>
      </c>
      <c r="G78" s="535">
        <f t="shared" ref="G78:G141" si="27">F78/E78</f>
        <v>0.99911337440607462</v>
      </c>
    </row>
    <row r="79" spans="1:7" x14ac:dyDescent="0.25">
      <c r="A79" s="297" t="s">
        <v>63</v>
      </c>
      <c r="B79" s="163" t="s">
        <v>528</v>
      </c>
      <c r="C79" s="309">
        <v>610</v>
      </c>
      <c r="D79" s="34">
        <f>'Функц. 2023-2025'!F572</f>
        <v>4398.7</v>
      </c>
      <c r="E79" s="34">
        <f>'Функц. 2023-2025'!H572</f>
        <v>4398.7</v>
      </c>
      <c r="F79" s="34">
        <f>'Функц. 2023-2025'!J572</f>
        <v>4394.8</v>
      </c>
      <c r="G79" s="535">
        <f t="shared" si="27"/>
        <v>0.99911337440607462</v>
      </c>
    </row>
    <row r="80" spans="1:7" ht="47.25" x14ac:dyDescent="0.25">
      <c r="A80" s="295" t="s">
        <v>487</v>
      </c>
      <c r="B80" s="163" t="s">
        <v>530</v>
      </c>
      <c r="C80" s="309"/>
      <c r="D80" s="34">
        <f>D81+D84</f>
        <v>85540.3</v>
      </c>
      <c r="E80" s="34">
        <f>E81+E84</f>
        <v>85540.3</v>
      </c>
      <c r="F80" s="34">
        <f>F81+F84</f>
        <v>85245.6</v>
      </c>
      <c r="G80" s="535">
        <f t="shared" si="27"/>
        <v>0.99655484023320007</v>
      </c>
    </row>
    <row r="81" spans="1:7" ht="47.25" x14ac:dyDescent="0.25">
      <c r="A81" s="295" t="s">
        <v>583</v>
      </c>
      <c r="B81" s="163" t="s">
        <v>531</v>
      </c>
      <c r="C81" s="542"/>
      <c r="D81" s="34">
        <f t="shared" ref="D81:F82" si="28">D82</f>
        <v>83754.3</v>
      </c>
      <c r="E81" s="34">
        <f t="shared" si="28"/>
        <v>83754.3</v>
      </c>
      <c r="F81" s="34">
        <f t="shared" si="28"/>
        <v>83564.800000000003</v>
      </c>
      <c r="G81" s="535">
        <f t="shared" si="27"/>
        <v>0.9977374296006295</v>
      </c>
    </row>
    <row r="82" spans="1:7" ht="31.5" x14ac:dyDescent="0.25">
      <c r="A82" s="297" t="s">
        <v>62</v>
      </c>
      <c r="B82" s="163" t="s">
        <v>531</v>
      </c>
      <c r="C82" s="309">
        <v>600</v>
      </c>
      <c r="D82" s="34">
        <f t="shared" si="28"/>
        <v>83754.3</v>
      </c>
      <c r="E82" s="34">
        <f t="shared" si="28"/>
        <v>83754.3</v>
      </c>
      <c r="F82" s="34">
        <f t="shared" si="28"/>
        <v>83564.800000000003</v>
      </c>
      <c r="G82" s="535">
        <f t="shared" si="27"/>
        <v>0.9977374296006295</v>
      </c>
    </row>
    <row r="83" spans="1:7" x14ac:dyDescent="0.25">
      <c r="A83" s="297" t="s">
        <v>63</v>
      </c>
      <c r="B83" s="163" t="s">
        <v>531</v>
      </c>
      <c r="C83" s="309">
        <v>610</v>
      </c>
      <c r="D83" s="34">
        <f>'Функц. 2023-2025'!F602</f>
        <v>83754.3</v>
      </c>
      <c r="E83" s="34">
        <f>'Функц. 2023-2025'!H602</f>
        <v>83754.3</v>
      </c>
      <c r="F83" s="34">
        <f>'Функц. 2023-2025'!J602</f>
        <v>83564.800000000003</v>
      </c>
      <c r="G83" s="535">
        <f t="shared" si="27"/>
        <v>0.9977374296006295</v>
      </c>
    </row>
    <row r="84" spans="1:7" ht="47.25" x14ac:dyDescent="0.25">
      <c r="A84" s="297" t="s">
        <v>584</v>
      </c>
      <c r="B84" s="163" t="s">
        <v>532</v>
      </c>
      <c r="C84" s="309"/>
      <c r="D84" s="34">
        <f>D85</f>
        <v>1785.9999999999998</v>
      </c>
      <c r="E84" s="34">
        <f>E85</f>
        <v>1785.9999999999998</v>
      </c>
      <c r="F84" s="34">
        <f>F85</f>
        <v>1680.8</v>
      </c>
      <c r="G84" s="535">
        <f t="shared" si="27"/>
        <v>0.94109742441209421</v>
      </c>
    </row>
    <row r="85" spans="1:7" ht="31.5" x14ac:dyDescent="0.25">
      <c r="A85" s="297" t="s">
        <v>62</v>
      </c>
      <c r="B85" s="163" t="s">
        <v>532</v>
      </c>
      <c r="C85" s="309">
        <v>600</v>
      </c>
      <c r="D85" s="34">
        <f t="shared" ref="D85:F85" si="29">D86</f>
        <v>1785.9999999999998</v>
      </c>
      <c r="E85" s="34">
        <f t="shared" si="29"/>
        <v>1785.9999999999998</v>
      </c>
      <c r="F85" s="34">
        <f t="shared" si="29"/>
        <v>1680.8</v>
      </c>
      <c r="G85" s="535">
        <f t="shared" si="27"/>
        <v>0.94109742441209421</v>
      </c>
    </row>
    <row r="86" spans="1:7" x14ac:dyDescent="0.25">
      <c r="A86" s="297" t="s">
        <v>63</v>
      </c>
      <c r="B86" s="163" t="s">
        <v>532</v>
      </c>
      <c r="C86" s="309">
        <v>610</v>
      </c>
      <c r="D86" s="34">
        <f>'Функц. 2023-2025'!F605</f>
        <v>1785.9999999999998</v>
      </c>
      <c r="E86" s="34">
        <f>'Функц. 2023-2025'!H605</f>
        <v>1785.9999999999998</v>
      </c>
      <c r="F86" s="34">
        <f>'Функц. 2023-2025'!J605</f>
        <v>1680.8</v>
      </c>
      <c r="G86" s="535">
        <f t="shared" si="27"/>
        <v>0.94109742441209421</v>
      </c>
    </row>
    <row r="87" spans="1:7" s="188" customFormat="1" ht="157.5" x14ac:dyDescent="0.25">
      <c r="A87" s="297" t="s">
        <v>587</v>
      </c>
      <c r="B87" s="33" t="s">
        <v>533</v>
      </c>
      <c r="C87" s="309"/>
      <c r="D87" s="34">
        <f t="shared" ref="D87:F88" si="30">D88</f>
        <v>18827</v>
      </c>
      <c r="E87" s="34">
        <f t="shared" si="30"/>
        <v>18827</v>
      </c>
      <c r="F87" s="34">
        <f t="shared" si="30"/>
        <v>15014.4</v>
      </c>
      <c r="G87" s="535">
        <f t="shared" si="27"/>
        <v>0.79749296223508792</v>
      </c>
    </row>
    <row r="88" spans="1:7" s="188" customFormat="1" ht="31.5" x14ac:dyDescent="0.25">
      <c r="A88" s="278" t="s">
        <v>62</v>
      </c>
      <c r="B88" s="33" t="s">
        <v>533</v>
      </c>
      <c r="C88" s="309">
        <v>600</v>
      </c>
      <c r="D88" s="34">
        <f t="shared" si="30"/>
        <v>18827</v>
      </c>
      <c r="E88" s="34">
        <f t="shared" si="30"/>
        <v>18827</v>
      </c>
      <c r="F88" s="34">
        <f t="shared" si="30"/>
        <v>15014.4</v>
      </c>
      <c r="G88" s="535">
        <f t="shared" si="27"/>
        <v>0.79749296223508792</v>
      </c>
    </row>
    <row r="89" spans="1:7" s="188" customFormat="1" x14ac:dyDescent="0.25">
      <c r="A89" s="278" t="s">
        <v>63</v>
      </c>
      <c r="B89" s="33" t="s">
        <v>533</v>
      </c>
      <c r="C89" s="309">
        <v>610</v>
      </c>
      <c r="D89" s="34">
        <f>'Функц. 2023-2025'!F608</f>
        <v>18827</v>
      </c>
      <c r="E89" s="34">
        <f>'Функц. 2023-2025'!H608</f>
        <v>18827</v>
      </c>
      <c r="F89" s="34">
        <f>'Функц. 2023-2025'!J608</f>
        <v>15014.4</v>
      </c>
      <c r="G89" s="535">
        <f t="shared" si="27"/>
        <v>0.79749296223508792</v>
      </c>
    </row>
    <row r="90" spans="1:7" ht="126" x14ac:dyDescent="0.25">
      <c r="A90" s="298" t="s">
        <v>586</v>
      </c>
      <c r="B90" s="33" t="s">
        <v>534</v>
      </c>
      <c r="C90" s="311"/>
      <c r="D90" s="34">
        <f t="shared" ref="D90:F91" si="31">D91</f>
        <v>760993</v>
      </c>
      <c r="E90" s="34">
        <f t="shared" si="31"/>
        <v>753059</v>
      </c>
      <c r="F90" s="34">
        <f t="shared" si="31"/>
        <v>748709.9</v>
      </c>
      <c r="G90" s="535">
        <f t="shared" si="27"/>
        <v>0.99422475529805765</v>
      </c>
    </row>
    <row r="91" spans="1:7" ht="31.5" x14ac:dyDescent="0.25">
      <c r="A91" s="297" t="s">
        <v>62</v>
      </c>
      <c r="B91" s="33" t="s">
        <v>534</v>
      </c>
      <c r="C91" s="309">
        <v>600</v>
      </c>
      <c r="D91" s="34">
        <f t="shared" si="31"/>
        <v>760993</v>
      </c>
      <c r="E91" s="34">
        <f t="shared" si="31"/>
        <v>753059</v>
      </c>
      <c r="F91" s="34">
        <f t="shared" si="31"/>
        <v>748709.9</v>
      </c>
      <c r="G91" s="535">
        <f t="shared" si="27"/>
        <v>0.99422475529805765</v>
      </c>
    </row>
    <row r="92" spans="1:7" x14ac:dyDescent="0.25">
      <c r="A92" s="297" t="s">
        <v>63</v>
      </c>
      <c r="B92" s="33" t="s">
        <v>534</v>
      </c>
      <c r="C92" s="309">
        <v>610</v>
      </c>
      <c r="D92" s="34">
        <f>'Функц. 2023-2025'!F611+'Функц. 2023-2025'!F678+'Функц. 2023-2025'!F575</f>
        <v>760993</v>
      </c>
      <c r="E92" s="34">
        <f>'Функц. 2023-2025'!H575+'Функц. 2023-2025'!H611+'Функц. 2023-2025'!H678</f>
        <v>753059</v>
      </c>
      <c r="F92" s="34">
        <f>'Функц. 2023-2025'!J678+'Функц. 2023-2025'!J575+'Функц. 2023-2025'!J611</f>
        <v>748709.9</v>
      </c>
      <c r="G92" s="535">
        <f t="shared" si="27"/>
        <v>0.99422475529805765</v>
      </c>
    </row>
    <row r="93" spans="1:7" s="188" customFormat="1" ht="47.25" x14ac:dyDescent="0.25">
      <c r="A93" s="297" t="s">
        <v>125</v>
      </c>
      <c r="B93" s="163" t="s">
        <v>529</v>
      </c>
      <c r="C93" s="309"/>
      <c r="D93" s="34">
        <f>D96+D94+D98</f>
        <v>17974</v>
      </c>
      <c r="E93" s="34">
        <f>E96+E94+E98</f>
        <v>17038</v>
      </c>
      <c r="F93" s="34">
        <f>F96+F94+F98</f>
        <v>14677.300000000001</v>
      </c>
      <c r="G93" s="535">
        <f t="shared" si="27"/>
        <v>0.86144500528231016</v>
      </c>
    </row>
    <row r="94" spans="1:7" s="188" customFormat="1" x14ac:dyDescent="0.25">
      <c r="A94" s="434" t="s">
        <v>123</v>
      </c>
      <c r="B94" s="163" t="s">
        <v>529</v>
      </c>
      <c r="C94" s="309">
        <v>200</v>
      </c>
      <c r="D94" s="34">
        <f>D95</f>
        <v>170</v>
      </c>
      <c r="E94" s="34">
        <f>E95</f>
        <v>161</v>
      </c>
      <c r="F94" s="34">
        <f>F95</f>
        <v>65.099999999999994</v>
      </c>
      <c r="G94" s="535">
        <f t="shared" si="27"/>
        <v>0.40434782608695646</v>
      </c>
    </row>
    <row r="95" spans="1:7" s="188" customFormat="1" x14ac:dyDescent="0.25">
      <c r="A95" s="278" t="s">
        <v>54</v>
      </c>
      <c r="B95" s="163" t="s">
        <v>529</v>
      </c>
      <c r="C95" s="309">
        <v>240</v>
      </c>
      <c r="D95" s="34">
        <f>'Функц. 2023-2025'!F840</f>
        <v>170</v>
      </c>
      <c r="E95" s="34">
        <f>'Функц. 2023-2025'!H840</f>
        <v>161</v>
      </c>
      <c r="F95" s="34">
        <f>'Функц. 2023-2025'!J840</f>
        <v>65.099999999999994</v>
      </c>
      <c r="G95" s="535">
        <f t="shared" si="27"/>
        <v>0.40434782608695646</v>
      </c>
    </row>
    <row r="96" spans="1:7" s="188" customFormat="1" x14ac:dyDescent="0.25">
      <c r="A96" s="297" t="s">
        <v>100</v>
      </c>
      <c r="B96" s="163" t="s">
        <v>529</v>
      </c>
      <c r="C96" s="309">
        <v>300</v>
      </c>
      <c r="D96" s="34">
        <f>D97</f>
        <v>16978</v>
      </c>
      <c r="E96" s="34">
        <f>E97</f>
        <v>16077</v>
      </c>
      <c r="F96" s="34">
        <f>F97</f>
        <v>13812.2</v>
      </c>
      <c r="G96" s="535">
        <f t="shared" si="27"/>
        <v>0.85912794675623572</v>
      </c>
    </row>
    <row r="97" spans="1:7" s="188" customFormat="1" x14ac:dyDescent="0.25">
      <c r="A97" s="297" t="s">
        <v>133</v>
      </c>
      <c r="B97" s="163" t="s">
        <v>529</v>
      </c>
      <c r="C97" s="309">
        <v>310</v>
      </c>
      <c r="D97" s="34">
        <f>'Функц. 2023-2025'!F842</f>
        <v>16978</v>
      </c>
      <c r="E97" s="34">
        <f>'Функц. 2023-2025'!H842</f>
        <v>16077</v>
      </c>
      <c r="F97" s="34">
        <f>'Функц. 2023-2025'!J842</f>
        <v>13812.2</v>
      </c>
      <c r="G97" s="535">
        <f t="shared" si="27"/>
        <v>0.85912794675623572</v>
      </c>
    </row>
    <row r="98" spans="1:7" s="188" customFormat="1" ht="31.5" x14ac:dyDescent="0.25">
      <c r="A98" s="297" t="s">
        <v>62</v>
      </c>
      <c r="B98" s="163" t="s">
        <v>529</v>
      </c>
      <c r="C98" s="309">
        <v>600</v>
      </c>
      <c r="D98" s="34">
        <f>D99</f>
        <v>826</v>
      </c>
      <c r="E98" s="34">
        <f>E99</f>
        <v>800</v>
      </c>
      <c r="F98" s="34">
        <f>F99</f>
        <v>800</v>
      </c>
      <c r="G98" s="535">
        <f t="shared" si="27"/>
        <v>1</v>
      </c>
    </row>
    <row r="99" spans="1:7" s="188" customFormat="1" x14ac:dyDescent="0.25">
      <c r="A99" s="297" t="s">
        <v>63</v>
      </c>
      <c r="B99" s="163" t="s">
        <v>529</v>
      </c>
      <c r="C99" s="309">
        <v>610</v>
      </c>
      <c r="D99" s="34">
        <f>'Функц. 2023-2025'!F844</f>
        <v>826</v>
      </c>
      <c r="E99" s="34">
        <f>'Функц. 2023-2025'!H844</f>
        <v>800</v>
      </c>
      <c r="F99" s="34">
        <f>'Функц. 2023-2025'!J844</f>
        <v>800</v>
      </c>
      <c r="G99" s="535">
        <f t="shared" si="27"/>
        <v>1</v>
      </c>
    </row>
    <row r="100" spans="1:7" s="188" customFormat="1" ht="47.25" x14ac:dyDescent="0.25">
      <c r="A100" s="297" t="s">
        <v>507</v>
      </c>
      <c r="B100" s="163" t="s">
        <v>128</v>
      </c>
      <c r="C100" s="309"/>
      <c r="D100" s="34">
        <f>D101+D107+D110+D104</f>
        <v>55188.800000000003</v>
      </c>
      <c r="E100" s="34">
        <f t="shared" ref="E100:F100" si="32">E101+E107+E110+E104</f>
        <v>49439.8</v>
      </c>
      <c r="F100" s="34">
        <f t="shared" si="32"/>
        <v>43979.200000000004</v>
      </c>
      <c r="G100" s="535">
        <f t="shared" si="27"/>
        <v>0.88955052407169932</v>
      </c>
    </row>
    <row r="101" spans="1:7" ht="31.5" x14ac:dyDescent="0.25">
      <c r="A101" s="297" t="s">
        <v>585</v>
      </c>
      <c r="B101" s="163" t="s">
        <v>535</v>
      </c>
      <c r="C101" s="309"/>
      <c r="D101" s="34">
        <f t="shared" ref="D101:F102" si="33">D102</f>
        <v>48</v>
      </c>
      <c r="E101" s="34">
        <f t="shared" si="33"/>
        <v>27</v>
      </c>
      <c r="F101" s="34">
        <f t="shared" si="33"/>
        <v>12</v>
      </c>
      <c r="G101" s="535">
        <f t="shared" si="27"/>
        <v>0.44444444444444442</v>
      </c>
    </row>
    <row r="102" spans="1:7" ht="31.5" x14ac:dyDescent="0.25">
      <c r="A102" s="297" t="s">
        <v>62</v>
      </c>
      <c r="B102" s="163" t="s">
        <v>535</v>
      </c>
      <c r="C102" s="311">
        <v>600</v>
      </c>
      <c r="D102" s="34">
        <f t="shared" si="33"/>
        <v>48</v>
      </c>
      <c r="E102" s="34">
        <f t="shared" si="33"/>
        <v>27</v>
      </c>
      <c r="F102" s="34">
        <f t="shared" si="33"/>
        <v>12</v>
      </c>
      <c r="G102" s="535">
        <f t="shared" si="27"/>
        <v>0.44444444444444442</v>
      </c>
    </row>
    <row r="103" spans="1:7" x14ac:dyDescent="0.25">
      <c r="A103" s="297" t="s">
        <v>63</v>
      </c>
      <c r="B103" s="163" t="s">
        <v>535</v>
      </c>
      <c r="C103" s="311">
        <v>610</v>
      </c>
      <c r="D103" s="34">
        <f>'Функц. 2023-2025'!F615</f>
        <v>48</v>
      </c>
      <c r="E103" s="34">
        <f>'Функц. 2023-2025'!H615</f>
        <v>27</v>
      </c>
      <c r="F103" s="34">
        <f>'Функц. 2023-2025'!J615</f>
        <v>12</v>
      </c>
      <c r="G103" s="535">
        <f t="shared" si="27"/>
        <v>0.44444444444444442</v>
      </c>
    </row>
    <row r="104" spans="1:7" s="188" customFormat="1" ht="63" x14ac:dyDescent="0.25">
      <c r="A104" s="278" t="s">
        <v>716</v>
      </c>
      <c r="B104" s="163" t="s">
        <v>717</v>
      </c>
      <c r="C104" s="317"/>
      <c r="D104" s="34">
        <f>D105</f>
        <v>1428</v>
      </c>
      <c r="E104" s="34">
        <f t="shared" ref="E104:F104" si="34">E105</f>
        <v>1428</v>
      </c>
      <c r="F104" s="34">
        <f t="shared" si="34"/>
        <v>1043.3</v>
      </c>
      <c r="G104" s="535">
        <f t="shared" si="27"/>
        <v>0.7306022408963585</v>
      </c>
    </row>
    <row r="105" spans="1:7" s="188" customFormat="1" ht="31.5" x14ac:dyDescent="0.25">
      <c r="A105" s="278" t="s">
        <v>62</v>
      </c>
      <c r="B105" s="163" t="s">
        <v>717</v>
      </c>
      <c r="C105" s="311">
        <v>600</v>
      </c>
      <c r="D105" s="34">
        <f>D106</f>
        <v>1428</v>
      </c>
      <c r="E105" s="34">
        <f>E106</f>
        <v>1428</v>
      </c>
      <c r="F105" s="34">
        <f>F106</f>
        <v>1043.3</v>
      </c>
      <c r="G105" s="535">
        <f t="shared" si="27"/>
        <v>0.7306022408963585</v>
      </c>
    </row>
    <row r="106" spans="1:7" s="188" customFormat="1" x14ac:dyDescent="0.25">
      <c r="A106" s="278" t="s">
        <v>63</v>
      </c>
      <c r="B106" s="163" t="s">
        <v>717</v>
      </c>
      <c r="C106" s="311">
        <v>610</v>
      </c>
      <c r="D106" s="34">
        <f>'Функц. 2023-2025'!F579</f>
        <v>1428</v>
      </c>
      <c r="E106" s="34">
        <f>'Функц. 2023-2025'!H579</f>
        <v>1428</v>
      </c>
      <c r="F106" s="34">
        <f>'Функц. 2023-2025'!J579</f>
        <v>1043.3</v>
      </c>
      <c r="G106" s="535">
        <f t="shared" si="27"/>
        <v>0.7306022408963585</v>
      </c>
    </row>
    <row r="107" spans="1:7" s="188" customFormat="1" ht="31.5" x14ac:dyDescent="0.25">
      <c r="A107" s="278" t="s">
        <v>588</v>
      </c>
      <c r="B107" s="33" t="s">
        <v>536</v>
      </c>
      <c r="C107" s="309"/>
      <c r="D107" s="34">
        <f t="shared" ref="D107:F108" si="35">D108</f>
        <v>33277.800000000003</v>
      </c>
      <c r="E107" s="34">
        <f t="shared" si="35"/>
        <v>27549.8</v>
      </c>
      <c r="F107" s="34">
        <f t="shared" si="35"/>
        <v>26913.3</v>
      </c>
      <c r="G107" s="535">
        <f t="shared" si="27"/>
        <v>0.97689638400278767</v>
      </c>
    </row>
    <row r="108" spans="1:7" s="188" customFormat="1" x14ac:dyDescent="0.25">
      <c r="A108" s="297" t="s">
        <v>123</v>
      </c>
      <c r="B108" s="33" t="s">
        <v>536</v>
      </c>
      <c r="C108" s="309">
        <v>200</v>
      </c>
      <c r="D108" s="34">
        <f t="shared" si="35"/>
        <v>33277.800000000003</v>
      </c>
      <c r="E108" s="34">
        <f t="shared" si="35"/>
        <v>27549.8</v>
      </c>
      <c r="F108" s="34">
        <f t="shared" si="35"/>
        <v>26913.3</v>
      </c>
      <c r="G108" s="535">
        <f t="shared" si="27"/>
        <v>0.97689638400278767</v>
      </c>
    </row>
    <row r="109" spans="1:7" s="188" customFormat="1" x14ac:dyDescent="0.25">
      <c r="A109" s="297" t="s">
        <v>54</v>
      </c>
      <c r="B109" s="33" t="s">
        <v>536</v>
      </c>
      <c r="C109" s="309">
        <v>240</v>
      </c>
      <c r="D109" s="34">
        <f>'Функц. 2023-2025'!F618</f>
        <v>33277.800000000003</v>
      </c>
      <c r="E109" s="34">
        <f>'Функц. 2023-2025'!H618</f>
        <v>27549.8</v>
      </c>
      <c r="F109" s="34">
        <f>'Функц. 2023-2025'!J618</f>
        <v>26913.3</v>
      </c>
      <c r="G109" s="535">
        <f t="shared" si="27"/>
        <v>0.97689638400278767</v>
      </c>
    </row>
    <row r="110" spans="1:7" s="188" customFormat="1" ht="47.25" x14ac:dyDescent="0.25">
      <c r="A110" s="281" t="s">
        <v>589</v>
      </c>
      <c r="B110" s="163" t="s">
        <v>537</v>
      </c>
      <c r="C110" s="310"/>
      <c r="D110" s="34">
        <f t="shared" ref="D110:F111" si="36">D111</f>
        <v>20435</v>
      </c>
      <c r="E110" s="34">
        <f t="shared" si="36"/>
        <v>20435</v>
      </c>
      <c r="F110" s="34">
        <f t="shared" si="36"/>
        <v>16010.6</v>
      </c>
      <c r="G110" s="535">
        <f t="shared" si="27"/>
        <v>0.78348911181795944</v>
      </c>
    </row>
    <row r="111" spans="1:7" s="188" customFormat="1" x14ac:dyDescent="0.25">
      <c r="A111" s="297" t="s">
        <v>123</v>
      </c>
      <c r="B111" s="163" t="s">
        <v>537</v>
      </c>
      <c r="C111" s="309">
        <v>200</v>
      </c>
      <c r="D111" s="34">
        <f t="shared" si="36"/>
        <v>20435</v>
      </c>
      <c r="E111" s="34">
        <f t="shared" si="36"/>
        <v>20435</v>
      </c>
      <c r="F111" s="34">
        <f t="shared" si="36"/>
        <v>16010.6</v>
      </c>
      <c r="G111" s="535">
        <f t="shared" si="27"/>
        <v>0.78348911181795944</v>
      </c>
    </row>
    <row r="112" spans="1:7" s="188" customFormat="1" x14ac:dyDescent="0.25">
      <c r="A112" s="297" t="s">
        <v>54</v>
      </c>
      <c r="B112" s="163" t="s">
        <v>537</v>
      </c>
      <c r="C112" s="309">
        <v>240</v>
      </c>
      <c r="D112" s="34">
        <f>'Функц. 2023-2025'!F621</f>
        <v>20435</v>
      </c>
      <c r="E112" s="34">
        <f>'Функц. 2023-2025'!H621</f>
        <v>20435</v>
      </c>
      <c r="F112" s="34">
        <f>'Функц. 2023-2025'!J621</f>
        <v>16010.6</v>
      </c>
      <c r="G112" s="535">
        <f t="shared" si="27"/>
        <v>0.78348911181795944</v>
      </c>
    </row>
    <row r="113" spans="1:7" ht="47.25" x14ac:dyDescent="0.25">
      <c r="A113" s="295" t="s">
        <v>330</v>
      </c>
      <c r="B113" s="163" t="s">
        <v>538</v>
      </c>
      <c r="C113" s="311"/>
      <c r="D113" s="34">
        <f>D114</f>
        <v>2985.3999999999996</v>
      </c>
      <c r="E113" s="34">
        <f t="shared" ref="D113:F115" si="37">E114</f>
        <v>2985.3999999999996</v>
      </c>
      <c r="F113" s="34">
        <f t="shared" si="37"/>
        <v>2711</v>
      </c>
      <c r="G113" s="535">
        <f t="shared" si="27"/>
        <v>0.90808601862397009</v>
      </c>
    </row>
    <row r="114" spans="1:7" ht="47.25" x14ac:dyDescent="0.25">
      <c r="A114" s="295" t="s">
        <v>487</v>
      </c>
      <c r="B114" s="163" t="s">
        <v>539</v>
      </c>
      <c r="C114" s="311"/>
      <c r="D114" s="34">
        <f t="shared" si="37"/>
        <v>2985.3999999999996</v>
      </c>
      <c r="E114" s="34">
        <f t="shared" si="37"/>
        <v>2985.3999999999996</v>
      </c>
      <c r="F114" s="34">
        <f t="shared" si="37"/>
        <v>2711</v>
      </c>
      <c r="G114" s="535">
        <f t="shared" si="27"/>
        <v>0.90808601862397009</v>
      </c>
    </row>
    <row r="115" spans="1:7" ht="31.5" x14ac:dyDescent="0.25">
      <c r="A115" s="297" t="s">
        <v>62</v>
      </c>
      <c r="B115" s="163" t="s">
        <v>539</v>
      </c>
      <c r="C115" s="311">
        <v>600</v>
      </c>
      <c r="D115" s="34">
        <f t="shared" si="37"/>
        <v>2985.3999999999996</v>
      </c>
      <c r="E115" s="34">
        <f t="shared" si="37"/>
        <v>2985.3999999999996</v>
      </c>
      <c r="F115" s="34">
        <f t="shared" si="37"/>
        <v>2711</v>
      </c>
      <c r="G115" s="535">
        <f t="shared" si="27"/>
        <v>0.90808601862397009</v>
      </c>
    </row>
    <row r="116" spans="1:7" x14ac:dyDescent="0.25">
      <c r="A116" s="297" t="s">
        <v>63</v>
      </c>
      <c r="B116" s="163" t="s">
        <v>539</v>
      </c>
      <c r="C116" s="311">
        <v>610</v>
      </c>
      <c r="D116" s="34">
        <f>'Функц. 2023-2025'!F625</f>
        <v>2985.3999999999996</v>
      </c>
      <c r="E116" s="34">
        <f>'Функц. 2023-2025'!H625</f>
        <v>2985.3999999999996</v>
      </c>
      <c r="F116" s="34">
        <f>'Функц. 2023-2025'!J625</f>
        <v>2711</v>
      </c>
      <c r="G116" s="535">
        <f t="shared" si="27"/>
        <v>0.90808601862397009</v>
      </c>
    </row>
    <row r="117" spans="1:7" s="188" customFormat="1" ht="31.5" x14ac:dyDescent="0.25">
      <c r="A117" s="453" t="s">
        <v>440</v>
      </c>
      <c r="B117" s="454" t="s">
        <v>540</v>
      </c>
      <c r="C117" s="309"/>
      <c r="D117" s="455">
        <f>D118+D121+D133+D127+D130+D124</f>
        <v>523737.89999999991</v>
      </c>
      <c r="E117" s="455">
        <f t="shared" ref="E117:F117" si="38">E118+E121+E133+E127+E130+E124</f>
        <v>516906.1</v>
      </c>
      <c r="F117" s="455">
        <f t="shared" si="38"/>
        <v>515355.89999999997</v>
      </c>
      <c r="G117" s="535">
        <f t="shared" si="27"/>
        <v>0.99700100269662129</v>
      </c>
    </row>
    <row r="118" spans="1:7" s="188" customFormat="1" ht="47.25" x14ac:dyDescent="0.25">
      <c r="A118" s="456" t="s">
        <v>558</v>
      </c>
      <c r="B118" s="454" t="s">
        <v>560</v>
      </c>
      <c r="C118" s="311"/>
      <c r="D118" s="34">
        <f>D119</f>
        <v>121794.3</v>
      </c>
      <c r="E118" s="34">
        <f t="shared" ref="E118:F118" si="39">E119</f>
        <v>121794.3</v>
      </c>
      <c r="F118" s="34">
        <f t="shared" si="39"/>
        <v>121794.3</v>
      </c>
      <c r="G118" s="535">
        <f t="shared" si="27"/>
        <v>1</v>
      </c>
    </row>
    <row r="119" spans="1:7" s="188" customFormat="1" x14ac:dyDescent="0.25">
      <c r="A119" s="278" t="s">
        <v>123</v>
      </c>
      <c r="B119" s="454" t="s">
        <v>560</v>
      </c>
      <c r="C119" s="309">
        <v>200</v>
      </c>
      <c r="D119" s="34">
        <f t="shared" ref="D119:F121" si="40">D120</f>
        <v>121794.3</v>
      </c>
      <c r="E119" s="34">
        <f t="shared" si="40"/>
        <v>121794.3</v>
      </c>
      <c r="F119" s="34">
        <f t="shared" si="40"/>
        <v>121794.3</v>
      </c>
      <c r="G119" s="535">
        <f t="shared" si="27"/>
        <v>1</v>
      </c>
    </row>
    <row r="120" spans="1:7" s="188" customFormat="1" x14ac:dyDescent="0.25">
      <c r="A120" s="278" t="s">
        <v>54</v>
      </c>
      <c r="B120" s="454" t="s">
        <v>560</v>
      </c>
      <c r="C120" s="309">
        <v>240</v>
      </c>
      <c r="D120" s="34">
        <f>'Функц. 2023-2025'!F629</f>
        <v>121794.3</v>
      </c>
      <c r="E120" s="34">
        <f>'Функц. 2023-2025'!H629</f>
        <v>121794.3</v>
      </c>
      <c r="F120" s="34">
        <f>'Функц. 2023-2025'!J629</f>
        <v>121794.3</v>
      </c>
      <c r="G120" s="535">
        <f t="shared" si="27"/>
        <v>1</v>
      </c>
    </row>
    <row r="121" spans="1:7" s="188" customFormat="1" ht="47.25" x14ac:dyDescent="0.25">
      <c r="A121" s="278" t="s">
        <v>559</v>
      </c>
      <c r="B121" s="454" t="s">
        <v>561</v>
      </c>
      <c r="C121" s="311"/>
      <c r="D121" s="34">
        <f>D122</f>
        <v>22325.3</v>
      </c>
      <c r="E121" s="34">
        <f t="shared" si="40"/>
        <v>22325.3</v>
      </c>
      <c r="F121" s="34">
        <f t="shared" si="40"/>
        <v>22325.3</v>
      </c>
      <c r="G121" s="535">
        <f t="shared" si="27"/>
        <v>1</v>
      </c>
    </row>
    <row r="122" spans="1:7" s="188" customFormat="1" x14ac:dyDescent="0.25">
      <c r="A122" s="278" t="s">
        <v>123</v>
      </c>
      <c r="B122" s="454" t="s">
        <v>561</v>
      </c>
      <c r="C122" s="309">
        <v>200</v>
      </c>
      <c r="D122" s="34">
        <f>D123</f>
        <v>22325.3</v>
      </c>
      <c r="E122" s="34">
        <f t="shared" ref="E122:F122" si="41">E123</f>
        <v>22325.3</v>
      </c>
      <c r="F122" s="34">
        <f t="shared" si="41"/>
        <v>22325.3</v>
      </c>
      <c r="G122" s="535">
        <f t="shared" si="27"/>
        <v>1</v>
      </c>
    </row>
    <row r="123" spans="1:7" s="188" customFormat="1" x14ac:dyDescent="0.25">
      <c r="A123" s="278" t="s">
        <v>54</v>
      </c>
      <c r="B123" s="454" t="s">
        <v>561</v>
      </c>
      <c r="C123" s="309">
        <v>240</v>
      </c>
      <c r="D123" s="34">
        <f>'Функц. 2023-2025'!F632</f>
        <v>22325.3</v>
      </c>
      <c r="E123" s="34">
        <f>'Функц. 2023-2025'!H632</f>
        <v>22325.3</v>
      </c>
      <c r="F123" s="34">
        <f>'Функц. 2023-2025'!J632</f>
        <v>22325.3</v>
      </c>
      <c r="G123" s="535">
        <f t="shared" si="27"/>
        <v>1</v>
      </c>
    </row>
    <row r="124" spans="1:7" s="188" customFormat="1" ht="31.5" x14ac:dyDescent="0.25">
      <c r="A124" s="278" t="s">
        <v>744</v>
      </c>
      <c r="B124" s="539" t="s">
        <v>745</v>
      </c>
      <c r="C124" s="309"/>
      <c r="D124" s="34">
        <f>D125</f>
        <v>15656.8</v>
      </c>
      <c r="E124" s="34">
        <f t="shared" ref="E124:F125" si="42">E125</f>
        <v>15656.8</v>
      </c>
      <c r="F124" s="34">
        <f t="shared" si="42"/>
        <v>15471.1</v>
      </c>
      <c r="G124" s="535">
        <f t="shared" si="27"/>
        <v>0.98813933881763838</v>
      </c>
    </row>
    <row r="125" spans="1:7" s="188" customFormat="1" x14ac:dyDescent="0.25">
      <c r="A125" s="278" t="s">
        <v>123</v>
      </c>
      <c r="B125" s="539" t="s">
        <v>745</v>
      </c>
      <c r="C125" s="309">
        <v>200</v>
      </c>
      <c r="D125" s="34">
        <f>D126</f>
        <v>15656.8</v>
      </c>
      <c r="E125" s="34">
        <f t="shared" si="42"/>
        <v>15656.8</v>
      </c>
      <c r="F125" s="34">
        <f t="shared" si="42"/>
        <v>15471.1</v>
      </c>
      <c r="G125" s="535">
        <f t="shared" si="27"/>
        <v>0.98813933881763838</v>
      </c>
    </row>
    <row r="126" spans="1:7" s="188" customFormat="1" x14ac:dyDescent="0.25">
      <c r="A126" s="278" t="s">
        <v>54</v>
      </c>
      <c r="B126" s="539" t="s">
        <v>745</v>
      </c>
      <c r="C126" s="309">
        <v>240</v>
      </c>
      <c r="D126" s="34">
        <f>'Функц. 2023-2025'!F635</f>
        <v>15656.8</v>
      </c>
      <c r="E126" s="34">
        <f>'Функц. 2023-2025'!H635</f>
        <v>15656.8</v>
      </c>
      <c r="F126" s="34">
        <f>'Функц. 2023-2025'!J635</f>
        <v>15471.1</v>
      </c>
      <c r="G126" s="535">
        <f t="shared" si="27"/>
        <v>0.98813933881763838</v>
      </c>
    </row>
    <row r="127" spans="1:7" s="188" customFormat="1" ht="31.5" x14ac:dyDescent="0.25">
      <c r="A127" s="278" t="s">
        <v>709</v>
      </c>
      <c r="B127" s="539" t="s">
        <v>710</v>
      </c>
      <c r="C127" s="309"/>
      <c r="D127" s="455">
        <f>D128</f>
        <v>319946.99999999994</v>
      </c>
      <c r="E127" s="455">
        <f t="shared" ref="E127:F128" si="43">E128</f>
        <v>313115.2</v>
      </c>
      <c r="F127" s="455">
        <f t="shared" si="43"/>
        <v>311750.7</v>
      </c>
      <c r="G127" s="535">
        <f t="shared" si="27"/>
        <v>0.99564217898077134</v>
      </c>
    </row>
    <row r="128" spans="1:7" s="188" customFormat="1" x14ac:dyDescent="0.25">
      <c r="A128" s="278" t="s">
        <v>123</v>
      </c>
      <c r="B128" s="539" t="s">
        <v>710</v>
      </c>
      <c r="C128" s="309">
        <v>200</v>
      </c>
      <c r="D128" s="455">
        <f>D129</f>
        <v>319946.99999999994</v>
      </c>
      <c r="E128" s="455">
        <f t="shared" si="43"/>
        <v>313115.2</v>
      </c>
      <c r="F128" s="455">
        <f t="shared" si="43"/>
        <v>311750.7</v>
      </c>
      <c r="G128" s="535">
        <f t="shared" si="27"/>
        <v>0.99564217898077134</v>
      </c>
    </row>
    <row r="129" spans="1:7" s="188" customFormat="1" x14ac:dyDescent="0.25">
      <c r="A129" s="278" t="s">
        <v>54</v>
      </c>
      <c r="B129" s="539" t="s">
        <v>710</v>
      </c>
      <c r="C129" s="309">
        <v>240</v>
      </c>
      <c r="D129" s="455">
        <f>'Функц. 2023-2025'!F638</f>
        <v>319946.99999999994</v>
      </c>
      <c r="E129" s="455">
        <f>'Функц. 2023-2025'!H638</f>
        <v>313115.2</v>
      </c>
      <c r="F129" s="455">
        <f>'Функц. 2023-2025'!J638</f>
        <v>311750.7</v>
      </c>
      <c r="G129" s="535">
        <f t="shared" si="27"/>
        <v>0.99564217898077134</v>
      </c>
    </row>
    <row r="130" spans="1:7" s="188" customFormat="1" ht="31.5" x14ac:dyDescent="0.25">
      <c r="A130" s="278" t="s">
        <v>711</v>
      </c>
      <c r="B130" s="539" t="s">
        <v>712</v>
      </c>
      <c r="C130" s="309"/>
      <c r="D130" s="455">
        <f>D131</f>
        <v>8905.7999999999993</v>
      </c>
      <c r="E130" s="455">
        <f t="shared" ref="E130:F131" si="44">E131</f>
        <v>8905.7999999999993</v>
      </c>
      <c r="F130" s="455">
        <f t="shared" si="44"/>
        <v>8905.7999999999993</v>
      </c>
      <c r="G130" s="535">
        <f t="shared" si="27"/>
        <v>1</v>
      </c>
    </row>
    <row r="131" spans="1:7" s="188" customFormat="1" x14ac:dyDescent="0.25">
      <c r="A131" s="278" t="s">
        <v>123</v>
      </c>
      <c r="B131" s="539" t="s">
        <v>712</v>
      </c>
      <c r="C131" s="309">
        <v>200</v>
      </c>
      <c r="D131" s="455">
        <f>D132</f>
        <v>8905.7999999999993</v>
      </c>
      <c r="E131" s="455">
        <f t="shared" si="44"/>
        <v>8905.7999999999993</v>
      </c>
      <c r="F131" s="455">
        <f t="shared" si="44"/>
        <v>8905.7999999999993</v>
      </c>
      <c r="G131" s="535">
        <f t="shared" si="27"/>
        <v>1</v>
      </c>
    </row>
    <row r="132" spans="1:7" s="188" customFormat="1" x14ac:dyDescent="0.25">
      <c r="A132" s="278" t="s">
        <v>54</v>
      </c>
      <c r="B132" s="539" t="s">
        <v>712</v>
      </c>
      <c r="C132" s="309">
        <v>240</v>
      </c>
      <c r="D132" s="455">
        <f>'Функц. 2023-2025'!F641</f>
        <v>8905.7999999999993</v>
      </c>
      <c r="E132" s="455">
        <f>'Функц. 2023-2025'!H641</f>
        <v>8905.7999999999993</v>
      </c>
      <c r="F132" s="455">
        <f>'Функц. 2023-2025'!J641</f>
        <v>8905.7999999999993</v>
      </c>
      <c r="G132" s="535">
        <f t="shared" si="27"/>
        <v>1</v>
      </c>
    </row>
    <row r="133" spans="1:7" s="188" customFormat="1" ht="31.5" x14ac:dyDescent="0.25">
      <c r="A133" s="278" t="s">
        <v>557</v>
      </c>
      <c r="B133" s="454" t="s">
        <v>541</v>
      </c>
      <c r="C133" s="311"/>
      <c r="D133" s="455">
        <f>D134</f>
        <v>35108.700000000004</v>
      </c>
      <c r="E133" s="455">
        <f t="shared" ref="E133:F133" si="45">E134</f>
        <v>35108.700000000004</v>
      </c>
      <c r="F133" s="455">
        <f t="shared" si="45"/>
        <v>35108.699999999997</v>
      </c>
      <c r="G133" s="535">
        <f t="shared" si="27"/>
        <v>0.99999999999999978</v>
      </c>
    </row>
    <row r="134" spans="1:7" s="188" customFormat="1" x14ac:dyDescent="0.25">
      <c r="A134" s="278" t="s">
        <v>123</v>
      </c>
      <c r="B134" s="454" t="s">
        <v>541</v>
      </c>
      <c r="C134" s="309">
        <v>200</v>
      </c>
      <c r="D134" s="455">
        <f>D135</f>
        <v>35108.700000000004</v>
      </c>
      <c r="E134" s="455">
        <f t="shared" ref="E134:F134" si="46">E135</f>
        <v>35108.700000000004</v>
      </c>
      <c r="F134" s="455">
        <f t="shared" si="46"/>
        <v>35108.699999999997</v>
      </c>
      <c r="G134" s="535">
        <f t="shared" si="27"/>
        <v>0.99999999999999978</v>
      </c>
    </row>
    <row r="135" spans="1:7" s="188" customFormat="1" x14ac:dyDescent="0.25">
      <c r="A135" s="278" t="s">
        <v>54</v>
      </c>
      <c r="B135" s="454" t="s">
        <v>541</v>
      </c>
      <c r="C135" s="309">
        <v>240</v>
      </c>
      <c r="D135" s="455">
        <f>'Функц. 2023-2025'!F644</f>
        <v>35108.700000000004</v>
      </c>
      <c r="E135" s="455">
        <f>'Функц. 2023-2025'!H644</f>
        <v>35108.700000000004</v>
      </c>
      <c r="F135" s="455">
        <f>'Функц. 2023-2025'!J644</f>
        <v>35108.699999999997</v>
      </c>
      <c r="G135" s="535">
        <f t="shared" si="27"/>
        <v>0.99999999999999978</v>
      </c>
    </row>
    <row r="136" spans="1:7" s="188" customFormat="1" x14ac:dyDescent="0.25">
      <c r="A136" s="278" t="s">
        <v>773</v>
      </c>
      <c r="B136" s="308" t="s">
        <v>774</v>
      </c>
      <c r="C136" s="317"/>
      <c r="D136" s="457">
        <f>D137</f>
        <v>566.5</v>
      </c>
      <c r="E136" s="457">
        <f t="shared" ref="E136:F136" si="47">E137</f>
        <v>566.5</v>
      </c>
      <c r="F136" s="457">
        <f t="shared" si="47"/>
        <v>566.5</v>
      </c>
      <c r="G136" s="535">
        <f t="shared" si="27"/>
        <v>1</v>
      </c>
    </row>
    <row r="137" spans="1:7" s="188" customFormat="1" ht="157.5" x14ac:dyDescent="0.25">
      <c r="A137" s="278" t="s">
        <v>775</v>
      </c>
      <c r="B137" s="308" t="s">
        <v>776</v>
      </c>
      <c r="C137" s="317"/>
      <c r="D137" s="457">
        <f>D138</f>
        <v>566.5</v>
      </c>
      <c r="E137" s="457">
        <f t="shared" ref="E137:F137" si="48">E138</f>
        <v>566.5</v>
      </c>
      <c r="F137" s="457">
        <f t="shared" si="48"/>
        <v>566.5</v>
      </c>
      <c r="G137" s="535">
        <f t="shared" si="27"/>
        <v>1</v>
      </c>
    </row>
    <row r="138" spans="1:7" s="188" customFormat="1" ht="31.5" x14ac:dyDescent="0.25">
      <c r="A138" s="278" t="s">
        <v>62</v>
      </c>
      <c r="B138" s="308" t="s">
        <v>776</v>
      </c>
      <c r="C138" s="311">
        <v>600</v>
      </c>
      <c r="D138" s="457">
        <f>D139</f>
        <v>566.5</v>
      </c>
      <c r="E138" s="457">
        <f t="shared" ref="E138:F138" si="49">E139</f>
        <v>566.5</v>
      </c>
      <c r="F138" s="457">
        <f t="shared" si="49"/>
        <v>566.5</v>
      </c>
      <c r="G138" s="535">
        <f t="shared" si="27"/>
        <v>1</v>
      </c>
    </row>
    <row r="139" spans="1:7" s="188" customFormat="1" x14ac:dyDescent="0.25">
      <c r="A139" s="278" t="s">
        <v>63</v>
      </c>
      <c r="B139" s="308" t="s">
        <v>776</v>
      </c>
      <c r="C139" s="311">
        <v>610</v>
      </c>
      <c r="D139" s="457">
        <f>'Функц. 2023-2025'!F648</f>
        <v>566.5</v>
      </c>
      <c r="E139" s="38">
        <f>'Функц. 2023-2025'!H648</f>
        <v>566.5</v>
      </c>
      <c r="F139" s="532">
        <f>'Функц. 2023-2025'!J648</f>
        <v>566.5</v>
      </c>
      <c r="G139" s="535">
        <f t="shared" si="27"/>
        <v>1</v>
      </c>
    </row>
    <row r="140" spans="1:7" s="188" customFormat="1" ht="31.5" x14ac:dyDescent="0.25">
      <c r="A140" s="280" t="s">
        <v>542</v>
      </c>
      <c r="B140" s="163" t="s">
        <v>104</v>
      </c>
      <c r="C140" s="311"/>
      <c r="D140" s="455">
        <f>D141+D145+D153</f>
        <v>65784.7</v>
      </c>
      <c r="E140" s="455">
        <f t="shared" ref="E140:F140" si="50">E141+E145+E153</f>
        <v>65784.7</v>
      </c>
      <c r="F140" s="455">
        <f t="shared" si="50"/>
        <v>63501</v>
      </c>
      <c r="G140" s="535">
        <f t="shared" si="27"/>
        <v>0.96528524109709402</v>
      </c>
    </row>
    <row r="141" spans="1:7" s="188" customFormat="1" ht="31.5" x14ac:dyDescent="0.25">
      <c r="A141" s="280" t="s">
        <v>543</v>
      </c>
      <c r="B141" s="163" t="s">
        <v>544</v>
      </c>
      <c r="C141" s="311"/>
      <c r="D141" s="455">
        <f>D142</f>
        <v>49602.7</v>
      </c>
      <c r="E141" s="455">
        <f t="shared" ref="E141:F141" si="51">E142</f>
        <v>49602.7</v>
      </c>
      <c r="F141" s="455">
        <f t="shared" si="51"/>
        <v>49602.7</v>
      </c>
      <c r="G141" s="535">
        <f t="shared" si="27"/>
        <v>1</v>
      </c>
    </row>
    <row r="142" spans="1:7" s="188" customFormat="1" ht="31.5" x14ac:dyDescent="0.25">
      <c r="A142" s="297" t="s">
        <v>353</v>
      </c>
      <c r="B142" s="163" t="s">
        <v>546</v>
      </c>
      <c r="C142" s="313"/>
      <c r="D142" s="34">
        <f>D144</f>
        <v>49602.7</v>
      </c>
      <c r="E142" s="34">
        <f>E144</f>
        <v>49602.7</v>
      </c>
      <c r="F142" s="34">
        <f>F144</f>
        <v>49602.7</v>
      </c>
      <c r="G142" s="535">
        <f t="shared" ref="G142:G205" si="52">F142/E142</f>
        <v>1</v>
      </c>
    </row>
    <row r="143" spans="1:7" s="188" customFormat="1" ht="31.5" x14ac:dyDescent="0.25">
      <c r="A143" s="297" t="s">
        <v>62</v>
      </c>
      <c r="B143" s="163" t="s">
        <v>546</v>
      </c>
      <c r="C143" s="309">
        <v>600</v>
      </c>
      <c r="D143" s="34">
        <f>D144</f>
        <v>49602.7</v>
      </c>
      <c r="E143" s="34">
        <f>E144</f>
        <v>49602.7</v>
      </c>
      <c r="F143" s="34">
        <f>F144</f>
        <v>49602.7</v>
      </c>
      <c r="G143" s="535">
        <f t="shared" si="52"/>
        <v>1</v>
      </c>
    </row>
    <row r="144" spans="1:7" s="188" customFormat="1" x14ac:dyDescent="0.25">
      <c r="A144" s="297" t="s">
        <v>63</v>
      </c>
      <c r="B144" s="163" t="s">
        <v>546</v>
      </c>
      <c r="C144" s="309">
        <v>610</v>
      </c>
      <c r="D144" s="34">
        <f>'ведом. 2023-2025'!AD755</f>
        <v>49602.7</v>
      </c>
      <c r="E144" s="34">
        <f>'Функц. 2023-2025'!H684</f>
        <v>49602.7</v>
      </c>
      <c r="F144" s="34">
        <f>'Функц. 2023-2025'!J684</f>
        <v>49602.7</v>
      </c>
      <c r="G144" s="535">
        <f t="shared" si="52"/>
        <v>1</v>
      </c>
    </row>
    <row r="145" spans="1:7" s="172" customFormat="1" ht="31.5" x14ac:dyDescent="0.25">
      <c r="A145" s="295" t="s">
        <v>547</v>
      </c>
      <c r="B145" s="163" t="s">
        <v>548</v>
      </c>
      <c r="C145" s="309"/>
      <c r="D145" s="34">
        <f>D146</f>
        <v>15961.100000000002</v>
      </c>
      <c r="E145" s="34">
        <f>E146</f>
        <v>15961.100000000002</v>
      </c>
      <c r="F145" s="34">
        <f>F146</f>
        <v>13677.5</v>
      </c>
      <c r="G145" s="535">
        <f t="shared" si="52"/>
        <v>0.85692715414351128</v>
      </c>
    </row>
    <row r="146" spans="1:7" s="172" customFormat="1" ht="31.5" x14ac:dyDescent="0.25">
      <c r="A146" s="298" t="s">
        <v>160</v>
      </c>
      <c r="B146" s="163" t="s">
        <v>549</v>
      </c>
      <c r="C146" s="309"/>
      <c r="D146" s="34">
        <f>D147+D151</f>
        <v>15961.100000000002</v>
      </c>
      <c r="E146" s="34">
        <f>E147+E151</f>
        <v>15961.100000000002</v>
      </c>
      <c r="F146" s="34">
        <f>F147+F151</f>
        <v>13677.5</v>
      </c>
      <c r="G146" s="535">
        <f t="shared" si="52"/>
        <v>0.85692715414351128</v>
      </c>
    </row>
    <row r="147" spans="1:7" s="172" customFormat="1" ht="31.5" x14ac:dyDescent="0.25">
      <c r="A147" s="297" t="s">
        <v>62</v>
      </c>
      <c r="B147" s="163" t="s">
        <v>549</v>
      </c>
      <c r="C147" s="309">
        <v>600</v>
      </c>
      <c r="D147" s="34">
        <f>D148+D149+D150</f>
        <v>15584.800000000003</v>
      </c>
      <c r="E147" s="34">
        <f>E148+E149+E150</f>
        <v>15584.800000000003</v>
      </c>
      <c r="F147" s="34">
        <f>F148+F149+F150</f>
        <v>13677.5</v>
      </c>
      <c r="G147" s="535">
        <f t="shared" si="52"/>
        <v>0.87761793542425937</v>
      </c>
    </row>
    <row r="148" spans="1:7" s="172" customFormat="1" x14ac:dyDescent="0.25">
      <c r="A148" s="297" t="s">
        <v>63</v>
      </c>
      <c r="B148" s="163" t="s">
        <v>549</v>
      </c>
      <c r="C148" s="309">
        <v>610</v>
      </c>
      <c r="D148" s="34">
        <f>'Функц. 2023-2025'!F688</f>
        <v>14327.400000000001</v>
      </c>
      <c r="E148" s="34">
        <f>'Функц. 2023-2025'!H688</f>
        <v>14327.400000000001</v>
      </c>
      <c r="F148" s="34">
        <f>'Функц. 2023-2025'!J688</f>
        <v>13677.5</v>
      </c>
      <c r="G148" s="535">
        <f t="shared" si="52"/>
        <v>0.9546393623406898</v>
      </c>
    </row>
    <row r="149" spans="1:7" s="216" customFormat="1" x14ac:dyDescent="0.25">
      <c r="A149" s="278" t="s">
        <v>132</v>
      </c>
      <c r="B149" s="163" t="s">
        <v>549</v>
      </c>
      <c r="C149" s="309">
        <v>620</v>
      </c>
      <c r="D149" s="34">
        <f>'Функц. 2023-2025'!F689</f>
        <v>628.70000000000005</v>
      </c>
      <c r="E149" s="34">
        <f>'Функц. 2023-2025'!H689</f>
        <v>628.70000000000005</v>
      </c>
      <c r="F149" s="34">
        <f>'Функц. 2023-2025'!J689</f>
        <v>0</v>
      </c>
      <c r="G149" s="535">
        <f t="shared" si="52"/>
        <v>0</v>
      </c>
    </row>
    <row r="150" spans="1:7" s="216" customFormat="1" ht="31.5" x14ac:dyDescent="0.25">
      <c r="A150" s="278" t="s">
        <v>394</v>
      </c>
      <c r="B150" s="163" t="s">
        <v>549</v>
      </c>
      <c r="C150" s="309">
        <v>630</v>
      </c>
      <c r="D150" s="34">
        <f>'Функц. 2023-2025'!F690</f>
        <v>628.70000000000005</v>
      </c>
      <c r="E150" s="34">
        <f>'Функц. 2023-2025'!H690</f>
        <v>628.70000000000005</v>
      </c>
      <c r="F150" s="34">
        <f>'Функц. 2023-2025'!J690</f>
        <v>0</v>
      </c>
      <c r="G150" s="535">
        <f t="shared" si="52"/>
        <v>0</v>
      </c>
    </row>
    <row r="151" spans="1:7" s="216" customFormat="1" x14ac:dyDescent="0.25">
      <c r="A151" s="278" t="s">
        <v>44</v>
      </c>
      <c r="B151" s="163" t="s">
        <v>549</v>
      </c>
      <c r="C151" s="309">
        <v>800</v>
      </c>
      <c r="D151" s="34">
        <f>D152</f>
        <v>376.3</v>
      </c>
      <c r="E151" s="34">
        <f>E152</f>
        <v>376.3</v>
      </c>
      <c r="F151" s="34">
        <f>F152</f>
        <v>0</v>
      </c>
      <c r="G151" s="535">
        <f t="shared" si="52"/>
        <v>0</v>
      </c>
    </row>
    <row r="152" spans="1:7" s="216" customFormat="1" ht="31.5" x14ac:dyDescent="0.25">
      <c r="A152" s="278" t="s">
        <v>124</v>
      </c>
      <c r="B152" s="163" t="s">
        <v>549</v>
      </c>
      <c r="C152" s="309">
        <v>810</v>
      </c>
      <c r="D152" s="34">
        <f>'Функц. 2023-2025'!F692</f>
        <v>376.3</v>
      </c>
      <c r="E152" s="34">
        <f>'Функц. 2023-2025'!H692</f>
        <v>376.3</v>
      </c>
      <c r="F152" s="34">
        <f>'Функц. 2023-2025'!J692</f>
        <v>0</v>
      </c>
      <c r="G152" s="535">
        <f t="shared" si="52"/>
        <v>0</v>
      </c>
    </row>
    <row r="153" spans="1:7" s="188" customFormat="1" x14ac:dyDescent="0.25">
      <c r="A153" s="280" t="s">
        <v>517</v>
      </c>
      <c r="B153" s="33" t="s">
        <v>518</v>
      </c>
      <c r="C153" s="311"/>
      <c r="D153" s="457">
        <f>D154</f>
        <v>220.89999999999998</v>
      </c>
      <c r="E153" s="457">
        <f t="shared" ref="E153:F155" si="53">E154</f>
        <v>220.9</v>
      </c>
      <c r="F153" s="457">
        <f t="shared" si="53"/>
        <v>220.8</v>
      </c>
      <c r="G153" s="535">
        <f t="shared" si="52"/>
        <v>0.99954730647351742</v>
      </c>
    </row>
    <row r="154" spans="1:7" s="188" customFormat="1" ht="47.25" x14ac:dyDescent="0.25">
      <c r="A154" s="280" t="s">
        <v>592</v>
      </c>
      <c r="B154" s="458" t="s">
        <v>519</v>
      </c>
      <c r="C154" s="311"/>
      <c r="D154" s="457">
        <f>D155</f>
        <v>220.89999999999998</v>
      </c>
      <c r="E154" s="457">
        <f t="shared" si="53"/>
        <v>220.9</v>
      </c>
      <c r="F154" s="457">
        <f t="shared" si="53"/>
        <v>220.8</v>
      </c>
      <c r="G154" s="535">
        <f t="shared" si="52"/>
        <v>0.99954730647351742</v>
      </c>
    </row>
    <row r="155" spans="1:7" s="188" customFormat="1" x14ac:dyDescent="0.25">
      <c r="A155" s="278" t="s">
        <v>123</v>
      </c>
      <c r="B155" s="458" t="s">
        <v>519</v>
      </c>
      <c r="C155" s="311">
        <v>200</v>
      </c>
      <c r="D155" s="457">
        <f>D156</f>
        <v>220.89999999999998</v>
      </c>
      <c r="E155" s="457">
        <f t="shared" si="53"/>
        <v>220.9</v>
      </c>
      <c r="F155" s="457">
        <f t="shared" si="53"/>
        <v>220.8</v>
      </c>
      <c r="G155" s="535">
        <f t="shared" si="52"/>
        <v>0.99954730647351742</v>
      </c>
    </row>
    <row r="156" spans="1:7" s="188" customFormat="1" x14ac:dyDescent="0.25">
      <c r="A156" s="278" t="s">
        <v>54</v>
      </c>
      <c r="B156" s="458" t="s">
        <v>519</v>
      </c>
      <c r="C156" s="311">
        <v>240</v>
      </c>
      <c r="D156" s="457">
        <f>'Функц. 2023-2025'!F717</f>
        <v>220.89999999999998</v>
      </c>
      <c r="E156" s="457">
        <f>'Функц. 2023-2025'!H717</f>
        <v>220.9</v>
      </c>
      <c r="F156" s="34">
        <f>'Функц. 2023-2025'!J717</f>
        <v>220.8</v>
      </c>
      <c r="G156" s="535">
        <f t="shared" si="52"/>
        <v>0.99954730647351742</v>
      </c>
    </row>
    <row r="157" spans="1:7" x14ac:dyDescent="0.25">
      <c r="A157" s="280" t="s">
        <v>391</v>
      </c>
      <c r="B157" s="163" t="s">
        <v>550</v>
      </c>
      <c r="C157" s="309"/>
      <c r="D157" s="34">
        <f>D158</f>
        <v>22372.3</v>
      </c>
      <c r="E157" s="34">
        <f t="shared" ref="E157:F158" si="54">E158</f>
        <v>22372.3</v>
      </c>
      <c r="F157" s="34">
        <f t="shared" si="54"/>
        <v>22043.300000000003</v>
      </c>
      <c r="G157" s="535">
        <f t="shared" si="52"/>
        <v>0.98529431484469654</v>
      </c>
    </row>
    <row r="158" spans="1:7" ht="31.5" x14ac:dyDescent="0.25">
      <c r="A158" s="295" t="s">
        <v>287</v>
      </c>
      <c r="B158" s="163" t="s">
        <v>551</v>
      </c>
      <c r="C158" s="309"/>
      <c r="D158" s="34">
        <f>D159</f>
        <v>22372.3</v>
      </c>
      <c r="E158" s="34">
        <f t="shared" si="54"/>
        <v>22372.3</v>
      </c>
      <c r="F158" s="34">
        <f t="shared" si="54"/>
        <v>22043.300000000003</v>
      </c>
      <c r="G158" s="535">
        <f t="shared" si="52"/>
        <v>0.98529431484469654</v>
      </c>
    </row>
    <row r="159" spans="1:7" x14ac:dyDescent="0.25">
      <c r="A159" s="298" t="s">
        <v>214</v>
      </c>
      <c r="B159" s="163" t="s">
        <v>552</v>
      </c>
      <c r="C159" s="309"/>
      <c r="D159" s="34">
        <f>D160+D163+D166</f>
        <v>22372.3</v>
      </c>
      <c r="E159" s="34">
        <f t="shared" ref="E159:F159" si="55">E160+E163+E166</f>
        <v>22372.3</v>
      </c>
      <c r="F159" s="34">
        <f t="shared" si="55"/>
        <v>22043.300000000003</v>
      </c>
      <c r="G159" s="535">
        <f t="shared" si="52"/>
        <v>0.98529431484469654</v>
      </c>
    </row>
    <row r="160" spans="1:7" ht="31.5" x14ac:dyDescent="0.25">
      <c r="A160" s="297" t="s">
        <v>215</v>
      </c>
      <c r="B160" s="163" t="s">
        <v>553</v>
      </c>
      <c r="C160" s="309"/>
      <c r="D160" s="34">
        <f>D161</f>
        <v>1363.8</v>
      </c>
      <c r="E160" s="34">
        <f t="shared" ref="E160:F160" si="56">E161</f>
        <v>1363.8</v>
      </c>
      <c r="F160" s="34">
        <f t="shared" si="56"/>
        <v>1186.5</v>
      </c>
      <c r="G160" s="535">
        <f t="shared" si="52"/>
        <v>0.86999560052793667</v>
      </c>
    </row>
    <row r="161" spans="1:7" x14ac:dyDescent="0.25">
      <c r="A161" s="297" t="s">
        <v>123</v>
      </c>
      <c r="B161" s="163" t="s">
        <v>553</v>
      </c>
      <c r="C161" s="309">
        <v>200</v>
      </c>
      <c r="D161" s="34">
        <f>D162</f>
        <v>1363.8</v>
      </c>
      <c r="E161" s="34">
        <f>E162</f>
        <v>1363.8</v>
      </c>
      <c r="F161" s="34">
        <f>F162</f>
        <v>1186.5</v>
      </c>
      <c r="G161" s="535">
        <f t="shared" si="52"/>
        <v>0.86999560052793667</v>
      </c>
    </row>
    <row r="162" spans="1:7" x14ac:dyDescent="0.25">
      <c r="A162" s="297" t="s">
        <v>54</v>
      </c>
      <c r="B162" s="163" t="s">
        <v>553</v>
      </c>
      <c r="C162" s="309">
        <v>240</v>
      </c>
      <c r="D162" s="34">
        <f>'Функц. 2023-2025'!F723</f>
        <v>1363.8</v>
      </c>
      <c r="E162" s="34">
        <f>'Функц. 2023-2025'!H723</f>
        <v>1363.8</v>
      </c>
      <c r="F162" s="34">
        <f>'Функц. 2023-2025'!J723</f>
        <v>1186.5</v>
      </c>
      <c r="G162" s="535">
        <f t="shared" si="52"/>
        <v>0.86999560052793667</v>
      </c>
    </row>
    <row r="163" spans="1:7" ht="31.5" x14ac:dyDescent="0.25">
      <c r="A163" s="297" t="s">
        <v>377</v>
      </c>
      <c r="B163" s="163" t="s">
        <v>554</v>
      </c>
      <c r="C163" s="309"/>
      <c r="D163" s="34">
        <f t="shared" ref="D163:F164" si="57">D164</f>
        <v>8518.5</v>
      </c>
      <c r="E163" s="34">
        <f t="shared" si="57"/>
        <v>8518.5</v>
      </c>
      <c r="F163" s="34">
        <f t="shared" si="57"/>
        <v>8425.1</v>
      </c>
      <c r="G163" s="535">
        <f t="shared" si="52"/>
        <v>0.98903562833832248</v>
      </c>
    </row>
    <row r="164" spans="1:7" ht="47.25" x14ac:dyDescent="0.25">
      <c r="A164" s="297" t="s">
        <v>43</v>
      </c>
      <c r="B164" s="163" t="s">
        <v>554</v>
      </c>
      <c r="C164" s="309">
        <v>100</v>
      </c>
      <c r="D164" s="34">
        <f t="shared" si="57"/>
        <v>8518.5</v>
      </c>
      <c r="E164" s="34">
        <f t="shared" si="57"/>
        <v>8518.5</v>
      </c>
      <c r="F164" s="34">
        <f t="shared" si="57"/>
        <v>8425.1</v>
      </c>
      <c r="G164" s="535">
        <f t="shared" si="52"/>
        <v>0.98903562833832248</v>
      </c>
    </row>
    <row r="165" spans="1:7" x14ac:dyDescent="0.25">
      <c r="A165" s="297" t="s">
        <v>99</v>
      </c>
      <c r="B165" s="163" t="s">
        <v>554</v>
      </c>
      <c r="C165" s="309">
        <v>120</v>
      </c>
      <c r="D165" s="34">
        <f>'Функц. 2023-2025'!F726</f>
        <v>8518.5</v>
      </c>
      <c r="E165" s="34">
        <f>'Функц. 2023-2025'!H726</f>
        <v>8518.5</v>
      </c>
      <c r="F165" s="34">
        <f>'Функц. 2023-2025'!J726</f>
        <v>8425.1</v>
      </c>
      <c r="G165" s="535">
        <f t="shared" si="52"/>
        <v>0.98903562833832248</v>
      </c>
    </row>
    <row r="166" spans="1:7" ht="31.5" x14ac:dyDescent="0.25">
      <c r="A166" s="297" t="s">
        <v>288</v>
      </c>
      <c r="B166" s="163" t="s">
        <v>555</v>
      </c>
      <c r="C166" s="309"/>
      <c r="D166" s="34">
        <f t="shared" ref="D166:F167" si="58">D167</f>
        <v>12490</v>
      </c>
      <c r="E166" s="34">
        <f t="shared" si="58"/>
        <v>12490</v>
      </c>
      <c r="F166" s="34">
        <f t="shared" si="58"/>
        <v>12431.7</v>
      </c>
      <c r="G166" s="535">
        <f t="shared" si="52"/>
        <v>0.99533226581265022</v>
      </c>
    </row>
    <row r="167" spans="1:7" ht="47.25" x14ac:dyDescent="0.25">
      <c r="A167" s="297" t="s">
        <v>43</v>
      </c>
      <c r="B167" s="163" t="s">
        <v>555</v>
      </c>
      <c r="C167" s="309">
        <v>100</v>
      </c>
      <c r="D167" s="34">
        <f t="shared" si="58"/>
        <v>12490</v>
      </c>
      <c r="E167" s="34">
        <f t="shared" si="58"/>
        <v>12490</v>
      </c>
      <c r="F167" s="34">
        <f t="shared" si="58"/>
        <v>12431.7</v>
      </c>
      <c r="G167" s="535">
        <f t="shared" si="52"/>
        <v>0.99533226581265022</v>
      </c>
    </row>
    <row r="168" spans="1:7" x14ac:dyDescent="0.25">
      <c r="A168" s="297" t="s">
        <v>99</v>
      </c>
      <c r="B168" s="163" t="s">
        <v>555</v>
      </c>
      <c r="C168" s="309">
        <v>120</v>
      </c>
      <c r="D168" s="34">
        <f>'Функц. 2023-2025'!F729</f>
        <v>12490</v>
      </c>
      <c r="E168" s="34">
        <f>'Функц. 2023-2025'!H729</f>
        <v>12490</v>
      </c>
      <c r="F168" s="34">
        <f>'Функц. 2023-2025'!J729</f>
        <v>12431.7</v>
      </c>
      <c r="G168" s="535">
        <f t="shared" si="52"/>
        <v>0.99533226581265022</v>
      </c>
    </row>
    <row r="169" spans="1:7" s="141" customFormat="1" x14ac:dyDescent="0.25">
      <c r="A169" s="435" t="s">
        <v>309</v>
      </c>
      <c r="B169" s="447" t="s">
        <v>112</v>
      </c>
      <c r="C169" s="543"/>
      <c r="D169" s="37">
        <f>D170+D175+D201+D194</f>
        <v>14858.199999999999</v>
      </c>
      <c r="E169" s="37">
        <f>E170+E175+E201+E194</f>
        <v>14858.199999999999</v>
      </c>
      <c r="F169" s="37">
        <f>F170+F175+F201+F194</f>
        <v>14764.1</v>
      </c>
      <c r="G169" s="536">
        <f t="shared" si="52"/>
        <v>0.99366679678561343</v>
      </c>
    </row>
    <row r="170" spans="1:7" s="141" customFormat="1" x14ac:dyDescent="0.25">
      <c r="A170" s="299" t="s">
        <v>310</v>
      </c>
      <c r="B170" s="448" t="s">
        <v>121</v>
      </c>
      <c r="C170" s="544"/>
      <c r="D170" s="34">
        <f>D171</f>
        <v>7532.2999999999993</v>
      </c>
      <c r="E170" s="34">
        <f t="shared" ref="E170:F170" si="59">E171</f>
        <v>7532.2999999999993</v>
      </c>
      <c r="F170" s="34">
        <f t="shared" si="59"/>
        <v>7438.3</v>
      </c>
      <c r="G170" s="535">
        <f t="shared" si="52"/>
        <v>0.9875204120919242</v>
      </c>
    </row>
    <row r="171" spans="1:7" s="141" customFormat="1" ht="31.5" x14ac:dyDescent="0.25">
      <c r="A171" s="299" t="s">
        <v>527</v>
      </c>
      <c r="B171" s="163" t="s">
        <v>526</v>
      </c>
      <c r="C171" s="314"/>
      <c r="D171" s="34">
        <f t="shared" ref="D171:F172" si="60">D172</f>
        <v>7532.2999999999993</v>
      </c>
      <c r="E171" s="34">
        <f t="shared" si="60"/>
        <v>7532.2999999999993</v>
      </c>
      <c r="F171" s="34">
        <f t="shared" si="60"/>
        <v>7438.3</v>
      </c>
      <c r="G171" s="535">
        <f t="shared" si="52"/>
        <v>0.9875204120919242</v>
      </c>
    </row>
    <row r="172" spans="1:7" s="141" customFormat="1" ht="31.5" x14ac:dyDescent="0.25">
      <c r="A172" s="301" t="s">
        <v>312</v>
      </c>
      <c r="B172" s="163" t="s">
        <v>525</v>
      </c>
      <c r="C172" s="314"/>
      <c r="D172" s="34">
        <f t="shared" si="60"/>
        <v>7532.2999999999993</v>
      </c>
      <c r="E172" s="34">
        <f t="shared" si="60"/>
        <v>7532.2999999999993</v>
      </c>
      <c r="F172" s="34">
        <f t="shared" si="60"/>
        <v>7438.3</v>
      </c>
      <c r="G172" s="535">
        <f t="shared" si="52"/>
        <v>0.9875204120919242</v>
      </c>
    </row>
    <row r="173" spans="1:7" s="141" customFormat="1" x14ac:dyDescent="0.25">
      <c r="A173" s="297" t="s">
        <v>100</v>
      </c>
      <c r="B173" s="163" t="s">
        <v>525</v>
      </c>
      <c r="C173" s="309">
        <v>300</v>
      </c>
      <c r="D173" s="34">
        <f>D174</f>
        <v>7532.2999999999993</v>
      </c>
      <c r="E173" s="34">
        <f>E174</f>
        <v>7532.2999999999993</v>
      </c>
      <c r="F173" s="34">
        <f>F174</f>
        <v>7438.3</v>
      </c>
      <c r="G173" s="535">
        <f t="shared" si="52"/>
        <v>0.9875204120919242</v>
      </c>
    </row>
    <row r="174" spans="1:7" s="141" customFormat="1" x14ac:dyDescent="0.25">
      <c r="A174" s="297" t="s">
        <v>42</v>
      </c>
      <c r="B174" s="163" t="s">
        <v>525</v>
      </c>
      <c r="C174" s="309">
        <v>320</v>
      </c>
      <c r="D174" s="34">
        <f>'Функц. 2023-2025'!F833</f>
        <v>7532.2999999999993</v>
      </c>
      <c r="E174" s="34">
        <f>'Функц. 2023-2025'!H833</f>
        <v>7532.2999999999993</v>
      </c>
      <c r="F174" s="34">
        <f>'Функц. 2023-2025'!J833</f>
        <v>7438.3</v>
      </c>
      <c r="G174" s="535">
        <f t="shared" si="52"/>
        <v>0.9875204120919242</v>
      </c>
    </row>
    <row r="175" spans="1:7" x14ac:dyDescent="0.25">
      <c r="A175" s="299" t="s">
        <v>313</v>
      </c>
      <c r="B175" s="163" t="s">
        <v>113</v>
      </c>
      <c r="C175" s="309"/>
      <c r="D175" s="34">
        <f t="shared" ref="D175:F175" si="61">D176</f>
        <v>4850.8999999999996</v>
      </c>
      <c r="E175" s="34">
        <f t="shared" si="61"/>
        <v>4850.8999999999996</v>
      </c>
      <c r="F175" s="34">
        <f t="shared" si="61"/>
        <v>4850.8</v>
      </c>
      <c r="G175" s="535">
        <f t="shared" si="52"/>
        <v>0.99997938526871311</v>
      </c>
    </row>
    <row r="176" spans="1:7" x14ac:dyDescent="0.25">
      <c r="A176" s="300" t="s">
        <v>579</v>
      </c>
      <c r="B176" s="163" t="s">
        <v>578</v>
      </c>
      <c r="C176" s="309"/>
      <c r="D176" s="34">
        <f>D182+D177</f>
        <v>4850.8999999999996</v>
      </c>
      <c r="E176" s="34">
        <f t="shared" ref="E176:F176" si="62">E182+E177</f>
        <v>4850.8999999999996</v>
      </c>
      <c r="F176" s="34">
        <f t="shared" si="62"/>
        <v>4850.8</v>
      </c>
      <c r="G176" s="535">
        <f t="shared" si="52"/>
        <v>0.99997938526871311</v>
      </c>
    </row>
    <row r="177" spans="1:7" s="188" customFormat="1" ht="47.25" x14ac:dyDescent="0.25">
      <c r="A177" s="300" t="s">
        <v>785</v>
      </c>
      <c r="B177" s="163" t="s">
        <v>786</v>
      </c>
      <c r="C177" s="309"/>
      <c r="D177" s="34">
        <f>D178+D180</f>
        <v>52.900000000000006</v>
      </c>
      <c r="E177" s="34">
        <f t="shared" ref="E177:F177" si="63">E178+E180</f>
        <v>52.900000000000006</v>
      </c>
      <c r="F177" s="34">
        <f t="shared" si="63"/>
        <v>52.8</v>
      </c>
      <c r="G177" s="535">
        <f t="shared" si="52"/>
        <v>0.9981096408317579</v>
      </c>
    </row>
    <row r="178" spans="1:7" s="188" customFormat="1" x14ac:dyDescent="0.25">
      <c r="A178" s="278" t="s">
        <v>100</v>
      </c>
      <c r="B178" s="163" t="s">
        <v>786</v>
      </c>
      <c r="C178" s="309">
        <v>300</v>
      </c>
      <c r="D178" s="34">
        <f>D179</f>
        <v>43.6</v>
      </c>
      <c r="E178" s="34">
        <f t="shared" ref="E178:F178" si="64">E179</f>
        <v>43.6</v>
      </c>
      <c r="F178" s="34">
        <f t="shared" si="64"/>
        <v>43.5</v>
      </c>
      <c r="G178" s="535">
        <f t="shared" si="52"/>
        <v>0.99770642201834858</v>
      </c>
    </row>
    <row r="179" spans="1:7" s="188" customFormat="1" x14ac:dyDescent="0.25">
      <c r="A179" s="278" t="s">
        <v>42</v>
      </c>
      <c r="B179" s="163" t="s">
        <v>786</v>
      </c>
      <c r="C179" s="309">
        <v>320</v>
      </c>
      <c r="D179" s="34">
        <f>'Функц. 2023-2025'!F735</f>
        <v>43.6</v>
      </c>
      <c r="E179" s="34">
        <f>'Функц. 2023-2025'!H735</f>
        <v>43.6</v>
      </c>
      <c r="F179" s="34">
        <f>'Функц. 2023-2025'!J735</f>
        <v>43.5</v>
      </c>
      <c r="G179" s="535">
        <f t="shared" si="52"/>
        <v>0.99770642201834858</v>
      </c>
    </row>
    <row r="180" spans="1:7" s="188" customFormat="1" ht="31.5" x14ac:dyDescent="0.25">
      <c r="A180" s="278" t="s">
        <v>62</v>
      </c>
      <c r="B180" s="163" t="s">
        <v>786</v>
      </c>
      <c r="C180" s="309">
        <v>600</v>
      </c>
      <c r="D180" s="34">
        <f>D181</f>
        <v>9.3000000000000007</v>
      </c>
      <c r="E180" s="34">
        <f>E181</f>
        <v>9.3000000000000007</v>
      </c>
      <c r="F180" s="34">
        <f>F181</f>
        <v>9.3000000000000007</v>
      </c>
      <c r="G180" s="535">
        <f t="shared" si="52"/>
        <v>1</v>
      </c>
    </row>
    <row r="181" spans="1:7" s="188" customFormat="1" x14ac:dyDescent="0.25">
      <c r="A181" s="278" t="s">
        <v>63</v>
      </c>
      <c r="B181" s="163" t="s">
        <v>786</v>
      </c>
      <c r="C181" s="309">
        <v>610</v>
      </c>
      <c r="D181" s="34">
        <f>'Функц. 2023-2025'!F737</f>
        <v>9.3000000000000007</v>
      </c>
      <c r="E181" s="34">
        <f>'Функц. 2023-2025'!H737</f>
        <v>9.3000000000000007</v>
      </c>
      <c r="F181" s="34">
        <f>'Функц. 2023-2025'!J737</f>
        <v>9.3000000000000007</v>
      </c>
      <c r="G181" s="535">
        <f t="shared" si="52"/>
        <v>1</v>
      </c>
    </row>
    <row r="182" spans="1:7" x14ac:dyDescent="0.25">
      <c r="A182" s="300" t="s">
        <v>314</v>
      </c>
      <c r="B182" s="163" t="s">
        <v>580</v>
      </c>
      <c r="C182" s="309"/>
      <c r="D182" s="34">
        <f>D183+D191</f>
        <v>4798</v>
      </c>
      <c r="E182" s="34">
        <f>E183+E191</f>
        <v>4798</v>
      </c>
      <c r="F182" s="34">
        <f>F183+F191</f>
        <v>4798</v>
      </c>
      <c r="G182" s="535">
        <f t="shared" si="52"/>
        <v>1</v>
      </c>
    </row>
    <row r="183" spans="1:7" ht="47.25" x14ac:dyDescent="0.25">
      <c r="A183" s="300" t="s">
        <v>335</v>
      </c>
      <c r="B183" s="163" t="s">
        <v>581</v>
      </c>
      <c r="C183" s="309"/>
      <c r="D183" s="34">
        <f>D186+D184+D188</f>
        <v>3287</v>
      </c>
      <c r="E183" s="34">
        <f t="shared" ref="E183:F183" si="65">E186+E184+E188</f>
        <v>3287</v>
      </c>
      <c r="F183" s="34">
        <f t="shared" si="65"/>
        <v>3287</v>
      </c>
      <c r="G183" s="535">
        <f t="shared" si="52"/>
        <v>1</v>
      </c>
    </row>
    <row r="184" spans="1:7" s="188" customFormat="1" x14ac:dyDescent="0.25">
      <c r="A184" s="297" t="s">
        <v>123</v>
      </c>
      <c r="B184" s="163" t="s">
        <v>581</v>
      </c>
      <c r="C184" s="309">
        <v>200</v>
      </c>
      <c r="D184" s="34">
        <f>D185</f>
        <v>1717.8999999999999</v>
      </c>
      <c r="E184" s="34">
        <f>E185</f>
        <v>1717.8999999999999</v>
      </c>
      <c r="F184" s="34">
        <f>F185</f>
        <v>1717.9</v>
      </c>
      <c r="G184" s="535">
        <f t="shared" si="52"/>
        <v>1.0000000000000002</v>
      </c>
    </row>
    <row r="185" spans="1:7" s="188" customFormat="1" x14ac:dyDescent="0.25">
      <c r="A185" s="297" t="s">
        <v>54</v>
      </c>
      <c r="B185" s="163" t="s">
        <v>581</v>
      </c>
      <c r="C185" s="309">
        <v>240</v>
      </c>
      <c r="D185" s="34">
        <f>'Функц. 2023-2025'!F741</f>
        <v>1717.8999999999999</v>
      </c>
      <c r="E185" s="34">
        <f>'Функц. 2023-2025'!H741</f>
        <v>1717.8999999999999</v>
      </c>
      <c r="F185" s="34">
        <f>'Функц. 2023-2025'!J741</f>
        <v>1717.9</v>
      </c>
      <c r="G185" s="535">
        <f t="shared" si="52"/>
        <v>1.0000000000000002</v>
      </c>
    </row>
    <row r="186" spans="1:7" x14ac:dyDescent="0.25">
      <c r="A186" s="297" t="s">
        <v>100</v>
      </c>
      <c r="B186" s="163" t="s">
        <v>581</v>
      </c>
      <c r="C186" s="309">
        <v>300</v>
      </c>
      <c r="D186" s="34">
        <f>D187</f>
        <v>162.6</v>
      </c>
      <c r="E186" s="34">
        <f>E187</f>
        <v>162.6</v>
      </c>
      <c r="F186" s="34">
        <f>F187</f>
        <v>162.6</v>
      </c>
      <c r="G186" s="535">
        <f t="shared" si="52"/>
        <v>1</v>
      </c>
    </row>
    <row r="187" spans="1:7" x14ac:dyDescent="0.25">
      <c r="A187" s="297" t="s">
        <v>42</v>
      </c>
      <c r="B187" s="163" t="s">
        <v>581</v>
      </c>
      <c r="C187" s="309">
        <v>320</v>
      </c>
      <c r="D187" s="34">
        <f>'Функц. 2023-2025'!F743</f>
        <v>162.6</v>
      </c>
      <c r="E187" s="34">
        <f>'Функц. 2023-2025'!H743</f>
        <v>162.6</v>
      </c>
      <c r="F187" s="34">
        <f>'Функц. 2023-2025'!J743</f>
        <v>162.6</v>
      </c>
      <c r="G187" s="535">
        <f t="shared" si="52"/>
        <v>1</v>
      </c>
    </row>
    <row r="188" spans="1:7" s="188" customFormat="1" ht="31.5" x14ac:dyDescent="0.25">
      <c r="A188" s="297" t="s">
        <v>62</v>
      </c>
      <c r="B188" s="163" t="s">
        <v>581</v>
      </c>
      <c r="C188" s="309">
        <v>600</v>
      </c>
      <c r="D188" s="34">
        <f>D189+D190</f>
        <v>1406.5</v>
      </c>
      <c r="E188" s="34">
        <f t="shared" ref="E188:F188" si="66">E189+E190</f>
        <v>1406.5</v>
      </c>
      <c r="F188" s="34">
        <f t="shared" si="66"/>
        <v>1406.5</v>
      </c>
      <c r="G188" s="535">
        <f t="shared" si="52"/>
        <v>1</v>
      </c>
    </row>
    <row r="189" spans="1:7" s="188" customFormat="1" x14ac:dyDescent="0.25">
      <c r="A189" s="297" t="s">
        <v>63</v>
      </c>
      <c r="B189" s="163" t="s">
        <v>581</v>
      </c>
      <c r="C189" s="309">
        <v>610</v>
      </c>
      <c r="D189" s="34">
        <f>'Функц. 2023-2025'!F745</f>
        <v>1400.3</v>
      </c>
      <c r="E189" s="34">
        <f>'Функц. 2023-2025'!H745</f>
        <v>1400.3</v>
      </c>
      <c r="F189" s="34">
        <f>'Функц. 2023-2025'!J745</f>
        <v>1400.3</v>
      </c>
      <c r="G189" s="535">
        <f t="shared" si="52"/>
        <v>1</v>
      </c>
    </row>
    <row r="190" spans="1:7" s="188" customFormat="1" x14ac:dyDescent="0.25">
      <c r="A190" s="401" t="s">
        <v>132</v>
      </c>
      <c r="B190" s="163" t="s">
        <v>581</v>
      </c>
      <c r="C190" s="309">
        <v>620</v>
      </c>
      <c r="D190" s="34">
        <f>'Функц. 2023-2025'!F746</f>
        <v>6.2</v>
      </c>
      <c r="E190" s="34">
        <f>'Функц. 2023-2025'!H746</f>
        <v>6.2</v>
      </c>
      <c r="F190" s="34">
        <f>'Функц. 2023-2025'!J746</f>
        <v>6.2</v>
      </c>
      <c r="G190" s="535">
        <f t="shared" si="52"/>
        <v>1</v>
      </c>
    </row>
    <row r="191" spans="1:7" ht="31.5" x14ac:dyDescent="0.25">
      <c r="A191" s="297" t="s">
        <v>596</v>
      </c>
      <c r="B191" s="163" t="s">
        <v>582</v>
      </c>
      <c r="C191" s="309"/>
      <c r="D191" s="34">
        <f t="shared" ref="D191:F192" si="67">D192</f>
        <v>1511</v>
      </c>
      <c r="E191" s="34">
        <f t="shared" si="67"/>
        <v>1511</v>
      </c>
      <c r="F191" s="34">
        <f t="shared" si="67"/>
        <v>1511</v>
      </c>
      <c r="G191" s="535">
        <f t="shared" si="52"/>
        <v>1</v>
      </c>
    </row>
    <row r="192" spans="1:7" ht="31.5" x14ac:dyDescent="0.25">
      <c r="A192" s="297" t="s">
        <v>62</v>
      </c>
      <c r="B192" s="163" t="s">
        <v>582</v>
      </c>
      <c r="C192" s="311">
        <v>600</v>
      </c>
      <c r="D192" s="34">
        <f t="shared" si="67"/>
        <v>1511</v>
      </c>
      <c r="E192" s="34">
        <f t="shared" si="67"/>
        <v>1511</v>
      </c>
      <c r="F192" s="34">
        <f t="shared" si="67"/>
        <v>1511</v>
      </c>
      <c r="G192" s="535">
        <f t="shared" si="52"/>
        <v>1</v>
      </c>
    </row>
    <row r="193" spans="1:7" x14ac:dyDescent="0.25">
      <c r="A193" s="297" t="s">
        <v>63</v>
      </c>
      <c r="B193" s="163" t="s">
        <v>582</v>
      </c>
      <c r="C193" s="311">
        <v>610</v>
      </c>
      <c r="D193" s="34">
        <f>'Функц. 2023-2025'!F749</f>
        <v>1511</v>
      </c>
      <c r="E193" s="34">
        <f>'Функц. 2023-2025'!H749</f>
        <v>1511</v>
      </c>
      <c r="F193" s="34">
        <f>'Функц. 2023-2025'!J749</f>
        <v>1511</v>
      </c>
      <c r="G193" s="535">
        <f t="shared" si="52"/>
        <v>1</v>
      </c>
    </row>
    <row r="194" spans="1:7" s="141" customFormat="1" x14ac:dyDescent="0.25">
      <c r="A194" s="280" t="s">
        <v>50</v>
      </c>
      <c r="B194" s="33" t="s">
        <v>444</v>
      </c>
      <c r="C194" s="309"/>
      <c r="D194" s="34">
        <f>D195</f>
        <v>2335</v>
      </c>
      <c r="E194" s="34">
        <f t="shared" ref="E194:F194" si="68">E195</f>
        <v>2335</v>
      </c>
      <c r="F194" s="34">
        <f t="shared" si="68"/>
        <v>2335</v>
      </c>
      <c r="G194" s="535">
        <f t="shared" si="52"/>
        <v>1</v>
      </c>
    </row>
    <row r="195" spans="1:7" s="141" customFormat="1" ht="47.25" x14ac:dyDescent="0.25">
      <c r="A195" s="280" t="s">
        <v>598</v>
      </c>
      <c r="B195" s="33" t="s">
        <v>597</v>
      </c>
      <c r="C195" s="309"/>
      <c r="D195" s="34">
        <f>D196</f>
        <v>2335</v>
      </c>
      <c r="E195" s="34">
        <f t="shared" ref="E195:F195" si="69">E196</f>
        <v>2335</v>
      </c>
      <c r="F195" s="34">
        <f t="shared" si="69"/>
        <v>2335</v>
      </c>
      <c r="G195" s="535">
        <f t="shared" si="52"/>
        <v>1</v>
      </c>
    </row>
    <row r="196" spans="1:7" s="141" customFormat="1" ht="47.25" x14ac:dyDescent="0.25">
      <c r="A196" s="401" t="s">
        <v>386</v>
      </c>
      <c r="B196" s="33" t="s">
        <v>599</v>
      </c>
      <c r="C196" s="309"/>
      <c r="D196" s="34">
        <f>D197+D199</f>
        <v>2335</v>
      </c>
      <c r="E196" s="34">
        <f t="shared" ref="E196:F196" si="70">E197+E199</f>
        <v>2335</v>
      </c>
      <c r="F196" s="34">
        <f t="shared" si="70"/>
        <v>2335</v>
      </c>
      <c r="G196" s="535">
        <f t="shared" si="52"/>
        <v>1</v>
      </c>
    </row>
    <row r="197" spans="1:7" s="141" customFormat="1" ht="47.25" x14ac:dyDescent="0.25">
      <c r="A197" s="401" t="s">
        <v>43</v>
      </c>
      <c r="B197" s="33" t="s">
        <v>599</v>
      </c>
      <c r="C197" s="311">
        <v>100</v>
      </c>
      <c r="D197" s="34">
        <f>D198</f>
        <v>2259.4</v>
      </c>
      <c r="E197" s="34">
        <f>'Функц. 2023-2025'!H45</f>
        <v>2259.4</v>
      </c>
      <c r="F197" s="34">
        <f>'Функц. 2023-2025'!J45</f>
        <v>2259.4</v>
      </c>
      <c r="G197" s="535">
        <f t="shared" si="52"/>
        <v>1</v>
      </c>
    </row>
    <row r="198" spans="1:7" s="141" customFormat="1" x14ac:dyDescent="0.25">
      <c r="A198" s="401" t="s">
        <v>99</v>
      </c>
      <c r="B198" s="33" t="s">
        <v>599</v>
      </c>
      <c r="C198" s="309">
        <v>120</v>
      </c>
      <c r="D198" s="34">
        <f>'Функц. 2023-2025'!F45</f>
        <v>2259.4</v>
      </c>
      <c r="E198" s="34">
        <f>'Функц. 2023-2025'!H45</f>
        <v>2259.4</v>
      </c>
      <c r="F198" s="34">
        <f>'Функц. 2023-2025'!J45</f>
        <v>2259.4</v>
      </c>
      <c r="G198" s="535">
        <f t="shared" si="52"/>
        <v>1</v>
      </c>
    </row>
    <row r="199" spans="1:7" s="141" customFormat="1" x14ac:dyDescent="0.25">
      <c r="A199" s="401" t="s">
        <v>123</v>
      </c>
      <c r="B199" s="33" t="s">
        <v>599</v>
      </c>
      <c r="C199" s="309">
        <v>200</v>
      </c>
      <c r="D199" s="34">
        <f>D200</f>
        <v>75.599999999999994</v>
      </c>
      <c r="E199" s="34">
        <f t="shared" ref="E199:F199" si="71">E200</f>
        <v>75.599999999999994</v>
      </c>
      <c r="F199" s="34">
        <f t="shared" si="71"/>
        <v>75.599999999999994</v>
      </c>
      <c r="G199" s="535">
        <f t="shared" si="52"/>
        <v>1</v>
      </c>
    </row>
    <row r="200" spans="1:7" s="141" customFormat="1" x14ac:dyDescent="0.25">
      <c r="A200" s="401" t="s">
        <v>54</v>
      </c>
      <c r="B200" s="33" t="s">
        <v>599</v>
      </c>
      <c r="C200" s="309">
        <v>240</v>
      </c>
      <c r="D200" s="34">
        <f>'Функц. 2023-2025'!F47</f>
        <v>75.599999999999994</v>
      </c>
      <c r="E200" s="34">
        <f>'Функц. 2023-2025'!H47</f>
        <v>75.599999999999994</v>
      </c>
      <c r="F200" s="34">
        <f>'Функц. 2023-2025'!J47</f>
        <v>75.599999999999994</v>
      </c>
      <c r="G200" s="535">
        <f t="shared" si="52"/>
        <v>1</v>
      </c>
    </row>
    <row r="201" spans="1:7" ht="31.5" x14ac:dyDescent="0.25">
      <c r="A201" s="284" t="s">
        <v>372</v>
      </c>
      <c r="B201" s="163" t="s">
        <v>600</v>
      </c>
      <c r="C201" s="311"/>
      <c r="D201" s="34">
        <f>D202</f>
        <v>140</v>
      </c>
      <c r="E201" s="34">
        <f>E202</f>
        <v>140</v>
      </c>
      <c r="F201" s="34">
        <f>F202</f>
        <v>140</v>
      </c>
      <c r="G201" s="535">
        <f t="shared" si="52"/>
        <v>1</v>
      </c>
    </row>
    <row r="202" spans="1:7" x14ac:dyDescent="0.25">
      <c r="A202" s="300" t="s">
        <v>602</v>
      </c>
      <c r="B202" s="163" t="s">
        <v>601</v>
      </c>
      <c r="C202" s="311"/>
      <c r="D202" s="34">
        <f>D206+D203</f>
        <v>140</v>
      </c>
      <c r="E202" s="34">
        <f t="shared" ref="E202:F202" si="72">E206+E203</f>
        <v>140</v>
      </c>
      <c r="F202" s="34">
        <f t="shared" si="72"/>
        <v>140</v>
      </c>
      <c r="G202" s="535">
        <f t="shared" si="52"/>
        <v>1</v>
      </c>
    </row>
    <row r="203" spans="1:7" s="188" customFormat="1" x14ac:dyDescent="0.25">
      <c r="A203" s="281" t="s">
        <v>719</v>
      </c>
      <c r="B203" s="163" t="s">
        <v>720</v>
      </c>
      <c r="C203" s="332"/>
      <c r="D203" s="34">
        <f>D204</f>
        <v>70</v>
      </c>
      <c r="E203" s="34">
        <f t="shared" ref="E203:F204" si="73">E204</f>
        <v>70</v>
      </c>
      <c r="F203" s="34">
        <f t="shared" si="73"/>
        <v>70</v>
      </c>
      <c r="G203" s="535">
        <f t="shared" si="52"/>
        <v>1</v>
      </c>
    </row>
    <row r="204" spans="1:7" s="188" customFormat="1" ht="31.5" x14ac:dyDescent="0.25">
      <c r="A204" s="401" t="s">
        <v>62</v>
      </c>
      <c r="B204" s="163" t="s">
        <v>720</v>
      </c>
      <c r="C204" s="332">
        <v>600</v>
      </c>
      <c r="D204" s="34">
        <f>D205</f>
        <v>70</v>
      </c>
      <c r="E204" s="34">
        <f t="shared" si="73"/>
        <v>70</v>
      </c>
      <c r="F204" s="34">
        <f t="shared" si="73"/>
        <v>70</v>
      </c>
      <c r="G204" s="535">
        <f t="shared" si="52"/>
        <v>1</v>
      </c>
    </row>
    <row r="205" spans="1:7" s="188" customFormat="1" ht="31.5" x14ac:dyDescent="0.25">
      <c r="A205" s="426" t="s">
        <v>451</v>
      </c>
      <c r="B205" s="163" t="s">
        <v>720</v>
      </c>
      <c r="C205" s="332">
        <v>630</v>
      </c>
      <c r="D205" s="34">
        <f>'Функц. 2023-2025'!F864</f>
        <v>70</v>
      </c>
      <c r="E205" s="34">
        <f>'Функц. 2023-2025'!H864</f>
        <v>70</v>
      </c>
      <c r="F205" s="34">
        <f>'Функц. 2023-2025'!J864</f>
        <v>70</v>
      </c>
      <c r="G205" s="535">
        <f t="shared" si="52"/>
        <v>1</v>
      </c>
    </row>
    <row r="206" spans="1:7" ht="31.5" x14ac:dyDescent="0.25">
      <c r="A206" s="281" t="s">
        <v>663</v>
      </c>
      <c r="B206" s="163" t="s">
        <v>664</v>
      </c>
      <c r="C206" s="542"/>
      <c r="D206" s="34">
        <f t="shared" ref="D206:F207" si="74">D207</f>
        <v>70</v>
      </c>
      <c r="E206" s="34">
        <f t="shared" si="74"/>
        <v>70</v>
      </c>
      <c r="F206" s="34">
        <f t="shared" si="74"/>
        <v>70</v>
      </c>
      <c r="G206" s="535">
        <f t="shared" ref="G206:G269" si="75">F206/E206</f>
        <v>1</v>
      </c>
    </row>
    <row r="207" spans="1:7" ht="31.5" x14ac:dyDescent="0.25">
      <c r="A207" s="401" t="s">
        <v>62</v>
      </c>
      <c r="B207" s="163" t="s">
        <v>664</v>
      </c>
      <c r="C207" s="542">
        <v>600</v>
      </c>
      <c r="D207" s="34">
        <f t="shared" si="74"/>
        <v>70</v>
      </c>
      <c r="E207" s="34">
        <f t="shared" si="74"/>
        <v>70</v>
      </c>
      <c r="F207" s="34">
        <f t="shared" si="74"/>
        <v>70</v>
      </c>
      <c r="G207" s="535">
        <f t="shared" si="75"/>
        <v>1</v>
      </c>
    </row>
    <row r="208" spans="1:7" ht="31.5" x14ac:dyDescent="0.25">
      <c r="A208" s="459" t="s">
        <v>451</v>
      </c>
      <c r="B208" s="163" t="s">
        <v>664</v>
      </c>
      <c r="C208" s="542">
        <v>630</v>
      </c>
      <c r="D208" s="34">
        <f>'Функц. 2023-2025'!F867</f>
        <v>70</v>
      </c>
      <c r="E208" s="34">
        <f>'Функц. 2023-2025'!H867</f>
        <v>70</v>
      </c>
      <c r="F208" s="34">
        <f>'Функц. 2023-2025'!J867</f>
        <v>70</v>
      </c>
      <c r="G208" s="535">
        <f t="shared" si="75"/>
        <v>1</v>
      </c>
    </row>
    <row r="209" spans="1:7" s="141" customFormat="1" x14ac:dyDescent="0.25">
      <c r="A209" s="436" t="s">
        <v>161</v>
      </c>
      <c r="B209" s="446" t="s">
        <v>118</v>
      </c>
      <c r="C209" s="310"/>
      <c r="D209" s="37">
        <f>D210+D225</f>
        <v>102470.8</v>
      </c>
      <c r="E209" s="37">
        <f>E210+E225</f>
        <v>102470.9</v>
      </c>
      <c r="F209" s="37">
        <f>F210+F225</f>
        <v>102096.5</v>
      </c>
      <c r="G209" s="536">
        <f t="shared" si="75"/>
        <v>0.99634627977308687</v>
      </c>
    </row>
    <row r="210" spans="1:7" s="141" customFormat="1" x14ac:dyDescent="0.25">
      <c r="A210" s="295" t="s">
        <v>162</v>
      </c>
      <c r="B210" s="163" t="s">
        <v>122</v>
      </c>
      <c r="C210" s="310"/>
      <c r="D210" s="34">
        <f>D211+D221</f>
        <v>37299.700000000004</v>
      </c>
      <c r="E210" s="34">
        <f t="shared" ref="E210:F210" si="76">E211+E221</f>
        <v>37299.800000000003</v>
      </c>
      <c r="F210" s="34">
        <f t="shared" si="76"/>
        <v>36925.4</v>
      </c>
      <c r="G210" s="535">
        <f t="shared" si="75"/>
        <v>0.98996241266709206</v>
      </c>
    </row>
    <row r="211" spans="1:7" s="141" customFormat="1" ht="31.5" x14ac:dyDescent="0.25">
      <c r="A211" s="295" t="s">
        <v>163</v>
      </c>
      <c r="B211" s="163" t="s">
        <v>131</v>
      </c>
      <c r="C211" s="310"/>
      <c r="D211" s="34">
        <f>D212+D218</f>
        <v>35009.300000000003</v>
      </c>
      <c r="E211" s="34">
        <f>E212+E218</f>
        <v>35009.300000000003</v>
      </c>
      <c r="F211" s="34">
        <f>F212+F218</f>
        <v>34635</v>
      </c>
      <c r="G211" s="535">
        <f t="shared" si="75"/>
        <v>0.98930855515534433</v>
      </c>
    </row>
    <row r="212" spans="1:7" s="141" customFormat="1" ht="31.5" x14ac:dyDescent="0.25">
      <c r="A212" s="302" t="s">
        <v>603</v>
      </c>
      <c r="B212" s="163" t="s">
        <v>167</v>
      </c>
      <c r="C212" s="310"/>
      <c r="D212" s="34">
        <f>D213+D215</f>
        <v>3294.4</v>
      </c>
      <c r="E212" s="34">
        <f t="shared" ref="E212:F212" si="77">E213+E215</f>
        <v>3294.4</v>
      </c>
      <c r="F212" s="34">
        <f t="shared" si="77"/>
        <v>2920.1</v>
      </c>
      <c r="G212" s="535">
        <f t="shared" si="75"/>
        <v>0.88638295288975222</v>
      </c>
    </row>
    <row r="213" spans="1:7" s="141" customFormat="1" x14ac:dyDescent="0.25">
      <c r="A213" s="433" t="s">
        <v>123</v>
      </c>
      <c r="B213" s="163" t="s">
        <v>167</v>
      </c>
      <c r="C213" s="315">
        <v>200</v>
      </c>
      <c r="D213" s="34">
        <f>D214</f>
        <v>2535</v>
      </c>
      <c r="E213" s="34">
        <f>E214</f>
        <v>2535</v>
      </c>
      <c r="F213" s="34">
        <f>F214</f>
        <v>2160.6999999999998</v>
      </c>
      <c r="G213" s="535">
        <f t="shared" si="75"/>
        <v>0.85234714003944767</v>
      </c>
    </row>
    <row r="214" spans="1:7" s="141" customFormat="1" x14ac:dyDescent="0.25">
      <c r="A214" s="433" t="s">
        <v>54</v>
      </c>
      <c r="B214" s="163" t="s">
        <v>167</v>
      </c>
      <c r="C214" s="315">
        <v>240</v>
      </c>
      <c r="D214" s="34">
        <f>'Функц. 2023-2025'!F882</f>
        <v>2535</v>
      </c>
      <c r="E214" s="34">
        <f>'Функц. 2023-2025'!H882</f>
        <v>2535</v>
      </c>
      <c r="F214" s="34">
        <f>'Функц. 2023-2025'!J882</f>
        <v>2160.6999999999998</v>
      </c>
      <c r="G214" s="535">
        <f t="shared" si="75"/>
        <v>0.85234714003944767</v>
      </c>
    </row>
    <row r="215" spans="1:7" s="141" customFormat="1" ht="31.5" x14ac:dyDescent="0.25">
      <c r="A215" s="278" t="s">
        <v>62</v>
      </c>
      <c r="B215" s="163" t="s">
        <v>167</v>
      </c>
      <c r="C215" s="315">
        <v>600</v>
      </c>
      <c r="D215" s="34">
        <f>D216+D217</f>
        <v>759.4</v>
      </c>
      <c r="E215" s="34">
        <f t="shared" ref="E215:F215" si="78">E216+E217</f>
        <v>759.4</v>
      </c>
      <c r="F215" s="34">
        <f t="shared" si="78"/>
        <v>759.4</v>
      </c>
      <c r="G215" s="535">
        <f t="shared" si="75"/>
        <v>1</v>
      </c>
    </row>
    <row r="216" spans="1:7" s="141" customFormat="1" x14ac:dyDescent="0.25">
      <c r="A216" s="297" t="s">
        <v>63</v>
      </c>
      <c r="B216" s="163" t="s">
        <v>167</v>
      </c>
      <c r="C216" s="315">
        <v>610</v>
      </c>
      <c r="D216" s="34">
        <f>'Функц. 2023-2025'!F884</f>
        <v>350</v>
      </c>
      <c r="E216" s="34">
        <f>'Функц. 2023-2025'!H884</f>
        <v>350</v>
      </c>
      <c r="F216" s="34">
        <f>'Функц. 2023-2025'!J884</f>
        <v>350</v>
      </c>
      <c r="G216" s="535">
        <f t="shared" si="75"/>
        <v>1</v>
      </c>
    </row>
    <row r="217" spans="1:7" s="141" customFormat="1" x14ac:dyDescent="0.25">
      <c r="A217" s="297" t="s">
        <v>132</v>
      </c>
      <c r="B217" s="163" t="s">
        <v>167</v>
      </c>
      <c r="C217" s="315">
        <v>620</v>
      </c>
      <c r="D217" s="34">
        <f>'Функц. 2023-2025'!F885</f>
        <v>409.4</v>
      </c>
      <c r="E217" s="34">
        <f>'Функц. 2023-2025'!H885</f>
        <v>409.4</v>
      </c>
      <c r="F217" s="34">
        <f>'Функц. 2023-2025'!J885</f>
        <v>409.4</v>
      </c>
      <c r="G217" s="535">
        <f t="shared" si="75"/>
        <v>1</v>
      </c>
    </row>
    <row r="218" spans="1:7" s="141" customFormat="1" ht="31.5" x14ac:dyDescent="0.25">
      <c r="A218" s="300" t="s">
        <v>164</v>
      </c>
      <c r="B218" s="163" t="s">
        <v>165</v>
      </c>
      <c r="C218" s="310"/>
      <c r="D218" s="34">
        <f t="shared" ref="D218:F219" si="79">D219</f>
        <v>31714.9</v>
      </c>
      <c r="E218" s="34">
        <f t="shared" si="79"/>
        <v>31714.9</v>
      </c>
      <c r="F218" s="34">
        <f t="shared" si="79"/>
        <v>31714.9</v>
      </c>
      <c r="G218" s="535">
        <f t="shared" si="75"/>
        <v>1</v>
      </c>
    </row>
    <row r="219" spans="1:7" s="141" customFormat="1" ht="31.5" x14ac:dyDescent="0.25">
      <c r="A219" s="297" t="s">
        <v>62</v>
      </c>
      <c r="B219" s="163" t="s">
        <v>165</v>
      </c>
      <c r="C219" s="315">
        <v>600</v>
      </c>
      <c r="D219" s="34">
        <f t="shared" si="79"/>
        <v>31714.9</v>
      </c>
      <c r="E219" s="34">
        <f t="shared" si="79"/>
        <v>31714.9</v>
      </c>
      <c r="F219" s="34">
        <f t="shared" si="79"/>
        <v>31714.9</v>
      </c>
      <c r="G219" s="535">
        <f t="shared" si="75"/>
        <v>1</v>
      </c>
    </row>
    <row r="220" spans="1:7" s="141" customFormat="1" x14ac:dyDescent="0.25">
      <c r="A220" s="297" t="s">
        <v>132</v>
      </c>
      <c r="B220" s="163" t="s">
        <v>165</v>
      </c>
      <c r="C220" s="315">
        <v>620</v>
      </c>
      <c r="D220" s="34">
        <f>'Функц. 2023-2025'!F875</f>
        <v>31714.9</v>
      </c>
      <c r="E220" s="34">
        <f>'Функц. 2023-2025'!H875</f>
        <v>31714.9</v>
      </c>
      <c r="F220" s="34">
        <f>'Функц. 2023-2025'!J875</f>
        <v>31714.9</v>
      </c>
      <c r="G220" s="535">
        <f t="shared" si="75"/>
        <v>1</v>
      </c>
    </row>
    <row r="221" spans="1:7" s="141" customFormat="1" x14ac:dyDescent="0.25">
      <c r="A221" s="297" t="s">
        <v>723</v>
      </c>
      <c r="B221" s="163" t="s">
        <v>721</v>
      </c>
      <c r="C221" s="315"/>
      <c r="D221" s="34">
        <f>D222</f>
        <v>2290.4</v>
      </c>
      <c r="E221" s="34">
        <f t="shared" ref="E221:F221" si="80">E222</f>
        <v>2290.5</v>
      </c>
      <c r="F221" s="34">
        <f t="shared" si="80"/>
        <v>2290.4</v>
      </c>
      <c r="G221" s="535">
        <f t="shared" si="75"/>
        <v>0.99995634141017253</v>
      </c>
    </row>
    <row r="222" spans="1:7" s="141" customFormat="1" ht="31.5" x14ac:dyDescent="0.25">
      <c r="A222" s="278" t="s">
        <v>556</v>
      </c>
      <c r="B222" s="163" t="s">
        <v>722</v>
      </c>
      <c r="C222" s="310"/>
      <c r="D222" s="34">
        <f>D223</f>
        <v>2290.4</v>
      </c>
      <c r="E222" s="34">
        <f t="shared" ref="E222:F223" si="81">E223</f>
        <v>2290.5</v>
      </c>
      <c r="F222" s="34">
        <f t="shared" si="81"/>
        <v>2290.4</v>
      </c>
      <c r="G222" s="535">
        <f t="shared" si="75"/>
        <v>0.99995634141017253</v>
      </c>
    </row>
    <row r="223" spans="1:7" s="141" customFormat="1" ht="31.5" x14ac:dyDescent="0.25">
      <c r="A223" s="278" t="s">
        <v>62</v>
      </c>
      <c r="B223" s="163" t="s">
        <v>722</v>
      </c>
      <c r="C223" s="315">
        <v>600</v>
      </c>
      <c r="D223" s="34">
        <f>D224</f>
        <v>2290.4</v>
      </c>
      <c r="E223" s="34">
        <f t="shared" si="81"/>
        <v>2290.5</v>
      </c>
      <c r="F223" s="34">
        <f t="shared" si="81"/>
        <v>2290.4</v>
      </c>
      <c r="G223" s="535">
        <f t="shared" si="75"/>
        <v>0.99995634141017253</v>
      </c>
    </row>
    <row r="224" spans="1:7" s="141" customFormat="1" x14ac:dyDescent="0.25">
      <c r="A224" s="278" t="s">
        <v>63</v>
      </c>
      <c r="B224" s="163" t="s">
        <v>722</v>
      </c>
      <c r="C224" s="315">
        <v>610</v>
      </c>
      <c r="D224" s="34">
        <f>'Функц. 2023-2025'!F654</f>
        <v>2290.4</v>
      </c>
      <c r="E224" s="34">
        <f>'Функц. 2023-2025'!H654</f>
        <v>2290.5</v>
      </c>
      <c r="F224" s="34">
        <f>'Функц. 2023-2025'!J654</f>
        <v>2290.4</v>
      </c>
      <c r="G224" s="535">
        <f t="shared" si="75"/>
        <v>0.99995634141017253</v>
      </c>
    </row>
    <row r="225" spans="1:7" s="141" customFormat="1" x14ac:dyDescent="0.25">
      <c r="A225" s="297" t="s">
        <v>738</v>
      </c>
      <c r="B225" s="163" t="s">
        <v>739</v>
      </c>
      <c r="C225" s="315"/>
      <c r="D225" s="34">
        <f>D226+D230</f>
        <v>65171.1</v>
      </c>
      <c r="E225" s="34">
        <f t="shared" ref="E225:F225" si="82">E226+E230</f>
        <v>65171.1</v>
      </c>
      <c r="F225" s="34">
        <f t="shared" si="82"/>
        <v>65171.1</v>
      </c>
      <c r="G225" s="535">
        <f t="shared" si="75"/>
        <v>1</v>
      </c>
    </row>
    <row r="226" spans="1:7" s="141" customFormat="1" x14ac:dyDescent="0.25">
      <c r="A226" s="297" t="s">
        <v>741</v>
      </c>
      <c r="B226" s="163" t="s">
        <v>740</v>
      </c>
      <c r="C226" s="315"/>
      <c r="D226" s="34">
        <f>D227</f>
        <v>61863.1</v>
      </c>
      <c r="E226" s="34">
        <f t="shared" ref="E226:F226" si="83">E227</f>
        <v>61863.1</v>
      </c>
      <c r="F226" s="34">
        <f t="shared" si="83"/>
        <v>61863.1</v>
      </c>
      <c r="G226" s="535">
        <f t="shared" si="75"/>
        <v>1</v>
      </c>
    </row>
    <row r="227" spans="1:7" s="141" customFormat="1" ht="31.5" x14ac:dyDescent="0.25">
      <c r="A227" s="297" t="s">
        <v>743</v>
      </c>
      <c r="B227" s="163" t="s">
        <v>742</v>
      </c>
      <c r="C227" s="315"/>
      <c r="D227" s="34">
        <f>D228</f>
        <v>61863.1</v>
      </c>
      <c r="E227" s="34">
        <f t="shared" ref="E227:F227" si="84">E228</f>
        <v>61863.1</v>
      </c>
      <c r="F227" s="34">
        <f t="shared" si="84"/>
        <v>61863.1</v>
      </c>
      <c r="G227" s="535">
        <f t="shared" si="75"/>
        <v>1</v>
      </c>
    </row>
    <row r="228" spans="1:7" s="141" customFormat="1" ht="31.5" x14ac:dyDescent="0.25">
      <c r="A228" s="278" t="s">
        <v>62</v>
      </c>
      <c r="B228" s="163" t="s">
        <v>742</v>
      </c>
      <c r="C228" s="315">
        <v>600</v>
      </c>
      <c r="D228" s="34">
        <f>D229</f>
        <v>61863.1</v>
      </c>
      <c r="E228" s="34">
        <f t="shared" ref="E228:F228" si="85">E229</f>
        <v>61863.1</v>
      </c>
      <c r="F228" s="34">
        <f t="shared" si="85"/>
        <v>61863.1</v>
      </c>
      <c r="G228" s="535">
        <f t="shared" si="75"/>
        <v>1</v>
      </c>
    </row>
    <row r="229" spans="1:7" s="141" customFormat="1" x14ac:dyDescent="0.25">
      <c r="A229" s="297" t="s">
        <v>132</v>
      </c>
      <c r="B229" s="163" t="s">
        <v>742</v>
      </c>
      <c r="C229" s="315">
        <v>620</v>
      </c>
      <c r="D229" s="34">
        <f>'Функц. 2023-2025'!F892</f>
        <v>61863.1</v>
      </c>
      <c r="E229" s="34">
        <f>'Функц. 2023-2025'!H892</f>
        <v>61863.1</v>
      </c>
      <c r="F229" s="34">
        <f>'Функц. 2023-2025'!J892</f>
        <v>61863.1</v>
      </c>
      <c r="G229" s="535">
        <f t="shared" si="75"/>
        <v>1</v>
      </c>
    </row>
    <row r="230" spans="1:7" s="141" customFormat="1" ht="31.5" x14ac:dyDescent="0.25">
      <c r="A230" s="297" t="s">
        <v>762</v>
      </c>
      <c r="B230" s="163" t="s">
        <v>761</v>
      </c>
      <c r="C230" s="315"/>
      <c r="D230" s="34">
        <f>D235+D231</f>
        <v>3308</v>
      </c>
      <c r="E230" s="34">
        <f t="shared" ref="E230:F230" si="86">E235+E231</f>
        <v>3308</v>
      </c>
      <c r="F230" s="34">
        <f t="shared" si="86"/>
        <v>3308</v>
      </c>
      <c r="G230" s="535">
        <f t="shared" si="75"/>
        <v>1</v>
      </c>
    </row>
    <row r="231" spans="1:7" s="141" customFormat="1" ht="31.5" x14ac:dyDescent="0.25">
      <c r="A231" s="297" t="s">
        <v>762</v>
      </c>
      <c r="B231" s="163" t="s">
        <v>761</v>
      </c>
      <c r="C231" s="315"/>
      <c r="D231" s="34">
        <f>D232</f>
        <v>3012</v>
      </c>
      <c r="E231" s="34">
        <f t="shared" ref="E231:F233" si="87">E232</f>
        <v>3012</v>
      </c>
      <c r="F231" s="34">
        <f t="shared" si="87"/>
        <v>3012</v>
      </c>
      <c r="G231" s="535">
        <f t="shared" si="75"/>
        <v>1</v>
      </c>
    </row>
    <row r="232" spans="1:7" s="141" customFormat="1" ht="31.5" x14ac:dyDescent="0.25">
      <c r="A232" s="297" t="s">
        <v>789</v>
      </c>
      <c r="B232" s="163" t="s">
        <v>790</v>
      </c>
      <c r="C232" s="315"/>
      <c r="D232" s="34">
        <f>D233</f>
        <v>3012</v>
      </c>
      <c r="E232" s="34">
        <f t="shared" si="87"/>
        <v>3012</v>
      </c>
      <c r="F232" s="34">
        <f t="shared" si="87"/>
        <v>3012</v>
      </c>
      <c r="G232" s="535">
        <f t="shared" si="75"/>
        <v>1</v>
      </c>
    </row>
    <row r="233" spans="1:7" s="141" customFormat="1" ht="31.5" x14ac:dyDescent="0.25">
      <c r="A233" s="278" t="s">
        <v>62</v>
      </c>
      <c r="B233" s="163" t="s">
        <v>790</v>
      </c>
      <c r="C233" s="315">
        <v>600</v>
      </c>
      <c r="D233" s="34">
        <f>D234</f>
        <v>3012</v>
      </c>
      <c r="E233" s="34">
        <f t="shared" si="87"/>
        <v>3012</v>
      </c>
      <c r="F233" s="34">
        <f t="shared" si="87"/>
        <v>3012</v>
      </c>
      <c r="G233" s="535">
        <f t="shared" si="75"/>
        <v>1</v>
      </c>
    </row>
    <row r="234" spans="1:7" s="141" customFormat="1" x14ac:dyDescent="0.25">
      <c r="A234" s="278" t="s">
        <v>132</v>
      </c>
      <c r="B234" s="163" t="s">
        <v>790</v>
      </c>
      <c r="C234" s="315">
        <v>620</v>
      </c>
      <c r="D234" s="34">
        <f>'Функц. 2023-2025'!F896</f>
        <v>3012</v>
      </c>
      <c r="E234" s="34">
        <f>'Функц. 2023-2025'!H896</f>
        <v>3012</v>
      </c>
      <c r="F234" s="34">
        <f>'Функц. 2023-2025'!J896</f>
        <v>3012</v>
      </c>
      <c r="G234" s="535">
        <f t="shared" si="75"/>
        <v>1</v>
      </c>
    </row>
    <row r="235" spans="1:7" s="141" customFormat="1" ht="31.5" x14ac:dyDescent="0.25">
      <c r="A235" s="297" t="s">
        <v>763</v>
      </c>
      <c r="B235" s="163" t="s">
        <v>764</v>
      </c>
      <c r="C235" s="315"/>
      <c r="D235" s="34">
        <f>D236</f>
        <v>296</v>
      </c>
      <c r="E235" s="34">
        <f t="shared" ref="E235:F236" si="88">E236</f>
        <v>296</v>
      </c>
      <c r="F235" s="34">
        <f t="shared" si="88"/>
        <v>296</v>
      </c>
      <c r="G235" s="535">
        <f t="shared" si="75"/>
        <v>1</v>
      </c>
    </row>
    <row r="236" spans="1:7" s="141" customFormat="1" ht="31.5" x14ac:dyDescent="0.25">
      <c r="A236" s="278" t="s">
        <v>62</v>
      </c>
      <c r="B236" s="163" t="s">
        <v>764</v>
      </c>
      <c r="C236" s="315">
        <v>600</v>
      </c>
      <c r="D236" s="34">
        <f>D237</f>
        <v>296</v>
      </c>
      <c r="E236" s="34">
        <f t="shared" si="88"/>
        <v>296</v>
      </c>
      <c r="F236" s="34">
        <f t="shared" si="88"/>
        <v>296</v>
      </c>
      <c r="G236" s="535">
        <f t="shared" si="75"/>
        <v>1</v>
      </c>
    </row>
    <row r="237" spans="1:7" s="141" customFormat="1" x14ac:dyDescent="0.25">
      <c r="A237" s="297" t="s">
        <v>132</v>
      </c>
      <c r="B237" s="163" t="s">
        <v>764</v>
      </c>
      <c r="C237" s="315">
        <v>620</v>
      </c>
      <c r="D237" s="34">
        <f>'Функц. 2023-2025'!F899</f>
        <v>296</v>
      </c>
      <c r="E237" s="34">
        <f>'Функц. 2023-2025'!H899</f>
        <v>296</v>
      </c>
      <c r="F237" s="34">
        <f>'Функц. 2023-2025'!J899</f>
        <v>296</v>
      </c>
      <c r="G237" s="535">
        <f t="shared" si="75"/>
        <v>1</v>
      </c>
    </row>
    <row r="238" spans="1:7" ht="18.75" x14ac:dyDescent="0.3">
      <c r="A238" s="432" t="s">
        <v>251</v>
      </c>
      <c r="B238" s="446" t="s">
        <v>141</v>
      </c>
      <c r="C238" s="316"/>
      <c r="D238" s="37">
        <f t="shared" ref="D238:F240" si="89">D239</f>
        <v>1350</v>
      </c>
      <c r="E238" s="37">
        <f t="shared" si="89"/>
        <v>1350</v>
      </c>
      <c r="F238" s="37">
        <f t="shared" si="89"/>
        <v>1302.0999999999999</v>
      </c>
      <c r="G238" s="536">
        <f t="shared" si="75"/>
        <v>0.96451851851851844</v>
      </c>
    </row>
    <row r="239" spans="1:7" ht="31.5" x14ac:dyDescent="0.3">
      <c r="A239" s="295" t="s">
        <v>604</v>
      </c>
      <c r="B239" s="163" t="s">
        <v>252</v>
      </c>
      <c r="C239" s="316"/>
      <c r="D239" s="34">
        <f t="shared" si="89"/>
        <v>1350</v>
      </c>
      <c r="E239" s="34">
        <f t="shared" si="89"/>
        <v>1350</v>
      </c>
      <c r="F239" s="34">
        <f t="shared" si="89"/>
        <v>1302.0999999999999</v>
      </c>
      <c r="G239" s="535">
        <f t="shared" si="75"/>
        <v>0.96451851851851844</v>
      </c>
    </row>
    <row r="240" spans="1:7" ht="18.75" x14ac:dyDescent="0.3">
      <c r="A240" s="280" t="s">
        <v>605</v>
      </c>
      <c r="B240" s="163" t="s">
        <v>253</v>
      </c>
      <c r="C240" s="316"/>
      <c r="D240" s="34">
        <f t="shared" si="89"/>
        <v>1350</v>
      </c>
      <c r="E240" s="34">
        <f t="shared" si="89"/>
        <v>1350</v>
      </c>
      <c r="F240" s="34">
        <f t="shared" si="89"/>
        <v>1302.0999999999999</v>
      </c>
      <c r="G240" s="535">
        <f t="shared" si="75"/>
        <v>0.96451851851851844</v>
      </c>
    </row>
    <row r="241" spans="1:7" ht="31.5" x14ac:dyDescent="0.25">
      <c r="A241" s="280" t="s">
        <v>465</v>
      </c>
      <c r="B241" s="163" t="s">
        <v>254</v>
      </c>
      <c r="C241" s="309"/>
      <c r="D241" s="34">
        <f>D245+D242</f>
        <v>1350</v>
      </c>
      <c r="E241" s="34">
        <f t="shared" ref="E241:F241" si="90">E245+E242</f>
        <v>1350</v>
      </c>
      <c r="F241" s="34">
        <f t="shared" si="90"/>
        <v>1302.0999999999999</v>
      </c>
      <c r="G241" s="535">
        <f t="shared" si="75"/>
        <v>0.96451851851851844</v>
      </c>
    </row>
    <row r="242" spans="1:7" s="188" customFormat="1" ht="47.25" x14ac:dyDescent="0.25">
      <c r="A242" s="278" t="s">
        <v>43</v>
      </c>
      <c r="B242" s="163" t="s">
        <v>254</v>
      </c>
      <c r="C242" s="309">
        <v>100</v>
      </c>
      <c r="D242" s="34">
        <f>D243</f>
        <v>46</v>
      </c>
      <c r="E242" s="34">
        <f>E243</f>
        <v>46</v>
      </c>
      <c r="F242" s="34">
        <f>F243</f>
        <v>44.5</v>
      </c>
      <c r="G242" s="535">
        <f t="shared" si="75"/>
        <v>0.96739130434782605</v>
      </c>
    </row>
    <row r="243" spans="1:7" s="188" customFormat="1" x14ac:dyDescent="0.25">
      <c r="A243" s="278" t="s">
        <v>99</v>
      </c>
      <c r="B243" s="163" t="s">
        <v>254</v>
      </c>
      <c r="C243" s="309">
        <v>120</v>
      </c>
      <c r="D243" s="34">
        <f>'Функц. 2023-2025'!F329</f>
        <v>46</v>
      </c>
      <c r="E243" s="34">
        <f>'Функц. 2023-2025'!H329</f>
        <v>46</v>
      </c>
      <c r="F243" s="34">
        <f>'Функц. 2023-2025'!J329</f>
        <v>44.5</v>
      </c>
      <c r="G243" s="535">
        <f t="shared" si="75"/>
        <v>0.96739130434782605</v>
      </c>
    </row>
    <row r="244" spans="1:7" x14ac:dyDescent="0.25">
      <c r="A244" s="297" t="s">
        <v>123</v>
      </c>
      <c r="B244" s="163" t="s">
        <v>254</v>
      </c>
      <c r="C244" s="311">
        <v>200</v>
      </c>
      <c r="D244" s="34">
        <f>D245</f>
        <v>1304</v>
      </c>
      <c r="E244" s="34">
        <f>E245</f>
        <v>1304</v>
      </c>
      <c r="F244" s="34">
        <f>F245</f>
        <v>1257.5999999999999</v>
      </c>
      <c r="G244" s="535">
        <f t="shared" si="75"/>
        <v>0.96441717791411041</v>
      </c>
    </row>
    <row r="245" spans="1:7" x14ac:dyDescent="0.25">
      <c r="A245" s="297" t="s">
        <v>54</v>
      </c>
      <c r="B245" s="163" t="s">
        <v>254</v>
      </c>
      <c r="C245" s="309">
        <v>240</v>
      </c>
      <c r="D245" s="34">
        <f>'Функц. 2023-2025'!F331</f>
        <v>1304</v>
      </c>
      <c r="E245" s="34">
        <f>'Функц. 2023-2025'!H331</f>
        <v>1304</v>
      </c>
      <c r="F245" s="34">
        <f>'Функц. 2023-2025'!J331</f>
        <v>1257.5999999999999</v>
      </c>
      <c r="G245" s="535">
        <f t="shared" si="75"/>
        <v>0.96441717791411041</v>
      </c>
    </row>
    <row r="246" spans="1:7" s="141" customFormat="1" x14ac:dyDescent="0.25">
      <c r="A246" s="437" t="s">
        <v>433</v>
      </c>
      <c r="B246" s="449" t="s">
        <v>434</v>
      </c>
      <c r="C246" s="314"/>
      <c r="D246" s="37">
        <f>D247</f>
        <v>25</v>
      </c>
      <c r="E246" s="37">
        <f t="shared" ref="E246:F246" si="91">E247</f>
        <v>25</v>
      </c>
      <c r="F246" s="37">
        <f t="shared" si="91"/>
        <v>25</v>
      </c>
      <c r="G246" s="536">
        <f t="shared" si="75"/>
        <v>1</v>
      </c>
    </row>
    <row r="247" spans="1:7" s="188" customFormat="1" x14ac:dyDescent="0.25">
      <c r="A247" s="278" t="s">
        <v>675</v>
      </c>
      <c r="B247" s="163" t="s">
        <v>676</v>
      </c>
      <c r="C247" s="309"/>
      <c r="D247" s="34">
        <f>D248</f>
        <v>25</v>
      </c>
      <c r="E247" s="34">
        <f t="shared" ref="E247:F247" si="92">E248</f>
        <v>25</v>
      </c>
      <c r="F247" s="34">
        <f t="shared" si="92"/>
        <v>25</v>
      </c>
      <c r="G247" s="535">
        <f t="shared" si="75"/>
        <v>1</v>
      </c>
    </row>
    <row r="248" spans="1:7" s="188" customFormat="1" x14ac:dyDescent="0.25">
      <c r="A248" s="278" t="s">
        <v>677</v>
      </c>
      <c r="B248" s="163" t="s">
        <v>678</v>
      </c>
      <c r="C248" s="309"/>
      <c r="D248" s="34">
        <f>D249</f>
        <v>25</v>
      </c>
      <c r="E248" s="34">
        <f t="shared" ref="E248:F248" si="93">E249</f>
        <v>25</v>
      </c>
      <c r="F248" s="34">
        <f t="shared" si="93"/>
        <v>25</v>
      </c>
      <c r="G248" s="535">
        <f t="shared" si="75"/>
        <v>1</v>
      </c>
    </row>
    <row r="249" spans="1:7" s="188" customFormat="1" x14ac:dyDescent="0.25">
      <c r="A249" s="278" t="s">
        <v>680</v>
      </c>
      <c r="B249" s="163" t="s">
        <v>679</v>
      </c>
      <c r="C249" s="309"/>
      <c r="D249" s="34">
        <f>D250</f>
        <v>25</v>
      </c>
      <c r="E249" s="34">
        <f t="shared" ref="E249:F249" si="94">E250</f>
        <v>25</v>
      </c>
      <c r="F249" s="34">
        <f t="shared" si="94"/>
        <v>25</v>
      </c>
      <c r="G249" s="535">
        <f t="shared" si="75"/>
        <v>1</v>
      </c>
    </row>
    <row r="250" spans="1:7" s="188" customFormat="1" ht="31.5" x14ac:dyDescent="0.25">
      <c r="A250" s="403" t="s">
        <v>62</v>
      </c>
      <c r="B250" s="163" t="s">
        <v>679</v>
      </c>
      <c r="C250" s="309">
        <v>600</v>
      </c>
      <c r="D250" s="34">
        <f>D251</f>
        <v>25</v>
      </c>
      <c r="E250" s="34">
        <f t="shared" ref="E250:F250" si="95">E251</f>
        <v>25</v>
      </c>
      <c r="F250" s="34">
        <f t="shared" si="95"/>
        <v>25</v>
      </c>
      <c r="G250" s="535">
        <f t="shared" si="75"/>
        <v>1</v>
      </c>
    </row>
    <row r="251" spans="1:7" s="188" customFormat="1" x14ac:dyDescent="0.25">
      <c r="A251" s="278" t="s">
        <v>63</v>
      </c>
      <c r="B251" s="163" t="s">
        <v>679</v>
      </c>
      <c r="C251" s="309">
        <v>610</v>
      </c>
      <c r="D251" s="34">
        <f>'Функц. 2023-2025'!F560</f>
        <v>25</v>
      </c>
      <c r="E251" s="34">
        <f>'Функц. 2023-2025'!H560</f>
        <v>25</v>
      </c>
      <c r="F251" s="34">
        <f>'Функц. 2023-2025'!J560</f>
        <v>25</v>
      </c>
      <c r="G251" s="535">
        <f t="shared" si="75"/>
        <v>1</v>
      </c>
    </row>
    <row r="252" spans="1:7" s="141" customFormat="1" ht="31.5" x14ac:dyDescent="0.25">
      <c r="A252" s="435" t="s">
        <v>168</v>
      </c>
      <c r="B252" s="449" t="s">
        <v>105</v>
      </c>
      <c r="C252" s="310"/>
      <c r="D252" s="37">
        <f>D253+D283+D292+D301+D308+D315</f>
        <v>57366.2</v>
      </c>
      <c r="E252" s="37">
        <f>E253+E283+E292+E301+E315+E308</f>
        <v>67822.2</v>
      </c>
      <c r="F252" s="37">
        <f>F253+F283+F292+F301+F315+F308</f>
        <v>54654.8</v>
      </c>
      <c r="G252" s="536">
        <f t="shared" si="75"/>
        <v>0.80585413035849629</v>
      </c>
    </row>
    <row r="253" spans="1:7" s="141" customFormat="1" x14ac:dyDescent="0.25">
      <c r="A253" s="299" t="s">
        <v>169</v>
      </c>
      <c r="B253" s="33" t="s">
        <v>109</v>
      </c>
      <c r="C253" s="311"/>
      <c r="D253" s="34">
        <f>D258+D262+D266+D254</f>
        <v>30469.4</v>
      </c>
      <c r="E253" s="34">
        <f>E258+E262+E266+E254</f>
        <v>30511.4</v>
      </c>
      <c r="F253" s="34">
        <f>F258+F262+F266+F254</f>
        <v>28256.7</v>
      </c>
      <c r="G253" s="535">
        <f t="shared" si="75"/>
        <v>0.92610303034275709</v>
      </c>
    </row>
    <row r="254" spans="1:7" s="141" customFormat="1" ht="47.25" x14ac:dyDescent="0.25">
      <c r="A254" s="278" t="s">
        <v>781</v>
      </c>
      <c r="B254" s="33" t="s">
        <v>782</v>
      </c>
      <c r="C254" s="309"/>
      <c r="D254" s="34">
        <f>D255</f>
        <v>198</v>
      </c>
      <c r="E254" s="34">
        <f t="shared" ref="E254:F256" si="96">E255</f>
        <v>198</v>
      </c>
      <c r="F254" s="34">
        <f t="shared" si="96"/>
        <v>196</v>
      </c>
      <c r="G254" s="535">
        <f t="shared" si="75"/>
        <v>0.98989898989898994</v>
      </c>
    </row>
    <row r="255" spans="1:7" s="141" customFormat="1" ht="78.75" x14ac:dyDescent="0.25">
      <c r="A255" s="278" t="s">
        <v>783</v>
      </c>
      <c r="B255" s="33" t="s">
        <v>784</v>
      </c>
      <c r="C255" s="309"/>
      <c r="D255" s="34">
        <f>D256</f>
        <v>198</v>
      </c>
      <c r="E255" s="34">
        <f t="shared" si="96"/>
        <v>198</v>
      </c>
      <c r="F255" s="34">
        <f t="shared" si="96"/>
        <v>196</v>
      </c>
      <c r="G255" s="535">
        <f t="shared" si="75"/>
        <v>0.98989898989898994</v>
      </c>
    </row>
    <row r="256" spans="1:7" s="141" customFormat="1" ht="31.5" x14ac:dyDescent="0.25">
      <c r="A256" s="278" t="s">
        <v>62</v>
      </c>
      <c r="B256" s="33" t="s">
        <v>784</v>
      </c>
      <c r="C256" s="309">
        <v>600</v>
      </c>
      <c r="D256" s="34">
        <f>D257</f>
        <v>198</v>
      </c>
      <c r="E256" s="34">
        <f t="shared" si="96"/>
        <v>198</v>
      </c>
      <c r="F256" s="34">
        <f t="shared" si="96"/>
        <v>196</v>
      </c>
      <c r="G256" s="535">
        <f t="shared" si="75"/>
        <v>0.98989898989898994</v>
      </c>
    </row>
    <row r="257" spans="1:7" s="141" customFormat="1" x14ac:dyDescent="0.25">
      <c r="A257" s="278" t="s">
        <v>63</v>
      </c>
      <c r="B257" s="33" t="s">
        <v>784</v>
      </c>
      <c r="C257" s="309">
        <v>610</v>
      </c>
      <c r="D257" s="34">
        <f>'Функц. 2023-2025'!F810</f>
        <v>198</v>
      </c>
      <c r="E257" s="34">
        <f>'Функц. 2023-2025'!H810</f>
        <v>198</v>
      </c>
      <c r="F257" s="34">
        <f>'Функц. 2023-2025'!J810</f>
        <v>196</v>
      </c>
      <c r="G257" s="535">
        <f t="shared" si="75"/>
        <v>0.98989898989898994</v>
      </c>
    </row>
    <row r="258" spans="1:7" s="141" customFormat="1" ht="31.5" x14ac:dyDescent="0.25">
      <c r="A258" s="301" t="s">
        <v>606</v>
      </c>
      <c r="B258" s="163" t="s">
        <v>170</v>
      </c>
      <c r="C258" s="311"/>
      <c r="D258" s="34">
        <f t="shared" ref="D258:F259" si="97">D259</f>
        <v>298.59999999999997</v>
      </c>
      <c r="E258" s="34">
        <f t="shared" si="97"/>
        <v>298.59999999999997</v>
      </c>
      <c r="F258" s="34">
        <f t="shared" si="97"/>
        <v>298.60000000000002</v>
      </c>
      <c r="G258" s="535">
        <f t="shared" si="75"/>
        <v>1.0000000000000002</v>
      </c>
    </row>
    <row r="259" spans="1:7" s="141" customFormat="1" ht="24" customHeight="1" x14ac:dyDescent="0.25">
      <c r="A259" s="299" t="s">
        <v>730</v>
      </c>
      <c r="B259" s="163" t="s">
        <v>731</v>
      </c>
      <c r="C259" s="311"/>
      <c r="D259" s="34">
        <f t="shared" si="97"/>
        <v>298.59999999999997</v>
      </c>
      <c r="E259" s="34">
        <f t="shared" si="97"/>
        <v>298.59999999999997</v>
      </c>
      <c r="F259" s="34">
        <f t="shared" si="97"/>
        <v>298.60000000000002</v>
      </c>
      <c r="G259" s="535">
        <f t="shared" si="75"/>
        <v>1.0000000000000002</v>
      </c>
    </row>
    <row r="260" spans="1:7" s="141" customFormat="1" x14ac:dyDescent="0.25">
      <c r="A260" s="297" t="s">
        <v>123</v>
      </c>
      <c r="B260" s="163" t="s">
        <v>731</v>
      </c>
      <c r="C260" s="309">
        <v>200</v>
      </c>
      <c r="D260" s="34">
        <f>D261</f>
        <v>298.59999999999997</v>
      </c>
      <c r="E260" s="34">
        <f>E261</f>
        <v>298.59999999999997</v>
      </c>
      <c r="F260" s="34">
        <f>F261</f>
        <v>298.60000000000002</v>
      </c>
      <c r="G260" s="535">
        <f t="shared" si="75"/>
        <v>1.0000000000000002</v>
      </c>
    </row>
    <row r="261" spans="1:7" s="141" customFormat="1" x14ac:dyDescent="0.25">
      <c r="A261" s="297" t="s">
        <v>54</v>
      </c>
      <c r="B261" s="163" t="s">
        <v>731</v>
      </c>
      <c r="C261" s="309">
        <v>240</v>
      </c>
      <c r="D261" s="34">
        <f>'Функц. 2023-2025'!F699</f>
        <v>298.59999999999997</v>
      </c>
      <c r="E261" s="34">
        <f>'Функц. 2023-2025'!H699</f>
        <v>298.59999999999997</v>
      </c>
      <c r="F261" s="34">
        <f>'Функц. 2023-2025'!J699</f>
        <v>298.60000000000002</v>
      </c>
      <c r="G261" s="535">
        <f t="shared" si="75"/>
        <v>1.0000000000000002</v>
      </c>
    </row>
    <row r="262" spans="1:7" s="141" customFormat="1" ht="31.5" x14ac:dyDescent="0.25">
      <c r="A262" s="301" t="s">
        <v>171</v>
      </c>
      <c r="B262" s="163" t="s">
        <v>172</v>
      </c>
      <c r="C262" s="309"/>
      <c r="D262" s="34">
        <f>D263</f>
        <v>14472.8</v>
      </c>
      <c r="E262" s="34">
        <f>E263</f>
        <v>14472.8</v>
      </c>
      <c r="F262" s="34">
        <f>F263</f>
        <v>13061.9</v>
      </c>
      <c r="G262" s="535">
        <f t="shared" si="75"/>
        <v>0.90251368083577477</v>
      </c>
    </row>
    <row r="263" spans="1:7" s="141" customFormat="1" x14ac:dyDescent="0.25">
      <c r="A263" s="299" t="s">
        <v>173</v>
      </c>
      <c r="B263" s="163" t="s">
        <v>174</v>
      </c>
      <c r="C263" s="309"/>
      <c r="D263" s="34">
        <f>D264</f>
        <v>14472.8</v>
      </c>
      <c r="E263" s="34">
        <f t="shared" ref="E263:F263" si="98">E264</f>
        <v>14472.8</v>
      </c>
      <c r="F263" s="34">
        <f t="shared" si="98"/>
        <v>13061.9</v>
      </c>
      <c r="G263" s="535">
        <f t="shared" si="75"/>
        <v>0.90251368083577477</v>
      </c>
    </row>
    <row r="264" spans="1:7" s="141" customFormat="1" x14ac:dyDescent="0.25">
      <c r="A264" s="297" t="s">
        <v>123</v>
      </c>
      <c r="B264" s="163" t="s">
        <v>174</v>
      </c>
      <c r="C264" s="309">
        <v>200</v>
      </c>
      <c r="D264" s="34">
        <f t="shared" ref="D264:F264" si="99">D265</f>
        <v>14472.8</v>
      </c>
      <c r="E264" s="34">
        <f t="shared" si="99"/>
        <v>14472.8</v>
      </c>
      <c r="F264" s="34">
        <f t="shared" si="99"/>
        <v>13061.9</v>
      </c>
      <c r="G264" s="535">
        <f t="shared" si="75"/>
        <v>0.90251368083577477</v>
      </c>
    </row>
    <row r="265" spans="1:7" s="141" customFormat="1" x14ac:dyDescent="0.25">
      <c r="A265" s="297" t="s">
        <v>54</v>
      </c>
      <c r="B265" s="163" t="s">
        <v>174</v>
      </c>
      <c r="C265" s="309">
        <v>240</v>
      </c>
      <c r="D265" s="34">
        <f>'Функц. 2023-2025'!F321</f>
        <v>14472.8</v>
      </c>
      <c r="E265" s="34">
        <f>'Функц. 2023-2025'!H321</f>
        <v>14472.8</v>
      </c>
      <c r="F265" s="34">
        <f>'Функц. 2023-2025'!J321</f>
        <v>13061.9</v>
      </c>
      <c r="G265" s="535">
        <f t="shared" si="75"/>
        <v>0.90251368083577477</v>
      </c>
    </row>
    <row r="266" spans="1:7" s="141" customFormat="1" x14ac:dyDescent="0.25">
      <c r="A266" s="298" t="s">
        <v>607</v>
      </c>
      <c r="B266" s="33" t="s">
        <v>358</v>
      </c>
      <c r="C266" s="317"/>
      <c r="D266" s="34">
        <f>D267+D270+D273+D280</f>
        <v>15500</v>
      </c>
      <c r="E266" s="34">
        <f>E267+E270+E273+E280</f>
        <v>15542</v>
      </c>
      <c r="F266" s="34">
        <f>F267+F270+F273+F280</f>
        <v>14700.2</v>
      </c>
      <c r="G266" s="535">
        <f t="shared" si="75"/>
        <v>0.94583708660404076</v>
      </c>
    </row>
    <row r="267" spans="1:7" s="141" customFormat="1" x14ac:dyDescent="0.25">
      <c r="A267" s="298" t="s">
        <v>260</v>
      </c>
      <c r="B267" s="163" t="s">
        <v>357</v>
      </c>
      <c r="C267" s="311"/>
      <c r="D267" s="34">
        <f t="shared" ref="D267:F268" si="100">D268</f>
        <v>575.9</v>
      </c>
      <c r="E267" s="34">
        <f t="shared" si="100"/>
        <v>575.9</v>
      </c>
      <c r="F267" s="34">
        <f t="shared" si="100"/>
        <v>75.900000000000006</v>
      </c>
      <c r="G267" s="535">
        <f t="shared" si="75"/>
        <v>0.13179371418649072</v>
      </c>
    </row>
    <row r="268" spans="1:7" s="141" customFormat="1" x14ac:dyDescent="0.25">
      <c r="A268" s="433" t="s">
        <v>123</v>
      </c>
      <c r="B268" s="163" t="s">
        <v>357</v>
      </c>
      <c r="C268" s="309">
        <v>200</v>
      </c>
      <c r="D268" s="34">
        <f t="shared" si="100"/>
        <v>575.9</v>
      </c>
      <c r="E268" s="34">
        <f t="shared" si="100"/>
        <v>575.9</v>
      </c>
      <c r="F268" s="34">
        <f t="shared" si="100"/>
        <v>75.900000000000006</v>
      </c>
      <c r="G268" s="535">
        <f t="shared" si="75"/>
        <v>0.13179371418649072</v>
      </c>
    </row>
    <row r="269" spans="1:7" s="141" customFormat="1" x14ac:dyDescent="0.25">
      <c r="A269" s="433" t="s">
        <v>54</v>
      </c>
      <c r="B269" s="163" t="s">
        <v>357</v>
      </c>
      <c r="C269" s="309">
        <v>240</v>
      </c>
      <c r="D269" s="34">
        <f>'Функц. 2023-2025'!F399</f>
        <v>575.9</v>
      </c>
      <c r="E269" s="34">
        <f>'Функц. 2023-2025'!H399</f>
        <v>575.9</v>
      </c>
      <c r="F269" s="34">
        <f>'Функц. 2023-2025'!J399</f>
        <v>75.900000000000006</v>
      </c>
      <c r="G269" s="535">
        <f t="shared" si="75"/>
        <v>0.13179371418649072</v>
      </c>
    </row>
    <row r="270" spans="1:7" x14ac:dyDescent="0.25">
      <c r="A270" s="301" t="s">
        <v>262</v>
      </c>
      <c r="B270" s="33" t="s">
        <v>384</v>
      </c>
      <c r="C270" s="317"/>
      <c r="D270" s="34">
        <f t="shared" ref="D270:F271" si="101">D271</f>
        <v>7608.4</v>
      </c>
      <c r="E270" s="34">
        <f t="shared" si="101"/>
        <v>7608.4</v>
      </c>
      <c r="F270" s="34">
        <f t="shared" si="101"/>
        <v>7388.2</v>
      </c>
      <c r="G270" s="535">
        <f t="shared" ref="G270:G333" si="102">F270/E270</f>
        <v>0.97105830397981185</v>
      </c>
    </row>
    <row r="271" spans="1:7" x14ac:dyDescent="0.25">
      <c r="A271" s="297" t="s">
        <v>123</v>
      </c>
      <c r="B271" s="33" t="s">
        <v>384</v>
      </c>
      <c r="C271" s="317" t="s">
        <v>39</v>
      </c>
      <c r="D271" s="34">
        <f t="shared" si="101"/>
        <v>7608.4</v>
      </c>
      <c r="E271" s="34">
        <f t="shared" si="101"/>
        <v>7608.4</v>
      </c>
      <c r="F271" s="34">
        <f t="shared" si="101"/>
        <v>7388.2</v>
      </c>
      <c r="G271" s="535">
        <f t="shared" si="102"/>
        <v>0.97105830397981185</v>
      </c>
    </row>
    <row r="272" spans="1:7" x14ac:dyDescent="0.25">
      <c r="A272" s="297" t="s">
        <v>54</v>
      </c>
      <c r="B272" s="33" t="s">
        <v>384</v>
      </c>
      <c r="C272" s="317" t="s">
        <v>67</v>
      </c>
      <c r="D272" s="34">
        <f>'Функц. 2023-2025'!F448</f>
        <v>7608.4</v>
      </c>
      <c r="E272" s="34">
        <f>'Функц. 2023-2025'!H448</f>
        <v>7608.4</v>
      </c>
      <c r="F272" s="34">
        <f>'Функц. 2023-2025'!J448</f>
        <v>7388.2</v>
      </c>
      <c r="G272" s="535">
        <f t="shared" si="102"/>
        <v>0.97105830397981185</v>
      </c>
    </row>
    <row r="273" spans="1:7" ht="31.5" x14ac:dyDescent="0.25">
      <c r="A273" s="300" t="s">
        <v>261</v>
      </c>
      <c r="B273" s="33" t="s">
        <v>360</v>
      </c>
      <c r="C273" s="317"/>
      <c r="D273" s="34">
        <f>D274+D276+D278</f>
        <v>7042.7000000000007</v>
      </c>
      <c r="E273" s="34">
        <f t="shared" ref="E273:F273" si="103">E274+E276+E278</f>
        <v>7042.7000000000007</v>
      </c>
      <c r="F273" s="34">
        <f t="shared" si="103"/>
        <v>6933.9</v>
      </c>
      <c r="G273" s="535">
        <f t="shared" si="102"/>
        <v>0.98455137944254323</v>
      </c>
    </row>
    <row r="274" spans="1:7" ht="47.25" x14ac:dyDescent="0.25">
      <c r="A274" s="297" t="s">
        <v>43</v>
      </c>
      <c r="B274" s="33" t="s">
        <v>360</v>
      </c>
      <c r="C274" s="317" t="s">
        <v>129</v>
      </c>
      <c r="D274" s="34">
        <f>D275</f>
        <v>6401.7000000000007</v>
      </c>
      <c r="E274" s="34">
        <f>E275</f>
        <v>6401.7000000000007</v>
      </c>
      <c r="F274" s="34">
        <f>F275</f>
        <v>6401.7</v>
      </c>
      <c r="G274" s="535">
        <f t="shared" si="102"/>
        <v>0.99999999999999989</v>
      </c>
    </row>
    <row r="275" spans="1:7" x14ac:dyDescent="0.25">
      <c r="A275" s="297" t="s">
        <v>70</v>
      </c>
      <c r="B275" s="33" t="s">
        <v>360</v>
      </c>
      <c r="C275" s="317" t="s">
        <v>130</v>
      </c>
      <c r="D275" s="34">
        <f>'Функц. 2023-2025'!F451</f>
        <v>6401.7000000000007</v>
      </c>
      <c r="E275" s="34">
        <f>'Функц. 2023-2025'!H451</f>
        <v>6401.7000000000007</v>
      </c>
      <c r="F275" s="34">
        <f>'Функц. 2023-2025'!J451</f>
        <v>6401.7</v>
      </c>
      <c r="G275" s="535">
        <f t="shared" si="102"/>
        <v>0.99999999999999989</v>
      </c>
    </row>
    <row r="276" spans="1:7" x14ac:dyDescent="0.25">
      <c r="A276" s="297" t="s">
        <v>123</v>
      </c>
      <c r="B276" s="33" t="s">
        <v>360</v>
      </c>
      <c r="C276" s="317" t="s">
        <v>39</v>
      </c>
      <c r="D276" s="34">
        <f>D277</f>
        <v>639.20000000000005</v>
      </c>
      <c r="E276" s="34">
        <f>E277</f>
        <v>639.20000000000005</v>
      </c>
      <c r="F276" s="34">
        <f>F277</f>
        <v>530.4</v>
      </c>
      <c r="G276" s="535">
        <f t="shared" si="102"/>
        <v>0.82978723404255306</v>
      </c>
    </row>
    <row r="277" spans="1:7" x14ac:dyDescent="0.25">
      <c r="A277" s="297" t="s">
        <v>54</v>
      </c>
      <c r="B277" s="33" t="s">
        <v>360</v>
      </c>
      <c r="C277" s="317" t="s">
        <v>67</v>
      </c>
      <c r="D277" s="38">
        <f>'Функц. 2023-2025'!F453</f>
        <v>639.20000000000005</v>
      </c>
      <c r="E277" s="38">
        <f>'Функц. 2023-2025'!H453</f>
        <v>639.20000000000005</v>
      </c>
      <c r="F277" s="38">
        <f>'Функц. 2023-2025'!J453</f>
        <v>530.4</v>
      </c>
      <c r="G277" s="535">
        <f t="shared" si="102"/>
        <v>0.82978723404255306</v>
      </c>
    </row>
    <row r="278" spans="1:7" s="188" customFormat="1" x14ac:dyDescent="0.25">
      <c r="A278" s="278" t="s">
        <v>44</v>
      </c>
      <c r="B278" s="33" t="s">
        <v>360</v>
      </c>
      <c r="C278" s="317" t="s">
        <v>373</v>
      </c>
      <c r="D278" s="38">
        <f>D279</f>
        <v>1.8</v>
      </c>
      <c r="E278" s="38">
        <f t="shared" ref="E278:F278" si="104">E279</f>
        <v>1.8</v>
      </c>
      <c r="F278" s="38">
        <f t="shared" si="104"/>
        <v>1.8</v>
      </c>
      <c r="G278" s="535">
        <f t="shared" si="102"/>
        <v>1</v>
      </c>
    </row>
    <row r="279" spans="1:7" s="188" customFormat="1" x14ac:dyDescent="0.25">
      <c r="A279" s="278" t="s">
        <v>60</v>
      </c>
      <c r="B279" s="33" t="s">
        <v>360</v>
      </c>
      <c r="C279" s="317" t="s">
        <v>472</v>
      </c>
      <c r="D279" s="38">
        <f>'Функц. 2023-2025'!F455</f>
        <v>1.8</v>
      </c>
      <c r="E279" s="38">
        <f>'Функц. 2023-2025'!H455</f>
        <v>1.8</v>
      </c>
      <c r="F279" s="38">
        <f>'Функц. 2023-2025'!J455</f>
        <v>1.8</v>
      </c>
      <c r="G279" s="535">
        <f t="shared" si="102"/>
        <v>1</v>
      </c>
    </row>
    <row r="280" spans="1:7" s="188" customFormat="1" ht="47.25" x14ac:dyDescent="0.25">
      <c r="A280" s="278" t="s">
        <v>388</v>
      </c>
      <c r="B280" s="33" t="s">
        <v>387</v>
      </c>
      <c r="C280" s="309"/>
      <c r="D280" s="38">
        <f t="shared" ref="D280:F281" si="105">D281</f>
        <v>273</v>
      </c>
      <c r="E280" s="38">
        <f t="shared" si="105"/>
        <v>315</v>
      </c>
      <c r="F280" s="38">
        <f t="shared" si="105"/>
        <v>302.2</v>
      </c>
      <c r="G280" s="535">
        <f t="shared" si="102"/>
        <v>0.95936507936507931</v>
      </c>
    </row>
    <row r="281" spans="1:7" s="188" customFormat="1" x14ac:dyDescent="0.25">
      <c r="A281" s="297" t="s">
        <v>123</v>
      </c>
      <c r="B281" s="33" t="s">
        <v>387</v>
      </c>
      <c r="C281" s="309">
        <v>200</v>
      </c>
      <c r="D281" s="38">
        <f t="shared" si="105"/>
        <v>273</v>
      </c>
      <c r="E281" s="38">
        <f t="shared" si="105"/>
        <v>315</v>
      </c>
      <c r="F281" s="38">
        <f t="shared" si="105"/>
        <v>302.2</v>
      </c>
      <c r="G281" s="535">
        <f t="shared" si="102"/>
        <v>0.95936507936507931</v>
      </c>
    </row>
    <row r="282" spans="1:7" s="188" customFormat="1" x14ac:dyDescent="0.25">
      <c r="A282" s="297" t="s">
        <v>54</v>
      </c>
      <c r="B282" s="33" t="s">
        <v>387</v>
      </c>
      <c r="C282" s="309">
        <v>240</v>
      </c>
      <c r="D282" s="38">
        <f>'Функц. 2023-2025'!F402</f>
        <v>273</v>
      </c>
      <c r="E282" s="38">
        <f>'Функц. 2023-2025'!H402</f>
        <v>315</v>
      </c>
      <c r="F282" s="38">
        <f>'Функц. 2023-2025'!J402</f>
        <v>302.2</v>
      </c>
      <c r="G282" s="535">
        <f t="shared" si="102"/>
        <v>0.95936507936507931</v>
      </c>
    </row>
    <row r="283" spans="1:7" s="141" customFormat="1" ht="32.450000000000003" customHeight="1" x14ac:dyDescent="0.25">
      <c r="A283" s="299" t="s">
        <v>715</v>
      </c>
      <c r="B283" s="163" t="s">
        <v>110</v>
      </c>
      <c r="C283" s="317"/>
      <c r="D283" s="34">
        <f>D288+D284</f>
        <v>2029.5000000000002</v>
      </c>
      <c r="E283" s="34">
        <f t="shared" ref="E283:F283" si="106">E288+E284</f>
        <v>2029.5000000000002</v>
      </c>
      <c r="F283" s="34">
        <f t="shared" si="106"/>
        <v>1621.1</v>
      </c>
      <c r="G283" s="535">
        <f t="shared" si="102"/>
        <v>0.79876816949987672</v>
      </c>
    </row>
    <row r="284" spans="1:7" s="141" customFormat="1" ht="31.5" x14ac:dyDescent="0.25">
      <c r="A284" s="284" t="s">
        <v>705</v>
      </c>
      <c r="B284" s="163" t="s">
        <v>706</v>
      </c>
      <c r="C284" s="317"/>
      <c r="D284" s="34">
        <f>D285</f>
        <v>1689.5000000000002</v>
      </c>
      <c r="E284" s="34">
        <f t="shared" ref="E284:F284" si="107">E285</f>
        <v>1689.5000000000002</v>
      </c>
      <c r="F284" s="34">
        <f t="shared" si="107"/>
        <v>1621.1</v>
      </c>
      <c r="G284" s="535">
        <f t="shared" si="102"/>
        <v>0.95951464930452779</v>
      </c>
    </row>
    <row r="285" spans="1:7" s="141" customFormat="1" x14ac:dyDescent="0.25">
      <c r="A285" s="284" t="s">
        <v>707</v>
      </c>
      <c r="B285" s="163" t="s">
        <v>708</v>
      </c>
      <c r="C285" s="317"/>
      <c r="D285" s="34">
        <f>D286</f>
        <v>1689.5000000000002</v>
      </c>
      <c r="E285" s="34">
        <f t="shared" ref="E285:F285" si="108">E286</f>
        <v>1689.5000000000002</v>
      </c>
      <c r="F285" s="34">
        <f t="shared" si="108"/>
        <v>1621.1</v>
      </c>
      <c r="G285" s="535">
        <f t="shared" si="102"/>
        <v>0.95951464930452779</v>
      </c>
    </row>
    <row r="286" spans="1:7" s="141" customFormat="1" x14ac:dyDescent="0.25">
      <c r="A286" s="278" t="s">
        <v>123</v>
      </c>
      <c r="B286" s="163" t="s">
        <v>708</v>
      </c>
      <c r="C286" s="317" t="s">
        <v>39</v>
      </c>
      <c r="D286" s="34">
        <f>D287</f>
        <v>1689.5000000000002</v>
      </c>
      <c r="E286" s="34">
        <f t="shared" ref="E286:F286" si="109">E287</f>
        <v>1689.5000000000002</v>
      </c>
      <c r="F286" s="34">
        <f t="shared" si="109"/>
        <v>1621.1</v>
      </c>
      <c r="G286" s="535">
        <f t="shared" si="102"/>
        <v>0.95951464930452779</v>
      </c>
    </row>
    <row r="287" spans="1:7" s="141" customFormat="1" x14ac:dyDescent="0.25">
      <c r="A287" s="278" t="s">
        <v>54</v>
      </c>
      <c r="B287" s="163" t="s">
        <v>708</v>
      </c>
      <c r="C287" s="317" t="s">
        <v>67</v>
      </c>
      <c r="D287" s="34">
        <f>'ведом. 2023-2025'!AD201</f>
        <v>1689.5000000000002</v>
      </c>
      <c r="E287" s="34">
        <f>'Функц. 2023-2025'!H283</f>
        <v>1689.5000000000002</v>
      </c>
      <c r="F287" s="34">
        <f>'Функц. 2023-2025'!J283</f>
        <v>1621.1</v>
      </c>
      <c r="G287" s="535">
        <f t="shared" si="102"/>
        <v>0.95951464930452779</v>
      </c>
    </row>
    <row r="288" spans="1:7" s="141" customFormat="1" ht="31.5" x14ac:dyDescent="0.25">
      <c r="A288" s="301" t="s">
        <v>651</v>
      </c>
      <c r="B288" s="163" t="s">
        <v>176</v>
      </c>
      <c r="C288" s="317"/>
      <c r="D288" s="34">
        <f>D289</f>
        <v>340</v>
      </c>
      <c r="E288" s="34">
        <f>E289</f>
        <v>340</v>
      </c>
      <c r="F288" s="34">
        <f>F289</f>
        <v>0</v>
      </c>
      <c r="G288" s="535">
        <f t="shared" si="102"/>
        <v>0</v>
      </c>
    </row>
    <row r="289" spans="1:7" s="141" customFormat="1" ht="31.5" x14ac:dyDescent="0.25">
      <c r="A289" s="301" t="s">
        <v>175</v>
      </c>
      <c r="B289" s="163" t="s">
        <v>650</v>
      </c>
      <c r="C289" s="317"/>
      <c r="D289" s="34">
        <f>D290</f>
        <v>340</v>
      </c>
      <c r="E289" s="34">
        <f t="shared" ref="D289:F290" si="110">E290</f>
        <v>340</v>
      </c>
      <c r="F289" s="34">
        <f t="shared" si="110"/>
        <v>0</v>
      </c>
      <c r="G289" s="535">
        <f t="shared" si="102"/>
        <v>0</v>
      </c>
    </row>
    <row r="290" spans="1:7" s="141" customFormat="1" x14ac:dyDescent="0.25">
      <c r="A290" s="433" t="s">
        <v>123</v>
      </c>
      <c r="B290" s="163" t="s">
        <v>650</v>
      </c>
      <c r="C290" s="318" t="s">
        <v>39</v>
      </c>
      <c r="D290" s="34">
        <f t="shared" si="110"/>
        <v>340</v>
      </c>
      <c r="E290" s="34">
        <f t="shared" si="110"/>
        <v>340</v>
      </c>
      <c r="F290" s="34">
        <f t="shared" si="110"/>
        <v>0</v>
      </c>
      <c r="G290" s="535">
        <f t="shared" si="102"/>
        <v>0</v>
      </c>
    </row>
    <row r="291" spans="1:7" s="141" customFormat="1" x14ac:dyDescent="0.25">
      <c r="A291" s="433" t="s">
        <v>54</v>
      </c>
      <c r="B291" s="163" t="s">
        <v>650</v>
      </c>
      <c r="C291" s="318" t="s">
        <v>67</v>
      </c>
      <c r="D291" s="34">
        <f>'Функц. 2023-2025'!F287</f>
        <v>340</v>
      </c>
      <c r="E291" s="34">
        <f>'Функц. 2023-2025'!H287</f>
        <v>340</v>
      </c>
      <c r="F291" s="34">
        <f>'Функц. 2023-2025'!J287</f>
        <v>0</v>
      </c>
      <c r="G291" s="535">
        <f t="shared" si="102"/>
        <v>0</v>
      </c>
    </row>
    <row r="292" spans="1:7" s="141" customFormat="1" ht="31.5" x14ac:dyDescent="0.25">
      <c r="A292" s="299" t="s">
        <v>681</v>
      </c>
      <c r="B292" s="163" t="s">
        <v>106</v>
      </c>
      <c r="C292" s="311"/>
      <c r="D292" s="34">
        <f>D293+D297</f>
        <v>1201.5</v>
      </c>
      <c r="E292" s="34">
        <f t="shared" ref="E292:F292" si="111">E293+E297</f>
        <v>1201.5</v>
      </c>
      <c r="F292" s="34">
        <f t="shared" si="111"/>
        <v>1136.9000000000001</v>
      </c>
      <c r="G292" s="535">
        <f t="shared" si="102"/>
        <v>0.94623387432376205</v>
      </c>
    </row>
    <row r="293" spans="1:7" s="141" customFormat="1" ht="63" x14ac:dyDescent="0.25">
      <c r="A293" s="301" t="s">
        <v>683</v>
      </c>
      <c r="B293" s="163" t="s">
        <v>126</v>
      </c>
      <c r="C293" s="311"/>
      <c r="D293" s="34">
        <f t="shared" ref="D293:F295" si="112">D294</f>
        <v>821.5</v>
      </c>
      <c r="E293" s="34">
        <f t="shared" si="112"/>
        <v>821.5</v>
      </c>
      <c r="F293" s="34">
        <f t="shared" si="112"/>
        <v>756.9</v>
      </c>
      <c r="G293" s="535">
        <f t="shared" si="102"/>
        <v>0.92136335970785144</v>
      </c>
    </row>
    <row r="294" spans="1:7" s="141" customFormat="1" ht="31.5" x14ac:dyDescent="0.25">
      <c r="A294" s="301" t="s">
        <v>180</v>
      </c>
      <c r="B294" s="163" t="s">
        <v>181</v>
      </c>
      <c r="C294" s="311"/>
      <c r="D294" s="34">
        <f t="shared" si="112"/>
        <v>821.5</v>
      </c>
      <c r="E294" s="34">
        <f t="shared" si="112"/>
        <v>821.5</v>
      </c>
      <c r="F294" s="34">
        <f t="shared" si="112"/>
        <v>756.9</v>
      </c>
      <c r="G294" s="535">
        <f t="shared" si="102"/>
        <v>0.92136335970785144</v>
      </c>
    </row>
    <row r="295" spans="1:7" s="141" customFormat="1" x14ac:dyDescent="0.25">
      <c r="A295" s="297" t="s">
        <v>123</v>
      </c>
      <c r="B295" s="163" t="s">
        <v>181</v>
      </c>
      <c r="C295" s="311">
        <v>200</v>
      </c>
      <c r="D295" s="34">
        <f t="shared" si="112"/>
        <v>821.5</v>
      </c>
      <c r="E295" s="34">
        <f t="shared" si="112"/>
        <v>821.5</v>
      </c>
      <c r="F295" s="34">
        <f t="shared" si="112"/>
        <v>756.9</v>
      </c>
      <c r="G295" s="535">
        <f t="shared" si="102"/>
        <v>0.92136335970785144</v>
      </c>
    </row>
    <row r="296" spans="1:7" s="141" customFormat="1" x14ac:dyDescent="0.25">
      <c r="A296" s="297" t="s">
        <v>54</v>
      </c>
      <c r="B296" s="163" t="s">
        <v>181</v>
      </c>
      <c r="C296" s="311">
        <v>240</v>
      </c>
      <c r="D296" s="34">
        <f>'Функц. 2023-2025'!F272</f>
        <v>821.5</v>
      </c>
      <c r="E296" s="34">
        <f>'Функц. 2023-2025'!H272</f>
        <v>821.5</v>
      </c>
      <c r="F296" s="34">
        <f>'Функц. 2023-2025'!J272</f>
        <v>756.9</v>
      </c>
      <c r="G296" s="535">
        <f t="shared" si="102"/>
        <v>0.92136335970785144</v>
      </c>
    </row>
    <row r="297" spans="1:7" s="141" customFormat="1" ht="47.25" x14ac:dyDescent="0.25">
      <c r="A297" s="282" t="s">
        <v>653</v>
      </c>
      <c r="B297" s="163" t="s">
        <v>652</v>
      </c>
      <c r="C297" s="317"/>
      <c r="D297" s="34">
        <f>D298</f>
        <v>380</v>
      </c>
      <c r="E297" s="34">
        <f t="shared" ref="E297:F298" si="113">E298</f>
        <v>380</v>
      </c>
      <c r="F297" s="34">
        <f t="shared" si="113"/>
        <v>380</v>
      </c>
      <c r="G297" s="535">
        <f t="shared" si="102"/>
        <v>1</v>
      </c>
    </row>
    <row r="298" spans="1:7" s="141" customFormat="1" ht="31.5" x14ac:dyDescent="0.25">
      <c r="A298" s="283" t="s">
        <v>654</v>
      </c>
      <c r="B298" s="163" t="s">
        <v>655</v>
      </c>
      <c r="C298" s="317"/>
      <c r="D298" s="34">
        <f>D299</f>
        <v>380</v>
      </c>
      <c r="E298" s="34">
        <f t="shared" si="113"/>
        <v>380</v>
      </c>
      <c r="F298" s="34">
        <f t="shared" si="113"/>
        <v>380</v>
      </c>
      <c r="G298" s="535">
        <f t="shared" si="102"/>
        <v>1</v>
      </c>
    </row>
    <row r="299" spans="1:7" s="141" customFormat="1" x14ac:dyDescent="0.25">
      <c r="A299" s="278" t="s">
        <v>123</v>
      </c>
      <c r="B299" s="163" t="s">
        <v>655</v>
      </c>
      <c r="C299" s="317" t="s">
        <v>39</v>
      </c>
      <c r="D299" s="34">
        <f>D300</f>
        <v>380</v>
      </c>
      <c r="E299" s="34">
        <f t="shared" ref="E299:F299" si="114">E300</f>
        <v>380</v>
      </c>
      <c r="F299" s="34">
        <f t="shared" si="114"/>
        <v>380</v>
      </c>
      <c r="G299" s="535">
        <f t="shared" si="102"/>
        <v>1</v>
      </c>
    </row>
    <row r="300" spans="1:7" s="141" customFormat="1" x14ac:dyDescent="0.25">
      <c r="A300" s="278" t="s">
        <v>54</v>
      </c>
      <c r="B300" s="163" t="s">
        <v>655</v>
      </c>
      <c r="C300" s="317" t="s">
        <v>67</v>
      </c>
      <c r="D300" s="34">
        <f>'Функц. 2023-2025'!F276</f>
        <v>380</v>
      </c>
      <c r="E300" s="34">
        <f>'Функц. 2023-2025'!H276</f>
        <v>380</v>
      </c>
      <c r="F300" s="34">
        <f>'Функц. 2023-2025'!J276</f>
        <v>380</v>
      </c>
      <c r="G300" s="535">
        <f t="shared" si="102"/>
        <v>1</v>
      </c>
    </row>
    <row r="301" spans="1:7" s="141" customFormat="1" ht="31.5" x14ac:dyDescent="0.25">
      <c r="A301" s="280" t="s">
        <v>385</v>
      </c>
      <c r="B301" s="163" t="s">
        <v>107</v>
      </c>
      <c r="C301" s="309"/>
      <c r="D301" s="34">
        <f t="shared" ref="D301:F304" si="115">D302</f>
        <v>1665.1999999999998</v>
      </c>
      <c r="E301" s="34">
        <f t="shared" si="115"/>
        <v>12079.199999999999</v>
      </c>
      <c r="F301" s="34">
        <f t="shared" si="115"/>
        <v>1643</v>
      </c>
      <c r="G301" s="535">
        <f t="shared" si="102"/>
        <v>0.13601894165176504</v>
      </c>
    </row>
    <row r="302" spans="1:7" s="141" customFormat="1" ht="31.5" x14ac:dyDescent="0.25">
      <c r="A302" s="301" t="s">
        <v>656</v>
      </c>
      <c r="B302" s="163" t="s">
        <v>127</v>
      </c>
      <c r="C302" s="317"/>
      <c r="D302" s="34">
        <f t="shared" si="115"/>
        <v>1665.1999999999998</v>
      </c>
      <c r="E302" s="34">
        <f t="shared" si="115"/>
        <v>12079.199999999999</v>
      </c>
      <c r="F302" s="34">
        <f t="shared" si="115"/>
        <v>1643</v>
      </c>
      <c r="G302" s="535">
        <f t="shared" si="102"/>
        <v>0.13601894165176504</v>
      </c>
    </row>
    <row r="303" spans="1:7" s="141" customFormat="1" x14ac:dyDescent="0.25">
      <c r="A303" s="297" t="s">
        <v>178</v>
      </c>
      <c r="B303" s="163" t="s">
        <v>179</v>
      </c>
      <c r="C303" s="309"/>
      <c r="D303" s="34">
        <f>D304+D306</f>
        <v>1665.1999999999998</v>
      </c>
      <c r="E303" s="34">
        <f t="shared" ref="E303:F303" si="116">E304+E306</f>
        <v>12079.199999999999</v>
      </c>
      <c r="F303" s="34">
        <f t="shared" si="116"/>
        <v>1643</v>
      </c>
      <c r="G303" s="535">
        <f t="shared" si="102"/>
        <v>0.13601894165176504</v>
      </c>
    </row>
    <row r="304" spans="1:7" s="141" customFormat="1" x14ac:dyDescent="0.25">
      <c r="A304" s="297" t="s">
        <v>123</v>
      </c>
      <c r="B304" s="163" t="s">
        <v>179</v>
      </c>
      <c r="C304" s="317" t="s">
        <v>39</v>
      </c>
      <c r="D304" s="34">
        <f t="shared" si="115"/>
        <v>1378.8999999999999</v>
      </c>
      <c r="E304" s="34">
        <f t="shared" si="115"/>
        <v>1378.8999999999999</v>
      </c>
      <c r="F304" s="34">
        <f t="shared" si="115"/>
        <v>1370.5</v>
      </c>
      <c r="G304" s="535">
        <f t="shared" si="102"/>
        <v>0.99390818768583666</v>
      </c>
    </row>
    <row r="305" spans="1:7" s="141" customFormat="1" x14ac:dyDescent="0.25">
      <c r="A305" s="297" t="s">
        <v>54</v>
      </c>
      <c r="B305" s="163" t="s">
        <v>179</v>
      </c>
      <c r="C305" s="317" t="s">
        <v>67</v>
      </c>
      <c r="D305" s="34">
        <f>'Функц. 2023-2025'!F292</f>
        <v>1378.8999999999999</v>
      </c>
      <c r="E305" s="34">
        <f>'Функц. 2023-2025'!H292</f>
        <v>1378.8999999999999</v>
      </c>
      <c r="F305" s="34">
        <f>'Функц. 2023-2025'!J292</f>
        <v>1370.5</v>
      </c>
      <c r="G305" s="535">
        <f t="shared" si="102"/>
        <v>0.99390818768583666</v>
      </c>
    </row>
    <row r="306" spans="1:7" s="141" customFormat="1" ht="31.5" x14ac:dyDescent="0.25">
      <c r="A306" s="278" t="s">
        <v>62</v>
      </c>
      <c r="B306" s="163" t="s">
        <v>179</v>
      </c>
      <c r="C306" s="317" t="s">
        <v>422</v>
      </c>
      <c r="D306" s="34">
        <f>D307</f>
        <v>286.3</v>
      </c>
      <c r="E306" s="34">
        <f t="shared" ref="E306:F306" si="117">E307</f>
        <v>10700.3</v>
      </c>
      <c r="F306" s="34">
        <f t="shared" si="117"/>
        <v>272.5</v>
      </c>
      <c r="G306" s="535">
        <f t="shared" si="102"/>
        <v>2.5466575703484949E-2</v>
      </c>
    </row>
    <row r="307" spans="1:7" s="141" customFormat="1" x14ac:dyDescent="0.25">
      <c r="A307" s="278" t="s">
        <v>63</v>
      </c>
      <c r="B307" s="163" t="s">
        <v>179</v>
      </c>
      <c r="C307" s="317" t="s">
        <v>423</v>
      </c>
      <c r="D307" s="34">
        <f>'Функц. 2023-2025'!F294+'Функц. 2023-2025'!F815</f>
        <v>286.3</v>
      </c>
      <c r="E307" s="34">
        <f>'Функц. 2023-2025'!H294+'Функц. 2023-2025'!H660+'Функц. 2023-2025'!H815</f>
        <v>10700.3</v>
      </c>
      <c r="F307" s="34">
        <f>'Функц. 2023-2025'!J294+'Функц. 2023-2025'!J815</f>
        <v>272.5</v>
      </c>
      <c r="G307" s="535">
        <f t="shared" si="102"/>
        <v>2.5466575703484949E-2</v>
      </c>
    </row>
    <row r="308" spans="1:7" s="141" customFormat="1" ht="31.5" x14ac:dyDescent="0.25">
      <c r="A308" s="278" t="s">
        <v>657</v>
      </c>
      <c r="B308" s="163" t="s">
        <v>111</v>
      </c>
      <c r="C308" s="317"/>
      <c r="D308" s="34">
        <f>D309</f>
        <v>655.5</v>
      </c>
      <c r="E308" s="34">
        <f t="shared" ref="E308:E309" si="118">E309</f>
        <v>655.5</v>
      </c>
      <c r="F308" s="34">
        <f t="shared" ref="F308:F309" si="119">F309</f>
        <v>655.29999999999995</v>
      </c>
      <c r="G308" s="535">
        <f t="shared" si="102"/>
        <v>0.99969488939740647</v>
      </c>
    </row>
    <row r="309" spans="1:7" s="141" customFormat="1" ht="31.5" x14ac:dyDescent="0.25">
      <c r="A309" s="278" t="s">
        <v>658</v>
      </c>
      <c r="B309" s="163" t="s">
        <v>659</v>
      </c>
      <c r="C309" s="317"/>
      <c r="D309" s="34">
        <f>D310</f>
        <v>655.5</v>
      </c>
      <c r="E309" s="34">
        <f t="shared" si="118"/>
        <v>655.5</v>
      </c>
      <c r="F309" s="34">
        <f t="shared" si="119"/>
        <v>655.29999999999995</v>
      </c>
      <c r="G309" s="535">
        <f t="shared" si="102"/>
        <v>0.99969488939740647</v>
      </c>
    </row>
    <row r="310" spans="1:7" s="141" customFormat="1" ht="31.5" x14ac:dyDescent="0.25">
      <c r="A310" s="278" t="s">
        <v>177</v>
      </c>
      <c r="B310" s="163" t="s">
        <v>660</v>
      </c>
      <c r="C310" s="317"/>
      <c r="D310" s="34">
        <f>D311+D313</f>
        <v>655.5</v>
      </c>
      <c r="E310" s="34">
        <f t="shared" ref="E310" si="120">E311+E313</f>
        <v>655.5</v>
      </c>
      <c r="F310" s="34">
        <f t="shared" ref="F310" si="121">F311+F313</f>
        <v>655.29999999999995</v>
      </c>
      <c r="G310" s="535">
        <f t="shared" si="102"/>
        <v>0.99969488939740647</v>
      </c>
    </row>
    <row r="311" spans="1:7" s="141" customFormat="1" x14ac:dyDescent="0.25">
      <c r="A311" s="278" t="s">
        <v>123</v>
      </c>
      <c r="B311" s="163" t="s">
        <v>660</v>
      </c>
      <c r="C311" s="317" t="s">
        <v>39</v>
      </c>
      <c r="D311" s="34">
        <f>D312</f>
        <v>10</v>
      </c>
      <c r="E311" s="34">
        <f t="shared" ref="E311" si="122">E312</f>
        <v>10</v>
      </c>
      <c r="F311" s="34">
        <f t="shared" ref="F311" si="123">F312</f>
        <v>9.8000000000000007</v>
      </c>
      <c r="G311" s="535">
        <f t="shared" si="102"/>
        <v>0.98000000000000009</v>
      </c>
    </row>
    <row r="312" spans="1:7" s="141" customFormat="1" x14ac:dyDescent="0.25">
      <c r="A312" s="278" t="s">
        <v>54</v>
      </c>
      <c r="B312" s="163" t="s">
        <v>660</v>
      </c>
      <c r="C312" s="317" t="s">
        <v>67</v>
      </c>
      <c r="D312" s="34">
        <f>'Функц. 2023-2025'!F299</f>
        <v>10</v>
      </c>
      <c r="E312" s="34">
        <f>'Функц. 2023-2025'!H299</f>
        <v>10</v>
      </c>
      <c r="F312" s="34">
        <f>'Функц. 2023-2025'!J299</f>
        <v>9.8000000000000007</v>
      </c>
      <c r="G312" s="535">
        <f t="shared" si="102"/>
        <v>0.98000000000000009</v>
      </c>
    </row>
    <row r="313" spans="1:7" s="141" customFormat="1" ht="31.5" x14ac:dyDescent="0.25">
      <c r="A313" s="278" t="s">
        <v>62</v>
      </c>
      <c r="B313" s="163" t="s">
        <v>660</v>
      </c>
      <c r="C313" s="317" t="s">
        <v>422</v>
      </c>
      <c r="D313" s="34">
        <f>D314</f>
        <v>645.5</v>
      </c>
      <c r="E313" s="34">
        <f t="shared" ref="E313" si="124">E314</f>
        <v>645.5</v>
      </c>
      <c r="F313" s="34">
        <f t="shared" ref="F313" si="125">F314</f>
        <v>645.5</v>
      </c>
      <c r="G313" s="535">
        <f t="shared" si="102"/>
        <v>1</v>
      </c>
    </row>
    <row r="314" spans="1:7" s="141" customFormat="1" x14ac:dyDescent="0.25">
      <c r="A314" s="278" t="s">
        <v>63</v>
      </c>
      <c r="B314" s="163" t="s">
        <v>660</v>
      </c>
      <c r="C314" s="317" t="s">
        <v>423</v>
      </c>
      <c r="D314" s="34">
        <f>'Функц. 2023-2025'!F301</f>
        <v>645.5</v>
      </c>
      <c r="E314" s="34">
        <f>'Функц. 2023-2025'!H301</f>
        <v>645.5</v>
      </c>
      <c r="F314" s="34">
        <f>'Функц. 2023-2025'!J301</f>
        <v>645.5</v>
      </c>
      <c r="G314" s="535">
        <f t="shared" si="102"/>
        <v>1</v>
      </c>
    </row>
    <row r="315" spans="1:7" s="141" customFormat="1" x14ac:dyDescent="0.25">
      <c r="A315" s="301" t="s">
        <v>50</v>
      </c>
      <c r="B315" s="163" t="s">
        <v>108</v>
      </c>
      <c r="C315" s="317"/>
      <c r="D315" s="34">
        <f>D316</f>
        <v>21345.100000000002</v>
      </c>
      <c r="E315" s="34">
        <f t="shared" ref="E315:F316" si="126">E316</f>
        <v>21345.100000000002</v>
      </c>
      <c r="F315" s="34">
        <f t="shared" si="126"/>
        <v>21341.8</v>
      </c>
      <c r="G315" s="535">
        <f t="shared" si="102"/>
        <v>0.9998453977727908</v>
      </c>
    </row>
    <row r="316" spans="1:7" s="141" customFormat="1" ht="31.5" x14ac:dyDescent="0.25">
      <c r="A316" s="301" t="s">
        <v>287</v>
      </c>
      <c r="B316" s="163" t="s">
        <v>378</v>
      </c>
      <c r="C316" s="317"/>
      <c r="D316" s="34">
        <f>D317</f>
        <v>21345.100000000002</v>
      </c>
      <c r="E316" s="34">
        <f t="shared" si="126"/>
        <v>21345.100000000002</v>
      </c>
      <c r="F316" s="34">
        <f t="shared" si="126"/>
        <v>21341.8</v>
      </c>
      <c r="G316" s="535">
        <f t="shared" si="102"/>
        <v>0.9998453977727908</v>
      </c>
    </row>
    <row r="317" spans="1:7" s="141" customFormat="1" x14ac:dyDescent="0.25">
      <c r="A317" s="301" t="s">
        <v>182</v>
      </c>
      <c r="B317" s="163" t="s">
        <v>183</v>
      </c>
      <c r="C317" s="317"/>
      <c r="D317" s="34">
        <f>D318+D320</f>
        <v>21345.100000000002</v>
      </c>
      <c r="E317" s="34">
        <f t="shared" ref="E317:F317" si="127">E318+E320</f>
        <v>21345.100000000002</v>
      </c>
      <c r="F317" s="34">
        <f t="shared" si="127"/>
        <v>21341.8</v>
      </c>
      <c r="G317" s="535">
        <f t="shared" si="102"/>
        <v>0.9998453977727908</v>
      </c>
    </row>
    <row r="318" spans="1:7" s="141" customFormat="1" ht="47.25" x14ac:dyDescent="0.25">
      <c r="A318" s="297" t="s">
        <v>154</v>
      </c>
      <c r="B318" s="163" t="s">
        <v>183</v>
      </c>
      <c r="C318" s="317" t="s">
        <v>129</v>
      </c>
      <c r="D318" s="34">
        <f>D319</f>
        <v>21344.100000000002</v>
      </c>
      <c r="E318" s="34">
        <f>E319</f>
        <v>21344.100000000002</v>
      </c>
      <c r="F318" s="34">
        <f>F319</f>
        <v>21340.799999999999</v>
      </c>
      <c r="G318" s="535">
        <f t="shared" si="102"/>
        <v>0.99984539052946697</v>
      </c>
    </row>
    <row r="319" spans="1:7" s="141" customFormat="1" x14ac:dyDescent="0.25">
      <c r="A319" s="297" t="s">
        <v>70</v>
      </c>
      <c r="B319" s="163" t="s">
        <v>183</v>
      </c>
      <c r="C319" s="317" t="s">
        <v>130</v>
      </c>
      <c r="D319" s="34">
        <f>'Функц. 2023-2025'!F306</f>
        <v>21344.100000000002</v>
      </c>
      <c r="E319" s="34">
        <f>'Функц. 2023-2025'!H306</f>
        <v>21344.100000000002</v>
      </c>
      <c r="F319" s="34">
        <f>'Функц. 2023-2025'!J306</f>
        <v>21340.799999999999</v>
      </c>
      <c r="G319" s="535">
        <f t="shared" si="102"/>
        <v>0.99984539052946697</v>
      </c>
    </row>
    <row r="320" spans="1:7" s="141" customFormat="1" x14ac:dyDescent="0.25">
      <c r="A320" s="278" t="s">
        <v>44</v>
      </c>
      <c r="B320" s="163" t="s">
        <v>183</v>
      </c>
      <c r="C320" s="317" t="s">
        <v>373</v>
      </c>
      <c r="D320" s="34">
        <f>D321</f>
        <v>1</v>
      </c>
      <c r="E320" s="34">
        <f t="shared" ref="E320:F320" si="128">E321</f>
        <v>1</v>
      </c>
      <c r="F320" s="34">
        <f t="shared" si="128"/>
        <v>1</v>
      </c>
      <c r="G320" s="535">
        <f t="shared" si="102"/>
        <v>1</v>
      </c>
    </row>
    <row r="321" spans="1:7" s="141" customFormat="1" x14ac:dyDescent="0.25">
      <c r="A321" s="278" t="s">
        <v>60</v>
      </c>
      <c r="B321" s="163" t="s">
        <v>183</v>
      </c>
      <c r="C321" s="317" t="s">
        <v>472</v>
      </c>
      <c r="D321" s="34">
        <f>'Функц. 2023-2025'!F308</f>
        <v>1</v>
      </c>
      <c r="E321" s="34">
        <f>'Функц. 2023-2025'!H308</f>
        <v>1</v>
      </c>
      <c r="F321" s="34">
        <f>'Функц. 2023-2025'!J307</f>
        <v>1</v>
      </c>
      <c r="G321" s="535">
        <f t="shared" si="102"/>
        <v>1</v>
      </c>
    </row>
    <row r="322" spans="1:7" s="141" customFormat="1" x14ac:dyDescent="0.25">
      <c r="A322" s="435" t="s">
        <v>187</v>
      </c>
      <c r="B322" s="446" t="s">
        <v>119</v>
      </c>
      <c r="C322" s="314"/>
      <c r="D322" s="37">
        <f>D323+D328</f>
        <v>47560.5</v>
      </c>
      <c r="E322" s="37">
        <f t="shared" ref="E322:F322" si="129">E323+E328</f>
        <v>46800.5</v>
      </c>
      <c r="F322" s="37">
        <f t="shared" si="129"/>
        <v>46799.6</v>
      </c>
      <c r="G322" s="536">
        <f t="shared" si="102"/>
        <v>0.99998076943622394</v>
      </c>
    </row>
    <row r="323" spans="1:7" x14ac:dyDescent="0.25">
      <c r="A323" s="299" t="s">
        <v>186</v>
      </c>
      <c r="B323" s="163" t="s">
        <v>147</v>
      </c>
      <c r="C323" s="309"/>
      <c r="D323" s="34">
        <f>D324</f>
        <v>8611.5</v>
      </c>
      <c r="E323" s="34">
        <f>E324</f>
        <v>8611.5</v>
      </c>
      <c r="F323" s="34">
        <f>F324</f>
        <v>8611.4</v>
      </c>
      <c r="G323" s="535">
        <f t="shared" si="102"/>
        <v>0.99998838762120412</v>
      </c>
    </row>
    <row r="324" spans="1:7" ht="47.25" x14ac:dyDescent="0.25">
      <c r="A324" s="299" t="s">
        <v>468</v>
      </c>
      <c r="B324" s="163" t="s">
        <v>146</v>
      </c>
      <c r="C324" s="309"/>
      <c r="D324" s="34">
        <f>D325</f>
        <v>8611.5</v>
      </c>
      <c r="E324" s="34">
        <f t="shared" ref="E324:F324" si="130">E325</f>
        <v>8611.5</v>
      </c>
      <c r="F324" s="34">
        <f t="shared" si="130"/>
        <v>8611.4</v>
      </c>
      <c r="G324" s="535">
        <f t="shared" si="102"/>
        <v>0.99998838762120412</v>
      </c>
    </row>
    <row r="325" spans="1:7" x14ac:dyDescent="0.25">
      <c r="A325" s="299" t="s">
        <v>184</v>
      </c>
      <c r="B325" s="163" t="s">
        <v>185</v>
      </c>
      <c r="C325" s="309"/>
      <c r="D325" s="34">
        <f t="shared" ref="D325:F326" si="131">D326</f>
        <v>8611.5</v>
      </c>
      <c r="E325" s="34">
        <f t="shared" si="131"/>
        <v>8611.5</v>
      </c>
      <c r="F325" s="34">
        <f t="shared" si="131"/>
        <v>8611.4</v>
      </c>
      <c r="G325" s="535">
        <f t="shared" si="102"/>
        <v>0.99998838762120412</v>
      </c>
    </row>
    <row r="326" spans="1:7" x14ac:dyDescent="0.25">
      <c r="A326" s="297" t="s">
        <v>100</v>
      </c>
      <c r="B326" s="163" t="s">
        <v>185</v>
      </c>
      <c r="C326" s="309">
        <v>300</v>
      </c>
      <c r="D326" s="34">
        <f t="shared" si="131"/>
        <v>8611.5</v>
      </c>
      <c r="E326" s="34">
        <f t="shared" si="131"/>
        <v>8611.5</v>
      </c>
      <c r="F326" s="34">
        <f t="shared" si="131"/>
        <v>8611.4</v>
      </c>
      <c r="G326" s="535">
        <f t="shared" si="102"/>
        <v>0.99998838762120412</v>
      </c>
    </row>
    <row r="327" spans="1:7" x14ac:dyDescent="0.25">
      <c r="A327" s="297" t="s">
        <v>25</v>
      </c>
      <c r="B327" s="163" t="s">
        <v>185</v>
      </c>
      <c r="C327" s="309">
        <v>320</v>
      </c>
      <c r="D327" s="34">
        <f>'Функц. 2023-2025'!F850</f>
        <v>8611.5</v>
      </c>
      <c r="E327" s="34">
        <f>'Функц. 2023-2025'!H850</f>
        <v>8611.5</v>
      </c>
      <c r="F327" s="34">
        <f>'Функц. 2023-2025'!J850</f>
        <v>8611.4</v>
      </c>
      <c r="G327" s="535">
        <f t="shared" si="102"/>
        <v>0.99998838762120412</v>
      </c>
    </row>
    <row r="328" spans="1:7" ht="31.5" x14ac:dyDescent="0.25">
      <c r="A328" s="402" t="s">
        <v>493</v>
      </c>
      <c r="B328" s="163" t="s">
        <v>150</v>
      </c>
      <c r="C328" s="319"/>
      <c r="D328" s="34">
        <f>D330</f>
        <v>38949</v>
      </c>
      <c r="E328" s="34">
        <f>E330</f>
        <v>38189</v>
      </c>
      <c r="F328" s="34">
        <f>F330</f>
        <v>38188.199999999997</v>
      </c>
      <c r="G328" s="535">
        <f t="shared" si="102"/>
        <v>0.99997905155934952</v>
      </c>
    </row>
    <row r="329" spans="1:7" ht="47.25" x14ac:dyDescent="0.25">
      <c r="A329" s="402" t="s">
        <v>494</v>
      </c>
      <c r="B329" s="163" t="s">
        <v>149</v>
      </c>
      <c r="C329" s="309"/>
      <c r="D329" s="34">
        <f>D330</f>
        <v>38949</v>
      </c>
      <c r="E329" s="34">
        <f>E330</f>
        <v>38189</v>
      </c>
      <c r="F329" s="34">
        <f>F330</f>
        <v>38188.199999999997</v>
      </c>
      <c r="G329" s="535">
        <f t="shared" si="102"/>
        <v>0.99997905155934952</v>
      </c>
    </row>
    <row r="330" spans="1:7" ht="47.25" x14ac:dyDescent="0.25">
      <c r="A330" s="299" t="s">
        <v>188</v>
      </c>
      <c r="B330" s="163" t="s">
        <v>148</v>
      </c>
      <c r="C330" s="309"/>
      <c r="D330" s="34">
        <f>D333+D331</f>
        <v>38949</v>
      </c>
      <c r="E330" s="34">
        <f t="shared" ref="E330:F330" si="132">E333+E331</f>
        <v>38189</v>
      </c>
      <c r="F330" s="34">
        <f t="shared" si="132"/>
        <v>38188.199999999997</v>
      </c>
      <c r="G330" s="535">
        <f t="shared" si="102"/>
        <v>0.99997905155934952</v>
      </c>
    </row>
    <row r="331" spans="1:7" s="188" customFormat="1" x14ac:dyDescent="0.25">
      <c r="A331" s="297" t="s">
        <v>100</v>
      </c>
      <c r="B331" s="304" t="s">
        <v>148</v>
      </c>
      <c r="C331" s="309">
        <v>300</v>
      </c>
      <c r="D331" s="34">
        <f>D332</f>
        <v>19637.2</v>
      </c>
      <c r="E331" s="34">
        <f t="shared" ref="E331:F331" si="133">E332</f>
        <v>19627.2</v>
      </c>
      <c r="F331" s="34">
        <f t="shared" si="133"/>
        <v>19627.2</v>
      </c>
      <c r="G331" s="535">
        <f t="shared" si="102"/>
        <v>1</v>
      </c>
    </row>
    <row r="332" spans="1:7" s="188" customFormat="1" x14ac:dyDescent="0.25">
      <c r="A332" s="297" t="s">
        <v>25</v>
      </c>
      <c r="B332" s="304" t="s">
        <v>148</v>
      </c>
      <c r="C332" s="309">
        <v>320</v>
      </c>
      <c r="D332" s="34">
        <f>'Функц. 2023-2025'!F855</f>
        <v>19637.2</v>
      </c>
      <c r="E332" s="34">
        <f>'Функц. 2023-2025'!H855</f>
        <v>19627.2</v>
      </c>
      <c r="F332" s="34">
        <f>'Функц. 2023-2025'!J855</f>
        <v>19627.2</v>
      </c>
      <c r="G332" s="535">
        <f t="shared" si="102"/>
        <v>1</v>
      </c>
    </row>
    <row r="333" spans="1:7" x14ac:dyDescent="0.25">
      <c r="A333" s="438" t="s">
        <v>24</v>
      </c>
      <c r="B333" s="304" t="s">
        <v>148</v>
      </c>
      <c r="C333" s="309">
        <v>400</v>
      </c>
      <c r="D333" s="34">
        <f t="shared" ref="D333:F333" si="134">D334</f>
        <v>19311.800000000003</v>
      </c>
      <c r="E333" s="34">
        <f t="shared" si="134"/>
        <v>18561.8</v>
      </c>
      <c r="F333" s="34">
        <f t="shared" si="134"/>
        <v>18561</v>
      </c>
      <c r="G333" s="535">
        <f t="shared" si="102"/>
        <v>0.99995690073161014</v>
      </c>
    </row>
    <row r="334" spans="1:7" x14ac:dyDescent="0.25">
      <c r="A334" s="297" t="s">
        <v>9</v>
      </c>
      <c r="B334" s="304" t="s">
        <v>148</v>
      </c>
      <c r="C334" s="309">
        <v>410</v>
      </c>
      <c r="D334" s="34">
        <f>'Функц. 2023-2025'!F857</f>
        <v>19311.800000000003</v>
      </c>
      <c r="E334" s="34">
        <f>'Функц. 2023-2025'!H857</f>
        <v>18561.8</v>
      </c>
      <c r="F334" s="34">
        <f>'Функц. 2023-2025'!J857</f>
        <v>18561</v>
      </c>
      <c r="G334" s="535">
        <f t="shared" ref="G334:G397" si="135">F334/E334</f>
        <v>0.99995690073161014</v>
      </c>
    </row>
    <row r="335" spans="1:7" s="141" customFormat="1" ht="31.5" x14ac:dyDescent="0.25">
      <c r="A335" s="435" t="s">
        <v>685</v>
      </c>
      <c r="B335" s="446" t="s">
        <v>114</v>
      </c>
      <c r="C335" s="309"/>
      <c r="D335" s="37">
        <f>D342+D351+D336</f>
        <v>671562</v>
      </c>
      <c r="E335" s="37">
        <f>E342+E351+E336</f>
        <v>671562</v>
      </c>
      <c r="F335" s="37">
        <f>F342+F351+F336</f>
        <v>641853.30000000005</v>
      </c>
      <c r="G335" s="536">
        <f t="shared" si="135"/>
        <v>0.95576179116745741</v>
      </c>
    </row>
    <row r="336" spans="1:7" s="141" customFormat="1" x14ac:dyDescent="0.25">
      <c r="A336" s="280" t="s">
        <v>687</v>
      </c>
      <c r="B336" s="163" t="s">
        <v>688</v>
      </c>
      <c r="C336" s="309"/>
      <c r="D336" s="34">
        <f>D337</f>
        <v>617831.5</v>
      </c>
      <c r="E336" s="34">
        <f t="shared" ref="E336:F340" si="136">E337</f>
        <v>617831.5</v>
      </c>
      <c r="F336" s="34">
        <f t="shared" si="136"/>
        <v>617831.5</v>
      </c>
      <c r="G336" s="535">
        <f t="shared" si="135"/>
        <v>1</v>
      </c>
    </row>
    <row r="337" spans="1:7" s="141" customFormat="1" x14ac:dyDescent="0.25">
      <c r="A337" s="281" t="s">
        <v>689</v>
      </c>
      <c r="B337" s="163" t="s">
        <v>690</v>
      </c>
      <c r="C337" s="317"/>
      <c r="D337" s="34">
        <f>D338</f>
        <v>617831.5</v>
      </c>
      <c r="E337" s="34">
        <f t="shared" si="136"/>
        <v>617831.5</v>
      </c>
      <c r="F337" s="34">
        <f t="shared" si="136"/>
        <v>617831.5</v>
      </c>
      <c r="G337" s="535">
        <f t="shared" si="135"/>
        <v>1</v>
      </c>
    </row>
    <row r="338" spans="1:7" s="141" customFormat="1" x14ac:dyDescent="0.25">
      <c r="A338" s="281" t="s">
        <v>691</v>
      </c>
      <c r="B338" s="163" t="s">
        <v>692</v>
      </c>
      <c r="C338" s="317"/>
      <c r="D338" s="34">
        <f>D339</f>
        <v>617831.5</v>
      </c>
      <c r="E338" s="34">
        <f t="shared" si="136"/>
        <v>617831.5</v>
      </c>
      <c r="F338" s="34">
        <f t="shared" si="136"/>
        <v>617831.5</v>
      </c>
      <c r="G338" s="535">
        <f t="shared" si="135"/>
        <v>1</v>
      </c>
    </row>
    <row r="339" spans="1:7" s="141" customFormat="1" ht="31.5" x14ac:dyDescent="0.25">
      <c r="A339" s="281" t="s">
        <v>693</v>
      </c>
      <c r="B339" s="163" t="s">
        <v>694</v>
      </c>
      <c r="C339" s="317"/>
      <c r="D339" s="34">
        <f>D340</f>
        <v>617831.5</v>
      </c>
      <c r="E339" s="34">
        <f t="shared" si="136"/>
        <v>617831.5</v>
      </c>
      <c r="F339" s="34">
        <f t="shared" si="136"/>
        <v>617831.5</v>
      </c>
      <c r="G339" s="535">
        <f t="shared" si="135"/>
        <v>1</v>
      </c>
    </row>
    <row r="340" spans="1:7" s="141" customFormat="1" x14ac:dyDescent="0.25">
      <c r="A340" s="408" t="s">
        <v>157</v>
      </c>
      <c r="B340" s="163" t="s">
        <v>694</v>
      </c>
      <c r="C340" s="317" t="s">
        <v>158</v>
      </c>
      <c r="D340" s="34">
        <f>D341</f>
        <v>617831.5</v>
      </c>
      <c r="E340" s="34">
        <f t="shared" si="136"/>
        <v>617831.5</v>
      </c>
      <c r="F340" s="34">
        <f t="shared" si="136"/>
        <v>617831.5</v>
      </c>
      <c r="G340" s="535">
        <f t="shared" si="135"/>
        <v>1</v>
      </c>
    </row>
    <row r="341" spans="1:7" s="141" customFormat="1" x14ac:dyDescent="0.25">
      <c r="A341" s="278" t="s">
        <v>9</v>
      </c>
      <c r="B341" s="163" t="s">
        <v>694</v>
      </c>
      <c r="C341" s="317" t="s">
        <v>159</v>
      </c>
      <c r="D341" s="34">
        <f>'Функц. 2023-2025'!F553</f>
        <v>617831.5</v>
      </c>
      <c r="E341" s="34">
        <f>'Функц. 2023-2025'!H553</f>
        <v>617831.5</v>
      </c>
      <c r="F341" s="34">
        <f>'Функц. 2023-2025'!J553</f>
        <v>617831.5</v>
      </c>
      <c r="G341" s="535">
        <f t="shared" si="135"/>
        <v>1</v>
      </c>
    </row>
    <row r="342" spans="1:7" s="141" customFormat="1" x14ac:dyDescent="0.25">
      <c r="A342" s="278" t="s">
        <v>608</v>
      </c>
      <c r="B342" s="163" t="s">
        <v>424</v>
      </c>
      <c r="C342" s="317"/>
      <c r="D342" s="34">
        <f>D343</f>
        <v>28295.5</v>
      </c>
      <c r="E342" s="34">
        <f t="shared" ref="E342:F342" si="137">E343</f>
        <v>28295.5</v>
      </c>
      <c r="F342" s="34">
        <f t="shared" si="137"/>
        <v>23590.400000000001</v>
      </c>
      <c r="G342" s="535">
        <f t="shared" si="135"/>
        <v>0.83371560848898241</v>
      </c>
    </row>
    <row r="343" spans="1:7" s="141" customFormat="1" ht="31.5" x14ac:dyDescent="0.25">
      <c r="A343" s="278" t="s">
        <v>501</v>
      </c>
      <c r="B343" s="460" t="s">
        <v>500</v>
      </c>
      <c r="C343" s="317"/>
      <c r="D343" s="34">
        <f>D347+D344</f>
        <v>28295.5</v>
      </c>
      <c r="E343" s="34">
        <f t="shared" ref="E343:F343" si="138">E347+E344</f>
        <v>28295.5</v>
      </c>
      <c r="F343" s="34">
        <f t="shared" si="138"/>
        <v>23590.400000000001</v>
      </c>
      <c r="G343" s="535">
        <f t="shared" si="135"/>
        <v>0.83371560848898241</v>
      </c>
    </row>
    <row r="344" spans="1:7" s="141" customFormat="1" x14ac:dyDescent="0.25">
      <c r="A344" s="403" t="s">
        <v>756</v>
      </c>
      <c r="B344" s="448" t="s">
        <v>757</v>
      </c>
      <c r="C344" s="317"/>
      <c r="D344" s="34">
        <f>D345</f>
        <v>4693.5</v>
      </c>
      <c r="E344" s="34">
        <f t="shared" ref="E344:F345" si="139">E345</f>
        <v>4693.5</v>
      </c>
      <c r="F344" s="34">
        <f t="shared" si="139"/>
        <v>0</v>
      </c>
      <c r="G344" s="535">
        <f t="shared" si="135"/>
        <v>0</v>
      </c>
    </row>
    <row r="345" spans="1:7" s="141" customFormat="1" x14ac:dyDescent="0.25">
      <c r="A345" s="278" t="s">
        <v>123</v>
      </c>
      <c r="B345" s="448" t="s">
        <v>757</v>
      </c>
      <c r="C345" s="317" t="s">
        <v>39</v>
      </c>
      <c r="D345" s="34">
        <f>D346</f>
        <v>4693.5</v>
      </c>
      <c r="E345" s="34">
        <f t="shared" si="139"/>
        <v>4693.5</v>
      </c>
      <c r="F345" s="34">
        <f t="shared" si="139"/>
        <v>0</v>
      </c>
      <c r="G345" s="535">
        <f t="shared" si="135"/>
        <v>0</v>
      </c>
    </row>
    <row r="346" spans="1:7" s="141" customFormat="1" x14ac:dyDescent="0.25">
      <c r="A346" s="278" t="s">
        <v>54</v>
      </c>
      <c r="B346" s="448" t="s">
        <v>757</v>
      </c>
      <c r="C346" s="317" t="s">
        <v>67</v>
      </c>
      <c r="D346" s="34">
        <f>'Функц. 2023-2025'!F427</f>
        <v>4693.5</v>
      </c>
      <c r="E346" s="34">
        <f>'Функц. 2023-2025'!H427</f>
        <v>4693.5</v>
      </c>
      <c r="F346" s="34">
        <f>'Функц. 2023-2025'!J427</f>
        <v>0</v>
      </c>
      <c r="G346" s="535">
        <f t="shared" si="135"/>
        <v>0</v>
      </c>
    </row>
    <row r="347" spans="1:7" s="141" customFormat="1" x14ac:dyDescent="0.25">
      <c r="A347" s="278" t="s">
        <v>638</v>
      </c>
      <c r="B347" s="458" t="s">
        <v>639</v>
      </c>
      <c r="C347" s="317"/>
      <c r="D347" s="34">
        <f>D348</f>
        <v>23602</v>
      </c>
      <c r="E347" s="34">
        <f t="shared" ref="E347:F347" si="140">E348</f>
        <v>23602</v>
      </c>
      <c r="F347" s="34">
        <f t="shared" si="140"/>
        <v>23590.400000000001</v>
      </c>
      <c r="G347" s="535">
        <f t="shared" si="135"/>
        <v>0.99950851622743841</v>
      </c>
    </row>
    <row r="348" spans="1:7" s="141" customFormat="1" ht="31.5" x14ac:dyDescent="0.25">
      <c r="A348" s="403" t="s">
        <v>673</v>
      </c>
      <c r="B348" s="458" t="s">
        <v>672</v>
      </c>
      <c r="C348" s="317"/>
      <c r="D348" s="34">
        <f>D349</f>
        <v>23602</v>
      </c>
      <c r="E348" s="34">
        <f t="shared" ref="E348:F349" si="141">E349</f>
        <v>23602</v>
      </c>
      <c r="F348" s="34">
        <f t="shared" si="141"/>
        <v>23590.400000000001</v>
      </c>
      <c r="G348" s="535">
        <f t="shared" si="135"/>
        <v>0.99950851622743841</v>
      </c>
    </row>
    <row r="349" spans="1:7" s="141" customFormat="1" x14ac:dyDescent="0.25">
      <c r="A349" s="411" t="s">
        <v>460</v>
      </c>
      <c r="B349" s="458" t="s">
        <v>672</v>
      </c>
      <c r="C349" s="317" t="s">
        <v>158</v>
      </c>
      <c r="D349" s="34">
        <f>D350</f>
        <v>23602</v>
      </c>
      <c r="E349" s="34">
        <f t="shared" si="141"/>
        <v>23602</v>
      </c>
      <c r="F349" s="34">
        <f t="shared" si="141"/>
        <v>23590.400000000001</v>
      </c>
      <c r="G349" s="535">
        <f t="shared" si="135"/>
        <v>0.99950851622743841</v>
      </c>
    </row>
    <row r="350" spans="1:7" s="141" customFormat="1" x14ac:dyDescent="0.25">
      <c r="A350" s="278" t="s">
        <v>9</v>
      </c>
      <c r="B350" s="458" t="s">
        <v>672</v>
      </c>
      <c r="C350" s="317" t="s">
        <v>159</v>
      </c>
      <c r="D350" s="34">
        <f>'Функц. 2023-2025'!F431</f>
        <v>23602</v>
      </c>
      <c r="E350" s="34">
        <f>'Функц. 2023-2025'!H431</f>
        <v>23602</v>
      </c>
      <c r="F350" s="34">
        <f>'Функц. 2023-2025'!J431</f>
        <v>23590.400000000001</v>
      </c>
      <c r="G350" s="535">
        <f t="shared" si="135"/>
        <v>0.99950851622743841</v>
      </c>
    </row>
    <row r="351" spans="1:7" s="141" customFormat="1" x14ac:dyDescent="0.25">
      <c r="A351" s="278" t="s">
        <v>609</v>
      </c>
      <c r="B351" s="163" t="s">
        <v>483</v>
      </c>
      <c r="C351" s="309"/>
      <c r="D351" s="34">
        <f>D356+D352</f>
        <v>25435</v>
      </c>
      <c r="E351" s="34">
        <f>E356+E352</f>
        <v>25435</v>
      </c>
      <c r="F351" s="34">
        <f>F356+F352</f>
        <v>431.4</v>
      </c>
      <c r="G351" s="535">
        <f t="shared" si="135"/>
        <v>1.6960880676233536E-2</v>
      </c>
    </row>
    <row r="352" spans="1:7" s="141" customFormat="1" ht="31.5" x14ac:dyDescent="0.25">
      <c r="A352" s="278" t="s">
        <v>610</v>
      </c>
      <c r="B352" s="163" t="s">
        <v>485</v>
      </c>
      <c r="C352" s="309"/>
      <c r="D352" s="34">
        <f>D353</f>
        <v>25000</v>
      </c>
      <c r="E352" s="34">
        <f t="shared" ref="E352:F352" si="142">E353</f>
        <v>25000</v>
      </c>
      <c r="F352" s="34">
        <f t="shared" si="142"/>
        <v>0</v>
      </c>
      <c r="G352" s="535">
        <f t="shared" si="135"/>
        <v>0</v>
      </c>
    </row>
    <row r="353" spans="1:7" s="141" customFormat="1" x14ac:dyDescent="0.25">
      <c r="A353" s="278" t="s">
        <v>435</v>
      </c>
      <c r="B353" s="163" t="s">
        <v>640</v>
      </c>
      <c r="C353" s="309"/>
      <c r="D353" s="34">
        <f>D354</f>
        <v>25000</v>
      </c>
      <c r="E353" s="34">
        <f t="shared" ref="E353:F353" si="143">E354</f>
        <v>25000</v>
      </c>
      <c r="F353" s="34">
        <f t="shared" si="143"/>
        <v>0</v>
      </c>
      <c r="G353" s="535">
        <f t="shared" si="135"/>
        <v>0</v>
      </c>
    </row>
    <row r="354" spans="1:7" s="141" customFormat="1" x14ac:dyDescent="0.25">
      <c r="A354" s="278" t="s">
        <v>44</v>
      </c>
      <c r="B354" s="163" t="s">
        <v>640</v>
      </c>
      <c r="C354" s="317" t="s">
        <v>373</v>
      </c>
      <c r="D354" s="34">
        <f>D355</f>
        <v>25000</v>
      </c>
      <c r="E354" s="34">
        <f t="shared" ref="E354:F354" si="144">E355</f>
        <v>25000</v>
      </c>
      <c r="F354" s="34">
        <f t="shared" si="144"/>
        <v>0</v>
      </c>
      <c r="G354" s="535">
        <f t="shared" si="135"/>
        <v>0</v>
      </c>
    </row>
    <row r="355" spans="1:7" s="141" customFormat="1" ht="31.5" x14ac:dyDescent="0.25">
      <c r="A355" s="278" t="s">
        <v>124</v>
      </c>
      <c r="B355" s="163" t="s">
        <v>640</v>
      </c>
      <c r="C355" s="317" t="s">
        <v>374</v>
      </c>
      <c r="D355" s="34">
        <f>'Функц. 2023-2025'!F436</f>
        <v>25000</v>
      </c>
      <c r="E355" s="34">
        <f>'Функц. 2023-2025'!H436</f>
        <v>25000</v>
      </c>
      <c r="F355" s="34">
        <f>'Функц. 2023-2025'!J436</f>
        <v>0</v>
      </c>
      <c r="G355" s="535">
        <f t="shared" si="135"/>
        <v>0</v>
      </c>
    </row>
    <row r="356" spans="1:7" s="141" customFormat="1" ht="31.5" x14ac:dyDescent="0.25">
      <c r="A356" s="278" t="s">
        <v>643</v>
      </c>
      <c r="B356" s="163" t="s">
        <v>641</v>
      </c>
      <c r="C356" s="309"/>
      <c r="D356" s="34">
        <f>D357</f>
        <v>435</v>
      </c>
      <c r="E356" s="34">
        <f t="shared" ref="E356:F356" si="145">E357</f>
        <v>435</v>
      </c>
      <c r="F356" s="34">
        <f t="shared" si="145"/>
        <v>431.4</v>
      </c>
      <c r="G356" s="535">
        <f t="shared" si="135"/>
        <v>0.99172413793103442</v>
      </c>
    </row>
    <row r="357" spans="1:7" s="141" customFormat="1" ht="47.25" x14ac:dyDescent="0.25">
      <c r="A357" s="278" t="s">
        <v>484</v>
      </c>
      <c r="B357" s="163" t="s">
        <v>642</v>
      </c>
      <c r="C357" s="309"/>
      <c r="D357" s="34">
        <f>D358+D360</f>
        <v>435</v>
      </c>
      <c r="E357" s="34">
        <f t="shared" ref="E357:F357" si="146">E358+E360</f>
        <v>435</v>
      </c>
      <c r="F357" s="34">
        <f t="shared" si="146"/>
        <v>431.4</v>
      </c>
      <c r="G357" s="535">
        <f t="shared" si="135"/>
        <v>0.99172413793103442</v>
      </c>
    </row>
    <row r="358" spans="1:7" s="141" customFormat="1" ht="47.25" x14ac:dyDescent="0.25">
      <c r="A358" s="278" t="s">
        <v>43</v>
      </c>
      <c r="B358" s="163" t="s">
        <v>642</v>
      </c>
      <c r="C358" s="309">
        <v>100</v>
      </c>
      <c r="D358" s="34">
        <f>D359</f>
        <v>412</v>
      </c>
      <c r="E358" s="34">
        <f t="shared" ref="E358:F358" si="147">E359</f>
        <v>412</v>
      </c>
      <c r="F358" s="34">
        <f t="shared" si="147"/>
        <v>411.4</v>
      </c>
      <c r="G358" s="535">
        <f t="shared" si="135"/>
        <v>0.99854368932038828</v>
      </c>
    </row>
    <row r="359" spans="1:7" s="141" customFormat="1" x14ac:dyDescent="0.25">
      <c r="A359" s="278" t="s">
        <v>99</v>
      </c>
      <c r="B359" s="163" t="s">
        <v>642</v>
      </c>
      <c r="C359" s="309">
        <v>120</v>
      </c>
      <c r="D359" s="34">
        <f>'Функц. 2023-2025'!F510</f>
        <v>412</v>
      </c>
      <c r="E359" s="34">
        <f>'Функц. 2023-2025'!H510</f>
        <v>412</v>
      </c>
      <c r="F359" s="34">
        <f>'Функц. 2023-2025'!J510</f>
        <v>411.4</v>
      </c>
      <c r="G359" s="535">
        <f t="shared" si="135"/>
        <v>0.99854368932038828</v>
      </c>
    </row>
    <row r="360" spans="1:7" s="141" customFormat="1" x14ac:dyDescent="0.25">
      <c r="A360" s="297" t="s">
        <v>123</v>
      </c>
      <c r="B360" s="163" t="s">
        <v>642</v>
      </c>
      <c r="C360" s="317" t="s">
        <v>39</v>
      </c>
      <c r="D360" s="34">
        <f>D361</f>
        <v>23</v>
      </c>
      <c r="E360" s="34">
        <f t="shared" ref="E360:F360" si="148">E361</f>
        <v>23</v>
      </c>
      <c r="F360" s="34">
        <f t="shared" si="148"/>
        <v>20</v>
      </c>
      <c r="G360" s="535">
        <f t="shared" si="135"/>
        <v>0.86956521739130432</v>
      </c>
    </row>
    <row r="361" spans="1:7" s="141" customFormat="1" x14ac:dyDescent="0.25">
      <c r="A361" s="297" t="s">
        <v>54</v>
      </c>
      <c r="B361" s="163" t="s">
        <v>642</v>
      </c>
      <c r="C361" s="317" t="s">
        <v>67</v>
      </c>
      <c r="D361" s="34">
        <f>'Функц. 2023-2025'!F512</f>
        <v>23</v>
      </c>
      <c r="E361" s="34">
        <f>'Функц. 2023-2025'!H512</f>
        <v>23</v>
      </c>
      <c r="F361" s="34">
        <f>'Функц. 2023-2025'!J512</f>
        <v>20</v>
      </c>
      <c r="G361" s="535">
        <f t="shared" si="135"/>
        <v>0.86956521739130432</v>
      </c>
    </row>
    <row r="362" spans="1:7" s="141" customFormat="1" x14ac:dyDescent="0.25">
      <c r="A362" s="435" t="s">
        <v>193</v>
      </c>
      <c r="B362" s="450" t="s">
        <v>115</v>
      </c>
      <c r="C362" s="543"/>
      <c r="D362" s="37">
        <f>D363+D399+D394</f>
        <v>308406</v>
      </c>
      <c r="E362" s="37">
        <f t="shared" ref="E362:F362" si="149">E363+E399+E394</f>
        <v>310906</v>
      </c>
      <c r="F362" s="37">
        <f t="shared" si="149"/>
        <v>308510.5</v>
      </c>
      <c r="G362" s="536">
        <f t="shared" si="135"/>
        <v>0.99229509884016387</v>
      </c>
    </row>
    <row r="363" spans="1:7" x14ac:dyDescent="0.25">
      <c r="A363" s="299" t="s">
        <v>611</v>
      </c>
      <c r="B363" s="163" t="s">
        <v>116</v>
      </c>
      <c r="C363" s="309"/>
      <c r="D363" s="34">
        <f>D364+D375+D381</f>
        <v>53320.5</v>
      </c>
      <c r="E363" s="34">
        <f>E364+E375+E381</f>
        <v>53320.5</v>
      </c>
      <c r="F363" s="34">
        <f>F364+F375+F381</f>
        <v>53116.299999999996</v>
      </c>
      <c r="G363" s="535">
        <f t="shared" si="135"/>
        <v>0.99617032848529175</v>
      </c>
    </row>
    <row r="364" spans="1:7" ht="31.5" x14ac:dyDescent="0.25">
      <c r="A364" s="301" t="s">
        <v>189</v>
      </c>
      <c r="B364" s="163" t="s">
        <v>190</v>
      </c>
      <c r="C364" s="309"/>
      <c r="D364" s="34">
        <f>D365+D372</f>
        <v>29568.400000000001</v>
      </c>
      <c r="E364" s="34">
        <f>E365+E372</f>
        <v>29568.400000000001</v>
      </c>
      <c r="F364" s="34">
        <f>F365+F372</f>
        <v>29424.199999999997</v>
      </c>
      <c r="G364" s="535">
        <f t="shared" si="135"/>
        <v>0.99512317203501022</v>
      </c>
    </row>
    <row r="365" spans="1:7" ht="31.5" x14ac:dyDescent="0.25">
      <c r="A365" s="300" t="s">
        <v>191</v>
      </c>
      <c r="B365" s="163" t="s">
        <v>192</v>
      </c>
      <c r="C365" s="311"/>
      <c r="D365" s="34">
        <f>D366+D368+D370</f>
        <v>13418.2</v>
      </c>
      <c r="E365" s="34">
        <f t="shared" ref="E365:F365" si="150">E366+E368+E370</f>
        <v>13418.2</v>
      </c>
      <c r="F365" s="34">
        <f t="shared" si="150"/>
        <v>13276.4</v>
      </c>
      <c r="G365" s="535">
        <f t="shared" si="135"/>
        <v>0.98943226364191905</v>
      </c>
    </row>
    <row r="366" spans="1:7" x14ac:dyDescent="0.25">
      <c r="A366" s="297" t="s">
        <v>123</v>
      </c>
      <c r="B366" s="163" t="s">
        <v>192</v>
      </c>
      <c r="C366" s="309">
        <v>200</v>
      </c>
      <c r="D366" s="34">
        <f>D367</f>
        <v>1559.8</v>
      </c>
      <c r="E366" s="34">
        <f>E367</f>
        <v>1559.8</v>
      </c>
      <c r="F366" s="34">
        <f>F367</f>
        <v>1424.7</v>
      </c>
      <c r="G366" s="535">
        <f t="shared" si="135"/>
        <v>0.91338633158097193</v>
      </c>
    </row>
    <row r="367" spans="1:7" x14ac:dyDescent="0.25">
      <c r="A367" s="297" t="s">
        <v>54</v>
      </c>
      <c r="B367" s="163" t="s">
        <v>192</v>
      </c>
      <c r="C367" s="309">
        <v>240</v>
      </c>
      <c r="D367" s="34">
        <f>'Функц. 2023-2025'!F163</f>
        <v>1559.8</v>
      </c>
      <c r="E367" s="34">
        <f>'Функц. 2023-2025'!H163</f>
        <v>1559.8</v>
      </c>
      <c r="F367" s="34">
        <f>'Функц. 2023-2025'!J163</f>
        <v>1424.7</v>
      </c>
      <c r="G367" s="535">
        <f t="shared" si="135"/>
        <v>0.91338633158097193</v>
      </c>
    </row>
    <row r="368" spans="1:7" s="188" customFormat="1" x14ac:dyDescent="0.25">
      <c r="A368" s="297" t="s">
        <v>100</v>
      </c>
      <c r="B368" s="163" t="s">
        <v>192</v>
      </c>
      <c r="C368" s="309">
        <v>300</v>
      </c>
      <c r="D368" s="34">
        <f>D369</f>
        <v>2186.5</v>
      </c>
      <c r="E368" s="179">
        <f>E369</f>
        <v>2186.5</v>
      </c>
      <c r="F368" s="34">
        <f>F369</f>
        <v>2179.8000000000002</v>
      </c>
      <c r="G368" s="535">
        <f t="shared" si="135"/>
        <v>0.99693574205351021</v>
      </c>
    </row>
    <row r="369" spans="1:7" s="188" customFormat="1" x14ac:dyDescent="0.25">
      <c r="A369" s="278" t="s">
        <v>464</v>
      </c>
      <c r="B369" s="163" t="s">
        <v>192</v>
      </c>
      <c r="C369" s="309">
        <v>360</v>
      </c>
      <c r="D369" s="34">
        <f>'Функц. 2023-2025'!F165</f>
        <v>2186.5</v>
      </c>
      <c r="E369" s="34">
        <f>'Функц. 2023-2025'!H165</f>
        <v>2186.5</v>
      </c>
      <c r="F369" s="34">
        <f>'Функц. 2023-2025'!J165</f>
        <v>2179.8000000000002</v>
      </c>
      <c r="G369" s="535">
        <f t="shared" si="135"/>
        <v>0.99693574205351021</v>
      </c>
    </row>
    <row r="370" spans="1:7" s="188" customFormat="1" ht="31.5" x14ac:dyDescent="0.25">
      <c r="A370" s="401" t="s">
        <v>62</v>
      </c>
      <c r="B370" s="163" t="s">
        <v>192</v>
      </c>
      <c r="C370" s="309">
        <v>600</v>
      </c>
      <c r="D370" s="34">
        <f>D371</f>
        <v>9671.9</v>
      </c>
      <c r="E370" s="34">
        <f>E371</f>
        <v>9671.9</v>
      </c>
      <c r="F370" s="34">
        <f>F371</f>
        <v>9671.9</v>
      </c>
      <c r="G370" s="535">
        <f t="shared" si="135"/>
        <v>1</v>
      </c>
    </row>
    <row r="371" spans="1:7" s="188" customFormat="1" x14ac:dyDescent="0.25">
      <c r="A371" s="401" t="s">
        <v>63</v>
      </c>
      <c r="B371" s="163" t="s">
        <v>192</v>
      </c>
      <c r="C371" s="309">
        <v>610</v>
      </c>
      <c r="D371" s="34">
        <f>'Функц. 2023-2025'!F167</f>
        <v>9671.9</v>
      </c>
      <c r="E371" s="34">
        <f>'Функц. 2023-2025'!H167</f>
        <v>9671.9</v>
      </c>
      <c r="F371" s="34">
        <f>'Функц. 2023-2025'!J167</f>
        <v>9671.9</v>
      </c>
      <c r="G371" s="535">
        <f t="shared" si="135"/>
        <v>1</v>
      </c>
    </row>
    <row r="372" spans="1:7" s="188" customFormat="1" x14ac:dyDescent="0.25">
      <c r="A372" s="283" t="s">
        <v>488</v>
      </c>
      <c r="B372" s="163" t="s">
        <v>421</v>
      </c>
      <c r="C372" s="309"/>
      <c r="D372" s="34">
        <f t="shared" ref="D372:F373" si="151">D373</f>
        <v>16150.199999999999</v>
      </c>
      <c r="E372" s="34">
        <f t="shared" si="151"/>
        <v>16150.199999999999</v>
      </c>
      <c r="F372" s="34">
        <f t="shared" si="151"/>
        <v>16147.8</v>
      </c>
      <c r="G372" s="535">
        <f t="shared" si="135"/>
        <v>0.99985139502916376</v>
      </c>
    </row>
    <row r="373" spans="1:7" x14ac:dyDescent="0.25">
      <c r="A373" s="297" t="s">
        <v>123</v>
      </c>
      <c r="B373" s="163" t="s">
        <v>421</v>
      </c>
      <c r="C373" s="320">
        <v>200</v>
      </c>
      <c r="D373" s="34">
        <f t="shared" si="151"/>
        <v>16150.199999999999</v>
      </c>
      <c r="E373" s="34">
        <f t="shared" si="151"/>
        <v>16150.199999999999</v>
      </c>
      <c r="F373" s="34">
        <f t="shared" si="151"/>
        <v>16147.8</v>
      </c>
      <c r="G373" s="535">
        <f t="shared" si="135"/>
        <v>0.99985139502916376</v>
      </c>
    </row>
    <row r="374" spans="1:7" x14ac:dyDescent="0.25">
      <c r="A374" s="297" t="s">
        <v>54</v>
      </c>
      <c r="B374" s="163" t="s">
        <v>421</v>
      </c>
      <c r="C374" s="320">
        <v>240</v>
      </c>
      <c r="D374" s="34">
        <f>'Функц. 2023-2025'!F410</f>
        <v>16150.199999999999</v>
      </c>
      <c r="E374" s="34">
        <f>'Функц. 2023-2025'!H410</f>
        <v>16150.199999999999</v>
      </c>
      <c r="F374" s="34">
        <f>'Функц. 2023-2025'!J410</f>
        <v>16147.8</v>
      </c>
      <c r="G374" s="535">
        <f t="shared" si="135"/>
        <v>0.99985139502916376</v>
      </c>
    </row>
    <row r="375" spans="1:7" ht="31.5" x14ac:dyDescent="0.25">
      <c r="A375" s="301" t="s">
        <v>194</v>
      </c>
      <c r="B375" s="163" t="s">
        <v>195</v>
      </c>
      <c r="C375" s="321"/>
      <c r="D375" s="34">
        <f>D376</f>
        <v>1031</v>
      </c>
      <c r="E375" s="34">
        <f>E376</f>
        <v>1031</v>
      </c>
      <c r="F375" s="34">
        <f>F376</f>
        <v>1000.3000000000001</v>
      </c>
      <c r="G375" s="535">
        <f t="shared" si="135"/>
        <v>0.97022308438409322</v>
      </c>
    </row>
    <row r="376" spans="1:7" ht="31.5" x14ac:dyDescent="0.25">
      <c r="A376" s="301" t="s">
        <v>145</v>
      </c>
      <c r="B376" s="163" t="s">
        <v>196</v>
      </c>
      <c r="C376" s="321"/>
      <c r="D376" s="34">
        <f>D378+D379</f>
        <v>1031</v>
      </c>
      <c r="E376" s="34">
        <f>E378+E379</f>
        <v>1031</v>
      </c>
      <c r="F376" s="34">
        <f>F378+F379</f>
        <v>1000.3000000000001</v>
      </c>
      <c r="G376" s="535">
        <f t="shared" si="135"/>
        <v>0.97022308438409322</v>
      </c>
    </row>
    <row r="377" spans="1:7" ht="47.25" x14ac:dyDescent="0.25">
      <c r="A377" s="297" t="s">
        <v>43</v>
      </c>
      <c r="B377" s="163" t="s">
        <v>196</v>
      </c>
      <c r="C377" s="321">
        <v>100</v>
      </c>
      <c r="D377" s="34">
        <f>D378</f>
        <v>988.7</v>
      </c>
      <c r="E377" s="34">
        <f>E378</f>
        <v>988.7</v>
      </c>
      <c r="F377" s="34">
        <f>F378</f>
        <v>988.7</v>
      </c>
      <c r="G377" s="535">
        <f t="shared" si="135"/>
        <v>1</v>
      </c>
    </row>
    <row r="378" spans="1:7" x14ac:dyDescent="0.25">
      <c r="A378" s="433" t="s">
        <v>99</v>
      </c>
      <c r="B378" s="163" t="s">
        <v>196</v>
      </c>
      <c r="C378" s="321">
        <v>120</v>
      </c>
      <c r="D378" s="34">
        <f>'Функц. 2023-2025'!F171</f>
        <v>988.7</v>
      </c>
      <c r="E378" s="34">
        <f>'Функц. 2023-2025'!H171</f>
        <v>988.7</v>
      </c>
      <c r="F378" s="34">
        <f>'Функц. 2023-2025'!J171</f>
        <v>988.7</v>
      </c>
      <c r="G378" s="535">
        <f t="shared" si="135"/>
        <v>1</v>
      </c>
    </row>
    <row r="379" spans="1:7" x14ac:dyDescent="0.25">
      <c r="A379" s="433" t="s">
        <v>123</v>
      </c>
      <c r="B379" s="163" t="s">
        <v>196</v>
      </c>
      <c r="C379" s="321">
        <v>200</v>
      </c>
      <c r="D379" s="34">
        <f>D380</f>
        <v>42.3</v>
      </c>
      <c r="E379" s="34">
        <f>E380</f>
        <v>42.3</v>
      </c>
      <c r="F379" s="34">
        <f>F380</f>
        <v>11.6</v>
      </c>
      <c r="G379" s="535">
        <f t="shared" si="135"/>
        <v>0.27423167848699764</v>
      </c>
    </row>
    <row r="380" spans="1:7" x14ac:dyDescent="0.25">
      <c r="A380" s="433" t="s">
        <v>54</v>
      </c>
      <c r="B380" s="163" t="s">
        <v>196</v>
      </c>
      <c r="C380" s="321">
        <v>240</v>
      </c>
      <c r="D380" s="34">
        <f>'Функц. 2023-2025'!F173</f>
        <v>42.3</v>
      </c>
      <c r="E380" s="34">
        <f>'Функц. 2023-2025'!H173</f>
        <v>42.3</v>
      </c>
      <c r="F380" s="34">
        <f>'Функц. 2023-2025'!J173</f>
        <v>11.6</v>
      </c>
      <c r="G380" s="535">
        <f t="shared" si="135"/>
        <v>0.27423167848699764</v>
      </c>
    </row>
    <row r="381" spans="1:7" ht="31.5" x14ac:dyDescent="0.25">
      <c r="A381" s="299" t="s">
        <v>349</v>
      </c>
      <c r="B381" s="163" t="s">
        <v>520</v>
      </c>
      <c r="C381" s="321"/>
      <c r="D381" s="34">
        <f>D382</f>
        <v>22721.1</v>
      </c>
      <c r="E381" s="34">
        <f>E382</f>
        <v>22721.1</v>
      </c>
      <c r="F381" s="34">
        <f>F382</f>
        <v>22691.8</v>
      </c>
      <c r="G381" s="535">
        <f t="shared" si="135"/>
        <v>0.99871044975815437</v>
      </c>
    </row>
    <row r="382" spans="1:7" x14ac:dyDescent="0.25">
      <c r="A382" s="299" t="s">
        <v>214</v>
      </c>
      <c r="B382" s="163" t="s">
        <v>521</v>
      </c>
      <c r="C382" s="309"/>
      <c r="D382" s="34">
        <f>D383+D388+D391</f>
        <v>22721.1</v>
      </c>
      <c r="E382" s="34">
        <f>E383+E388+E391</f>
        <v>22721.1</v>
      </c>
      <c r="F382" s="34">
        <f>F383+F388+F391</f>
        <v>22691.8</v>
      </c>
      <c r="G382" s="535">
        <f t="shared" si="135"/>
        <v>0.99871044975815437</v>
      </c>
    </row>
    <row r="383" spans="1:7" ht="31.5" x14ac:dyDescent="0.25">
      <c r="A383" s="299" t="s">
        <v>215</v>
      </c>
      <c r="B383" s="163" t="s">
        <v>522</v>
      </c>
      <c r="C383" s="309"/>
      <c r="D383" s="34">
        <f>D384+D386</f>
        <v>1496</v>
      </c>
      <c r="E383" s="34">
        <f t="shared" ref="E383:F383" si="152">E384+E386</f>
        <v>1496</v>
      </c>
      <c r="F383" s="34">
        <f t="shared" si="152"/>
        <v>1466.7</v>
      </c>
      <c r="G383" s="535">
        <f t="shared" si="135"/>
        <v>0.98041443850267385</v>
      </c>
    </row>
    <row r="384" spans="1:7" x14ac:dyDescent="0.25">
      <c r="A384" s="297" t="s">
        <v>123</v>
      </c>
      <c r="B384" s="163" t="s">
        <v>522</v>
      </c>
      <c r="C384" s="309">
        <v>200</v>
      </c>
      <c r="D384" s="34">
        <f>D385</f>
        <v>1495.4</v>
      </c>
      <c r="E384" s="34">
        <f>E385</f>
        <v>1495.4</v>
      </c>
      <c r="F384" s="34">
        <f>F385</f>
        <v>1466.2</v>
      </c>
      <c r="G384" s="535">
        <f t="shared" si="135"/>
        <v>0.98047345191921886</v>
      </c>
    </row>
    <row r="385" spans="1:7" x14ac:dyDescent="0.25">
      <c r="A385" s="297" t="s">
        <v>54</v>
      </c>
      <c r="B385" s="163" t="s">
        <v>522</v>
      </c>
      <c r="C385" s="309">
        <v>240</v>
      </c>
      <c r="D385" s="34">
        <f>'Функц. 2023-2025'!F178</f>
        <v>1495.4</v>
      </c>
      <c r="E385" s="34">
        <f>'Функц. 2023-2025'!H178</f>
        <v>1495.4</v>
      </c>
      <c r="F385" s="34">
        <f>'Функц. 2023-2025'!J178</f>
        <v>1466.2</v>
      </c>
      <c r="G385" s="535">
        <f t="shared" si="135"/>
        <v>0.98047345191921886</v>
      </c>
    </row>
    <row r="386" spans="1:7" s="188" customFormat="1" x14ac:dyDescent="0.25">
      <c r="A386" s="401" t="s">
        <v>123</v>
      </c>
      <c r="B386" s="163" t="s">
        <v>522</v>
      </c>
      <c r="C386" s="309">
        <v>800</v>
      </c>
      <c r="D386" s="34">
        <f>D387</f>
        <v>0.6</v>
      </c>
      <c r="E386" s="34">
        <f t="shared" ref="E386:F386" si="153">E387</f>
        <v>0.6</v>
      </c>
      <c r="F386" s="34">
        <f t="shared" si="153"/>
        <v>0.5</v>
      </c>
      <c r="G386" s="535">
        <f t="shared" si="135"/>
        <v>0.83333333333333337</v>
      </c>
    </row>
    <row r="387" spans="1:7" s="188" customFormat="1" x14ac:dyDescent="0.25">
      <c r="A387" s="401" t="s">
        <v>54</v>
      </c>
      <c r="B387" s="163" t="s">
        <v>522</v>
      </c>
      <c r="C387" s="309">
        <v>850</v>
      </c>
      <c r="D387" s="34">
        <f>'Функц. 2023-2025'!F180</f>
        <v>0.6</v>
      </c>
      <c r="E387" s="34">
        <f>'Функц. 2023-2025'!H180</f>
        <v>0.6</v>
      </c>
      <c r="F387" s="34">
        <f>'Функц. 2023-2025'!J180</f>
        <v>0.5</v>
      </c>
      <c r="G387" s="535">
        <f t="shared" si="135"/>
        <v>0.83333333333333337</v>
      </c>
    </row>
    <row r="388" spans="1:7" ht="31.5" x14ac:dyDescent="0.25">
      <c r="A388" s="297" t="s">
        <v>216</v>
      </c>
      <c r="B388" s="33" t="str">
        <f>B389</f>
        <v>12 1 04 00132</v>
      </c>
      <c r="C388" s="309"/>
      <c r="D388" s="34">
        <f>D389</f>
        <v>7289.7</v>
      </c>
      <c r="E388" s="34">
        <f t="shared" ref="E388:F388" si="154">E389</f>
        <v>7289.7</v>
      </c>
      <c r="F388" s="34">
        <f t="shared" si="154"/>
        <v>7289.7</v>
      </c>
      <c r="G388" s="535">
        <f t="shared" si="135"/>
        <v>1</v>
      </c>
    </row>
    <row r="389" spans="1:7" ht="47.25" x14ac:dyDescent="0.25">
      <c r="A389" s="297" t="s">
        <v>43</v>
      </c>
      <c r="B389" s="33" t="str">
        <f>B390</f>
        <v>12 1 04 00132</v>
      </c>
      <c r="C389" s="309">
        <v>100</v>
      </c>
      <c r="D389" s="34">
        <f t="shared" ref="D389:F389" si="155">D390</f>
        <v>7289.7</v>
      </c>
      <c r="E389" s="34">
        <f t="shared" si="155"/>
        <v>7289.7</v>
      </c>
      <c r="F389" s="34">
        <f t="shared" si="155"/>
        <v>7289.7</v>
      </c>
      <c r="G389" s="535">
        <f t="shared" si="135"/>
        <v>1</v>
      </c>
    </row>
    <row r="390" spans="1:7" x14ac:dyDescent="0.25">
      <c r="A390" s="297" t="s">
        <v>99</v>
      </c>
      <c r="B390" s="163" t="s">
        <v>523</v>
      </c>
      <c r="C390" s="309">
        <v>120</v>
      </c>
      <c r="D390" s="34">
        <f>'Функц. 2023-2025'!F183</f>
        <v>7289.7</v>
      </c>
      <c r="E390" s="34">
        <f>'Функц. 2023-2025'!H183</f>
        <v>7289.7</v>
      </c>
      <c r="F390" s="34">
        <f>'Функц. 2023-2025'!J183</f>
        <v>7289.7</v>
      </c>
      <c r="G390" s="535">
        <f t="shared" si="135"/>
        <v>1</v>
      </c>
    </row>
    <row r="391" spans="1:7" ht="31.5" x14ac:dyDescent="0.25">
      <c r="A391" s="297" t="s">
        <v>217</v>
      </c>
      <c r="B391" s="33" t="str">
        <f>B392</f>
        <v>12 1 04 00133</v>
      </c>
      <c r="C391" s="309"/>
      <c r="D391" s="34">
        <f t="shared" ref="D391:F392" si="156">D392</f>
        <v>13935.4</v>
      </c>
      <c r="E391" s="34">
        <f t="shared" si="156"/>
        <v>13935.4</v>
      </c>
      <c r="F391" s="34">
        <f t="shared" si="156"/>
        <v>13935.4</v>
      </c>
      <c r="G391" s="535">
        <f t="shared" si="135"/>
        <v>1</v>
      </c>
    </row>
    <row r="392" spans="1:7" ht="47.25" x14ac:dyDescent="0.25">
      <c r="A392" s="297" t="s">
        <v>43</v>
      </c>
      <c r="B392" s="33" t="str">
        <f>B393</f>
        <v>12 1 04 00133</v>
      </c>
      <c r="C392" s="309">
        <v>100</v>
      </c>
      <c r="D392" s="34">
        <f t="shared" si="156"/>
        <v>13935.4</v>
      </c>
      <c r="E392" s="34">
        <f t="shared" si="156"/>
        <v>13935.4</v>
      </c>
      <c r="F392" s="34">
        <f t="shared" si="156"/>
        <v>13935.4</v>
      </c>
      <c r="G392" s="535">
        <f t="shared" si="135"/>
        <v>1</v>
      </c>
    </row>
    <row r="393" spans="1:7" x14ac:dyDescent="0.25">
      <c r="A393" s="297" t="s">
        <v>99</v>
      </c>
      <c r="B393" s="163" t="s">
        <v>524</v>
      </c>
      <c r="C393" s="309">
        <v>120</v>
      </c>
      <c r="D393" s="34">
        <f>'Функц. 2023-2025'!F186</f>
        <v>13935.4</v>
      </c>
      <c r="E393" s="34">
        <f>'Функц. 2023-2025'!H186</f>
        <v>13935.4</v>
      </c>
      <c r="F393" s="34">
        <f>'Функц. 2023-2025'!J186</f>
        <v>13935.4</v>
      </c>
      <c r="G393" s="535">
        <f t="shared" si="135"/>
        <v>1</v>
      </c>
    </row>
    <row r="394" spans="1:7" x14ac:dyDescent="0.25">
      <c r="A394" s="299" t="s">
        <v>612</v>
      </c>
      <c r="B394" s="163" t="s">
        <v>448</v>
      </c>
      <c r="C394" s="309"/>
      <c r="D394" s="34">
        <f t="shared" ref="D394:F397" si="157">D395</f>
        <v>355.70000000000005</v>
      </c>
      <c r="E394" s="34">
        <f t="shared" si="157"/>
        <v>355.70000000000005</v>
      </c>
      <c r="F394" s="34">
        <f t="shared" si="157"/>
        <v>355.5</v>
      </c>
      <c r="G394" s="535">
        <f t="shared" si="135"/>
        <v>0.99943772842282808</v>
      </c>
    </row>
    <row r="395" spans="1:7" ht="31.5" x14ac:dyDescent="0.25">
      <c r="A395" s="301" t="s">
        <v>613</v>
      </c>
      <c r="B395" s="163" t="s">
        <v>450</v>
      </c>
      <c r="C395" s="309"/>
      <c r="D395" s="34">
        <f t="shared" si="157"/>
        <v>355.70000000000005</v>
      </c>
      <c r="E395" s="34">
        <f t="shared" si="157"/>
        <v>355.70000000000005</v>
      </c>
      <c r="F395" s="34">
        <f t="shared" si="157"/>
        <v>355.5</v>
      </c>
      <c r="G395" s="535">
        <f t="shared" si="135"/>
        <v>0.99943772842282808</v>
      </c>
    </row>
    <row r="396" spans="1:7" x14ac:dyDescent="0.25">
      <c r="A396" s="299" t="s">
        <v>197</v>
      </c>
      <c r="B396" s="163" t="s">
        <v>614</v>
      </c>
      <c r="C396" s="309"/>
      <c r="D396" s="34">
        <f t="shared" si="157"/>
        <v>355.70000000000005</v>
      </c>
      <c r="E396" s="34">
        <f t="shared" si="157"/>
        <v>355.70000000000005</v>
      </c>
      <c r="F396" s="34">
        <f t="shared" si="157"/>
        <v>355.5</v>
      </c>
      <c r="G396" s="535">
        <f t="shared" si="135"/>
        <v>0.99943772842282808</v>
      </c>
    </row>
    <row r="397" spans="1:7" x14ac:dyDescent="0.25">
      <c r="A397" s="297" t="s">
        <v>69</v>
      </c>
      <c r="B397" s="163" t="s">
        <v>614</v>
      </c>
      <c r="C397" s="309">
        <v>700</v>
      </c>
      <c r="D397" s="34">
        <f t="shared" si="157"/>
        <v>355.70000000000005</v>
      </c>
      <c r="E397" s="34">
        <f t="shared" si="157"/>
        <v>355.70000000000005</v>
      </c>
      <c r="F397" s="34">
        <f t="shared" si="157"/>
        <v>355.5</v>
      </c>
      <c r="G397" s="535">
        <f t="shared" si="135"/>
        <v>0.99943772842282808</v>
      </c>
    </row>
    <row r="398" spans="1:7" x14ac:dyDescent="0.25">
      <c r="A398" s="439" t="s">
        <v>382</v>
      </c>
      <c r="B398" s="163" t="s">
        <v>614</v>
      </c>
      <c r="C398" s="309">
        <v>730</v>
      </c>
      <c r="D398" s="34">
        <f>'Функц. 2023-2025'!F907</f>
        <v>355.70000000000005</v>
      </c>
      <c r="E398" s="34">
        <f>'Функц. 2023-2025'!H907</f>
        <v>355.70000000000005</v>
      </c>
      <c r="F398" s="34">
        <f>'Функц. 2023-2025'!J907</f>
        <v>355.5</v>
      </c>
      <c r="G398" s="535">
        <f t="shared" ref="G398:G461" si="158">F398/E398</f>
        <v>0.99943772842282808</v>
      </c>
    </row>
    <row r="399" spans="1:7" x14ac:dyDescent="0.25">
      <c r="A399" s="299" t="s">
        <v>198</v>
      </c>
      <c r="B399" s="163" t="s">
        <v>199</v>
      </c>
      <c r="C399" s="311"/>
      <c r="D399" s="34">
        <f>D400+D460</f>
        <v>254729.8</v>
      </c>
      <c r="E399" s="34">
        <f>E400+E460</f>
        <v>257229.8</v>
      </c>
      <c r="F399" s="34">
        <f>F400+F460</f>
        <v>255038.69999999998</v>
      </c>
      <c r="G399" s="535">
        <f t="shared" si="158"/>
        <v>0.99148193560777176</v>
      </c>
    </row>
    <row r="400" spans="1:7" ht="31.5" x14ac:dyDescent="0.25">
      <c r="A400" s="299" t="s">
        <v>200</v>
      </c>
      <c r="B400" s="163" t="s">
        <v>201</v>
      </c>
      <c r="C400" s="311"/>
      <c r="D400" s="34">
        <f>D401+D404+D428+D431+D439+D442+D416+D434</f>
        <v>254367.4</v>
      </c>
      <c r="E400" s="34">
        <f t="shared" ref="E400:F400" si="159">E401+E404+E428+E431+E439+E442+E416+E434</f>
        <v>256867.4</v>
      </c>
      <c r="F400" s="34">
        <f t="shared" si="159"/>
        <v>254688.19999999998</v>
      </c>
      <c r="G400" s="535">
        <f t="shared" si="158"/>
        <v>0.99151624534682092</v>
      </c>
    </row>
    <row r="401" spans="1:7" x14ac:dyDescent="0.25">
      <c r="A401" s="299" t="s">
        <v>202</v>
      </c>
      <c r="B401" s="163" t="s">
        <v>203</v>
      </c>
      <c r="C401" s="311"/>
      <c r="D401" s="34">
        <f t="shared" ref="D401:F402" si="160">D402</f>
        <v>3395.7</v>
      </c>
      <c r="E401" s="34">
        <f t="shared" si="160"/>
        <v>3395.7</v>
      </c>
      <c r="F401" s="34">
        <f t="shared" si="160"/>
        <v>3316.9</v>
      </c>
      <c r="G401" s="535">
        <f t="shared" si="158"/>
        <v>0.9767941808758136</v>
      </c>
    </row>
    <row r="402" spans="1:7" ht="47.25" x14ac:dyDescent="0.25">
      <c r="A402" s="297" t="s">
        <v>43</v>
      </c>
      <c r="B402" s="163" t="s">
        <v>203</v>
      </c>
      <c r="C402" s="311">
        <v>100</v>
      </c>
      <c r="D402" s="34">
        <f t="shared" si="160"/>
        <v>3395.7</v>
      </c>
      <c r="E402" s="34">
        <f t="shared" si="160"/>
        <v>3395.7</v>
      </c>
      <c r="F402" s="34">
        <f t="shared" si="160"/>
        <v>3316.9</v>
      </c>
      <c r="G402" s="535">
        <f t="shared" si="158"/>
        <v>0.9767941808758136</v>
      </c>
    </row>
    <row r="403" spans="1:7" x14ac:dyDescent="0.25">
      <c r="A403" s="297" t="s">
        <v>99</v>
      </c>
      <c r="B403" s="163" t="s">
        <v>203</v>
      </c>
      <c r="C403" s="311">
        <v>120</v>
      </c>
      <c r="D403" s="34">
        <f>'Функц. 2023-2025'!F20</f>
        <v>3395.7</v>
      </c>
      <c r="E403" s="34">
        <f>'Функц. 2023-2025'!H20</f>
        <v>3395.7</v>
      </c>
      <c r="F403" s="34">
        <f>'Функц. 2023-2025'!J20</f>
        <v>3316.9</v>
      </c>
      <c r="G403" s="535">
        <f t="shared" si="158"/>
        <v>0.9767941808758136</v>
      </c>
    </row>
    <row r="404" spans="1:7" x14ac:dyDescent="0.25">
      <c r="A404" s="299" t="s">
        <v>204</v>
      </c>
      <c r="B404" s="163" t="s">
        <v>205</v>
      </c>
      <c r="C404" s="309"/>
      <c r="D404" s="34">
        <f>D405+D410+D413</f>
        <v>79649.399999999994</v>
      </c>
      <c r="E404" s="34">
        <f>E405+E410+E413</f>
        <v>82149.399999999994</v>
      </c>
      <c r="F404" s="34">
        <f>F405+F410+F413</f>
        <v>80239.8</v>
      </c>
      <c r="G404" s="535">
        <f t="shared" si="158"/>
        <v>0.9767545472030229</v>
      </c>
    </row>
    <row r="405" spans="1:7" ht="31.5" x14ac:dyDescent="0.25">
      <c r="A405" s="440" t="s">
        <v>206</v>
      </c>
      <c r="B405" s="163" t="s">
        <v>207</v>
      </c>
      <c r="C405" s="309"/>
      <c r="D405" s="34">
        <f>D406+D408</f>
        <v>9591.4</v>
      </c>
      <c r="E405" s="34">
        <f t="shared" ref="E405:F405" si="161">E406+E408</f>
        <v>9591.4</v>
      </c>
      <c r="F405" s="34">
        <f t="shared" si="161"/>
        <v>8372.7999999999993</v>
      </c>
      <c r="G405" s="535">
        <f t="shared" si="158"/>
        <v>0.87294868319536245</v>
      </c>
    </row>
    <row r="406" spans="1:7" x14ac:dyDescent="0.25">
      <c r="A406" s="297" t="s">
        <v>123</v>
      </c>
      <c r="B406" s="163" t="s">
        <v>207</v>
      </c>
      <c r="C406" s="309">
        <v>200</v>
      </c>
      <c r="D406" s="34">
        <f>D407</f>
        <v>9588.4</v>
      </c>
      <c r="E406" s="34">
        <f>E407</f>
        <v>9588.4</v>
      </c>
      <c r="F406" s="34">
        <f>F407</f>
        <v>8369.7999999999993</v>
      </c>
      <c r="G406" s="535">
        <f t="shared" si="158"/>
        <v>0.87290893162571437</v>
      </c>
    </row>
    <row r="407" spans="1:7" x14ac:dyDescent="0.25">
      <c r="A407" s="297" t="s">
        <v>54</v>
      </c>
      <c r="B407" s="163" t="s">
        <v>207</v>
      </c>
      <c r="C407" s="309">
        <v>240</v>
      </c>
      <c r="D407" s="34">
        <f>'Функц. 2023-2025'!F54+'Функц. 2023-2025'!F142</f>
        <v>9588.4</v>
      </c>
      <c r="E407" s="34">
        <f>'Функц. 2023-2025'!H54+'Функц. 2023-2025'!H142</f>
        <v>9588.4</v>
      </c>
      <c r="F407" s="34">
        <f>'Функц. 2023-2025'!J54+'Функц. 2023-2025'!J142</f>
        <v>8369.7999999999993</v>
      </c>
      <c r="G407" s="535">
        <f t="shared" si="158"/>
        <v>0.87290893162571437</v>
      </c>
    </row>
    <row r="408" spans="1:7" s="188" customFormat="1" x14ac:dyDescent="0.25">
      <c r="A408" s="278" t="s">
        <v>44</v>
      </c>
      <c r="B408" s="163" t="s">
        <v>207</v>
      </c>
      <c r="C408" s="309">
        <v>800</v>
      </c>
      <c r="D408" s="34">
        <f>D409</f>
        <v>3</v>
      </c>
      <c r="E408" s="34">
        <f t="shared" ref="E408:F408" si="162">E409</f>
        <v>3</v>
      </c>
      <c r="F408" s="34">
        <f t="shared" si="162"/>
        <v>3</v>
      </c>
      <c r="G408" s="535">
        <f t="shared" si="158"/>
        <v>1</v>
      </c>
    </row>
    <row r="409" spans="1:7" s="188" customFormat="1" x14ac:dyDescent="0.25">
      <c r="A409" s="278" t="s">
        <v>60</v>
      </c>
      <c r="B409" s="163" t="s">
        <v>207</v>
      </c>
      <c r="C409" s="309">
        <v>850</v>
      </c>
      <c r="D409" s="34">
        <f>'Функц. 2023-2025'!F56</f>
        <v>3</v>
      </c>
      <c r="E409" s="34">
        <f>'Функц. 2023-2025'!H56</f>
        <v>3</v>
      </c>
      <c r="F409" s="34">
        <f>'Функц. 2023-2025'!J56</f>
        <v>3</v>
      </c>
      <c r="G409" s="535">
        <f t="shared" si="158"/>
        <v>1</v>
      </c>
    </row>
    <row r="410" spans="1:7" ht="31.5" x14ac:dyDescent="0.25">
      <c r="A410" s="297" t="s">
        <v>208</v>
      </c>
      <c r="B410" s="163" t="s">
        <v>209</v>
      </c>
      <c r="C410" s="311"/>
      <c r="D410" s="34">
        <f t="shared" ref="D410:F411" si="163">D411</f>
        <v>21919</v>
      </c>
      <c r="E410" s="34">
        <f t="shared" si="163"/>
        <v>21919</v>
      </c>
      <c r="F410" s="34">
        <f t="shared" si="163"/>
        <v>21441.4</v>
      </c>
      <c r="G410" s="535">
        <f t="shared" si="158"/>
        <v>0.97821068479401441</v>
      </c>
    </row>
    <row r="411" spans="1:7" ht="47.25" x14ac:dyDescent="0.25">
      <c r="A411" s="297" t="s">
        <v>43</v>
      </c>
      <c r="B411" s="163" t="s">
        <v>209</v>
      </c>
      <c r="C411" s="311">
        <v>100</v>
      </c>
      <c r="D411" s="34">
        <f t="shared" si="163"/>
        <v>21919</v>
      </c>
      <c r="E411" s="34">
        <f t="shared" si="163"/>
        <v>21919</v>
      </c>
      <c r="F411" s="34">
        <f t="shared" si="163"/>
        <v>21441.4</v>
      </c>
      <c r="G411" s="535">
        <f t="shared" si="158"/>
        <v>0.97821068479401441</v>
      </c>
    </row>
    <row r="412" spans="1:7" x14ac:dyDescent="0.25">
      <c r="A412" s="297" t="s">
        <v>99</v>
      </c>
      <c r="B412" s="163" t="s">
        <v>209</v>
      </c>
      <c r="C412" s="309">
        <v>120</v>
      </c>
      <c r="D412" s="34">
        <f>'Функц. 2023-2025'!F59</f>
        <v>21919</v>
      </c>
      <c r="E412" s="34">
        <f>'Функц. 2023-2025'!H59</f>
        <v>21919</v>
      </c>
      <c r="F412" s="34">
        <f>'Функц. 2023-2025'!J59</f>
        <v>21441.4</v>
      </c>
      <c r="G412" s="535">
        <f t="shared" si="158"/>
        <v>0.97821068479401441</v>
      </c>
    </row>
    <row r="413" spans="1:7" ht="31.5" x14ac:dyDescent="0.25">
      <c r="A413" s="297" t="s">
        <v>210</v>
      </c>
      <c r="B413" s="163" t="s">
        <v>211</v>
      </c>
      <c r="C413" s="311"/>
      <c r="D413" s="34">
        <f t="shared" ref="D413:F414" si="164">D414</f>
        <v>48139</v>
      </c>
      <c r="E413" s="34">
        <f t="shared" si="164"/>
        <v>50639</v>
      </c>
      <c r="F413" s="34">
        <f t="shared" si="164"/>
        <v>50425.599999999999</v>
      </c>
      <c r="G413" s="535">
        <f t="shared" si="158"/>
        <v>0.99578585675072573</v>
      </c>
    </row>
    <row r="414" spans="1:7" ht="47.25" x14ac:dyDescent="0.25">
      <c r="A414" s="297" t="s">
        <v>43</v>
      </c>
      <c r="B414" s="163" t="s">
        <v>211</v>
      </c>
      <c r="C414" s="311">
        <v>100</v>
      </c>
      <c r="D414" s="34">
        <f t="shared" si="164"/>
        <v>48139</v>
      </c>
      <c r="E414" s="34">
        <f t="shared" si="164"/>
        <v>50639</v>
      </c>
      <c r="F414" s="34">
        <f t="shared" si="164"/>
        <v>50425.599999999999</v>
      </c>
      <c r="G414" s="535">
        <f t="shared" si="158"/>
        <v>0.99578585675072573</v>
      </c>
    </row>
    <row r="415" spans="1:7" x14ac:dyDescent="0.25">
      <c r="A415" s="297" t="s">
        <v>99</v>
      </c>
      <c r="B415" s="163" t="s">
        <v>211</v>
      </c>
      <c r="C415" s="309">
        <v>120</v>
      </c>
      <c r="D415" s="34">
        <f>'Функц. 2023-2025'!F62</f>
        <v>48139</v>
      </c>
      <c r="E415" s="34">
        <f>'Функц. 2023-2025'!H62</f>
        <v>50639</v>
      </c>
      <c r="F415" s="34">
        <f>'Функц. 2023-2025'!J62</f>
        <v>50425.599999999999</v>
      </c>
      <c r="G415" s="535">
        <f t="shared" si="158"/>
        <v>0.99578585675072573</v>
      </c>
    </row>
    <row r="416" spans="1:7" x14ac:dyDescent="0.25">
      <c r="A416" s="300" t="s">
        <v>218</v>
      </c>
      <c r="B416" s="306" t="s">
        <v>219</v>
      </c>
      <c r="C416" s="309"/>
      <c r="D416" s="34">
        <f>D417+D422+D425</f>
        <v>26770.9</v>
      </c>
      <c r="E416" s="34">
        <f>E417+E422+E425</f>
        <v>26770.9</v>
      </c>
      <c r="F416" s="34">
        <f>F417+F422+F425</f>
        <v>26729.3</v>
      </c>
      <c r="G416" s="535">
        <f t="shared" si="158"/>
        <v>0.99844607390860962</v>
      </c>
    </row>
    <row r="417" spans="1:7" ht="31.5" x14ac:dyDescent="0.25">
      <c r="A417" s="297" t="s">
        <v>220</v>
      </c>
      <c r="B417" s="306" t="s">
        <v>221</v>
      </c>
      <c r="C417" s="309"/>
      <c r="D417" s="34">
        <f>D418+D420</f>
        <v>2533.9</v>
      </c>
      <c r="E417" s="34">
        <f t="shared" ref="E417:F417" si="165">E418+E420</f>
        <v>2533.9</v>
      </c>
      <c r="F417" s="34">
        <f t="shared" si="165"/>
        <v>2492.5</v>
      </c>
      <c r="G417" s="535">
        <f t="shared" si="158"/>
        <v>0.98366154939026795</v>
      </c>
    </row>
    <row r="418" spans="1:7" x14ac:dyDescent="0.25">
      <c r="A418" s="297" t="s">
        <v>123</v>
      </c>
      <c r="B418" s="306" t="s">
        <v>221</v>
      </c>
      <c r="C418" s="309">
        <v>200</v>
      </c>
      <c r="D418" s="34">
        <f>D419</f>
        <v>2532.6</v>
      </c>
      <c r="E418" s="34">
        <f>E419</f>
        <v>2532.6</v>
      </c>
      <c r="F418" s="34">
        <f>F419</f>
        <v>2491.1999999999998</v>
      </c>
      <c r="G418" s="535">
        <f t="shared" si="158"/>
        <v>0.98365316275764036</v>
      </c>
    </row>
    <row r="419" spans="1:7" x14ac:dyDescent="0.25">
      <c r="A419" s="297" t="s">
        <v>54</v>
      </c>
      <c r="B419" s="306" t="s">
        <v>221</v>
      </c>
      <c r="C419" s="309">
        <v>240</v>
      </c>
      <c r="D419" s="34">
        <f>'Функц. 2023-2025'!F102</f>
        <v>2532.6</v>
      </c>
      <c r="E419" s="34">
        <f>'Функц. 2023-2025'!H102</f>
        <v>2532.6</v>
      </c>
      <c r="F419" s="34">
        <f>'Функц. 2023-2025'!J102</f>
        <v>2491.1999999999998</v>
      </c>
      <c r="G419" s="535">
        <f t="shared" si="158"/>
        <v>0.98365316275764036</v>
      </c>
    </row>
    <row r="420" spans="1:7" s="188" customFormat="1" x14ac:dyDescent="0.25">
      <c r="A420" s="278" t="s">
        <v>44</v>
      </c>
      <c r="B420" s="306" t="s">
        <v>221</v>
      </c>
      <c r="C420" s="309">
        <v>800</v>
      </c>
      <c r="D420" s="34">
        <f>D421</f>
        <v>1.3</v>
      </c>
      <c r="E420" s="34">
        <f t="shared" ref="E420:F420" si="166">E421</f>
        <v>1.3</v>
      </c>
      <c r="F420" s="34">
        <f t="shared" si="166"/>
        <v>1.3</v>
      </c>
      <c r="G420" s="535">
        <f t="shared" si="158"/>
        <v>1</v>
      </c>
    </row>
    <row r="421" spans="1:7" s="188" customFormat="1" x14ac:dyDescent="0.25">
      <c r="A421" s="278" t="s">
        <v>60</v>
      </c>
      <c r="B421" s="306" t="s">
        <v>221</v>
      </c>
      <c r="C421" s="309">
        <v>850</v>
      </c>
      <c r="D421" s="34">
        <f>'Функц. 2023-2025'!F104</f>
        <v>1.3</v>
      </c>
      <c r="E421" s="34">
        <f>'Функц. 2023-2025'!H104</f>
        <v>1.3</v>
      </c>
      <c r="F421" s="34">
        <f>'Функц. 2023-2025'!J104</f>
        <v>1.3</v>
      </c>
      <c r="G421" s="535">
        <f t="shared" si="158"/>
        <v>1</v>
      </c>
    </row>
    <row r="422" spans="1:7" ht="31.5" x14ac:dyDescent="0.25">
      <c r="A422" s="297" t="s">
        <v>225</v>
      </c>
      <c r="B422" s="33" t="str">
        <f>B423</f>
        <v>12 5 01 00162</v>
      </c>
      <c r="C422" s="309"/>
      <c r="D422" s="34">
        <f t="shared" ref="D422:F423" si="167">D423</f>
        <v>15308.6</v>
      </c>
      <c r="E422" s="34">
        <f t="shared" si="167"/>
        <v>15308.6</v>
      </c>
      <c r="F422" s="34">
        <f t="shared" si="167"/>
        <v>15308.5</v>
      </c>
      <c r="G422" s="535">
        <f t="shared" si="158"/>
        <v>0.99999346772402442</v>
      </c>
    </row>
    <row r="423" spans="1:7" ht="47.25" x14ac:dyDescent="0.25">
      <c r="A423" s="297" t="s">
        <v>43</v>
      </c>
      <c r="B423" s="33" t="str">
        <f>B424</f>
        <v>12 5 01 00162</v>
      </c>
      <c r="C423" s="309">
        <v>100</v>
      </c>
      <c r="D423" s="34">
        <f t="shared" si="167"/>
        <v>15308.6</v>
      </c>
      <c r="E423" s="34">
        <f t="shared" si="167"/>
        <v>15308.6</v>
      </c>
      <c r="F423" s="34">
        <f t="shared" si="167"/>
        <v>15308.5</v>
      </c>
      <c r="G423" s="535">
        <f t="shared" si="158"/>
        <v>0.99999346772402442</v>
      </c>
    </row>
    <row r="424" spans="1:7" x14ac:dyDescent="0.25">
      <c r="A424" s="297" t="s">
        <v>99</v>
      </c>
      <c r="B424" s="306" t="s">
        <v>222</v>
      </c>
      <c r="C424" s="309">
        <v>120</v>
      </c>
      <c r="D424" s="34">
        <f>'Функц. 2023-2025'!F107</f>
        <v>15308.6</v>
      </c>
      <c r="E424" s="34">
        <f>'Функц. 2023-2025'!H107</f>
        <v>15308.6</v>
      </c>
      <c r="F424" s="34">
        <f>'Функц. 2023-2025'!J107</f>
        <v>15308.5</v>
      </c>
      <c r="G424" s="535">
        <f t="shared" si="158"/>
        <v>0.99999346772402442</v>
      </c>
    </row>
    <row r="425" spans="1:7" ht="31.5" x14ac:dyDescent="0.25">
      <c r="A425" s="297" t="s">
        <v>224</v>
      </c>
      <c r="B425" s="33" t="str">
        <f>B426</f>
        <v>12 5 01 00163</v>
      </c>
      <c r="C425" s="309"/>
      <c r="D425" s="34">
        <f t="shared" ref="D425:F426" si="168">D426</f>
        <v>8928.4000000000015</v>
      </c>
      <c r="E425" s="34">
        <f t="shared" si="168"/>
        <v>8928.4000000000015</v>
      </c>
      <c r="F425" s="34">
        <f t="shared" si="168"/>
        <v>8928.2999999999993</v>
      </c>
      <c r="G425" s="535">
        <f t="shared" si="158"/>
        <v>0.99998879978495558</v>
      </c>
    </row>
    <row r="426" spans="1:7" ht="47.25" x14ac:dyDescent="0.25">
      <c r="A426" s="297" t="s">
        <v>43</v>
      </c>
      <c r="B426" s="33" t="str">
        <f>B427</f>
        <v>12 5 01 00163</v>
      </c>
      <c r="C426" s="309">
        <v>100</v>
      </c>
      <c r="D426" s="34">
        <f t="shared" si="168"/>
        <v>8928.4000000000015</v>
      </c>
      <c r="E426" s="34">
        <f t="shared" si="168"/>
        <v>8928.4000000000015</v>
      </c>
      <c r="F426" s="34">
        <f t="shared" si="168"/>
        <v>8928.2999999999993</v>
      </c>
      <c r="G426" s="535">
        <f t="shared" si="158"/>
        <v>0.99998879978495558</v>
      </c>
    </row>
    <row r="427" spans="1:7" x14ac:dyDescent="0.25">
      <c r="A427" s="297" t="s">
        <v>99</v>
      </c>
      <c r="B427" s="306" t="s">
        <v>223</v>
      </c>
      <c r="C427" s="309">
        <v>120</v>
      </c>
      <c r="D427" s="34">
        <f>'Функц. 2023-2025'!F110</f>
        <v>8928.4000000000015</v>
      </c>
      <c r="E427" s="34">
        <f>'Функц. 2023-2025'!H110</f>
        <v>8928.4000000000015</v>
      </c>
      <c r="F427" s="34">
        <f>'Функц. 2023-2025'!J110</f>
        <v>8928.2999999999993</v>
      </c>
      <c r="G427" s="535">
        <f t="shared" si="158"/>
        <v>0.99998879978495558</v>
      </c>
    </row>
    <row r="428" spans="1:7" x14ac:dyDescent="0.25">
      <c r="A428" s="300" t="s">
        <v>230</v>
      </c>
      <c r="B428" s="306" t="s">
        <v>231</v>
      </c>
      <c r="C428" s="310"/>
      <c r="D428" s="34">
        <f t="shared" ref="D428:F429" si="169">D429</f>
        <v>282</v>
      </c>
      <c r="E428" s="34">
        <f t="shared" si="169"/>
        <v>282</v>
      </c>
      <c r="F428" s="34">
        <f t="shared" si="169"/>
        <v>282</v>
      </c>
      <c r="G428" s="535">
        <f t="shared" si="158"/>
        <v>1</v>
      </c>
    </row>
    <row r="429" spans="1:7" x14ac:dyDescent="0.25">
      <c r="A429" s="297" t="s">
        <v>123</v>
      </c>
      <c r="B429" s="306" t="s">
        <v>231</v>
      </c>
      <c r="C429" s="315">
        <v>200</v>
      </c>
      <c r="D429" s="34">
        <f t="shared" si="169"/>
        <v>282</v>
      </c>
      <c r="E429" s="34">
        <f t="shared" si="169"/>
        <v>282</v>
      </c>
      <c r="F429" s="34">
        <f t="shared" si="169"/>
        <v>282</v>
      </c>
      <c r="G429" s="535">
        <f t="shared" si="158"/>
        <v>1</v>
      </c>
    </row>
    <row r="430" spans="1:7" x14ac:dyDescent="0.25">
      <c r="A430" s="297" t="s">
        <v>54</v>
      </c>
      <c r="B430" s="306" t="s">
        <v>231</v>
      </c>
      <c r="C430" s="315">
        <v>240</v>
      </c>
      <c r="D430" s="34">
        <f>'Функц. 2023-2025'!F264</f>
        <v>282</v>
      </c>
      <c r="E430" s="34">
        <f>'Функц. 2023-2025'!H264</f>
        <v>282</v>
      </c>
      <c r="F430" s="34">
        <f>'Функц. 2023-2025'!J264</f>
        <v>282</v>
      </c>
      <c r="G430" s="535">
        <f t="shared" si="158"/>
        <v>1</v>
      </c>
    </row>
    <row r="431" spans="1:7" x14ac:dyDescent="0.25">
      <c r="A431" s="300" t="s">
        <v>232</v>
      </c>
      <c r="B431" s="306" t="s">
        <v>233</v>
      </c>
      <c r="C431" s="309"/>
      <c r="D431" s="34">
        <f t="shared" ref="D431:F432" si="170">D432</f>
        <v>144.19999999999999</v>
      </c>
      <c r="E431" s="34">
        <f t="shared" si="170"/>
        <v>144.19999999999999</v>
      </c>
      <c r="F431" s="34">
        <f t="shared" si="170"/>
        <v>144.19999999999999</v>
      </c>
      <c r="G431" s="535">
        <f t="shared" si="158"/>
        <v>1</v>
      </c>
    </row>
    <row r="432" spans="1:7" x14ac:dyDescent="0.25">
      <c r="A432" s="297" t="s">
        <v>44</v>
      </c>
      <c r="B432" s="306" t="s">
        <v>233</v>
      </c>
      <c r="C432" s="309">
        <v>800</v>
      </c>
      <c r="D432" s="34">
        <f t="shared" si="170"/>
        <v>144.19999999999999</v>
      </c>
      <c r="E432" s="34">
        <f t="shared" si="170"/>
        <v>144.19999999999999</v>
      </c>
      <c r="F432" s="34">
        <f t="shared" si="170"/>
        <v>144.19999999999999</v>
      </c>
      <c r="G432" s="535">
        <f t="shared" si="158"/>
        <v>1</v>
      </c>
    </row>
    <row r="433" spans="1:7" x14ac:dyDescent="0.25">
      <c r="A433" s="297" t="s">
        <v>60</v>
      </c>
      <c r="B433" s="306" t="s">
        <v>233</v>
      </c>
      <c r="C433" s="309">
        <v>850</v>
      </c>
      <c r="D433" s="34">
        <f>'Функц. 2023-2025'!F191</f>
        <v>144.19999999999999</v>
      </c>
      <c r="E433" s="34">
        <f>'Функц. 2023-2025'!H191</f>
        <v>144.19999999999999</v>
      </c>
      <c r="F433" s="34">
        <f>'Функц. 2023-2025'!J191</f>
        <v>144.19999999999999</v>
      </c>
      <c r="G433" s="535">
        <f t="shared" si="158"/>
        <v>1</v>
      </c>
    </row>
    <row r="434" spans="1:7" s="188" customFormat="1" ht="31.5" x14ac:dyDescent="0.25">
      <c r="A434" s="283" t="s">
        <v>645</v>
      </c>
      <c r="B434" s="306" t="s">
        <v>644</v>
      </c>
      <c r="C434" s="309"/>
      <c r="D434" s="34">
        <f>D435+D437</f>
        <v>12211.5</v>
      </c>
      <c r="E434" s="34">
        <f t="shared" ref="E434:F434" si="171">E435+E437</f>
        <v>12211.5</v>
      </c>
      <c r="F434" s="34">
        <f t="shared" si="171"/>
        <v>12150.9</v>
      </c>
      <c r="G434" s="535">
        <f t="shared" si="158"/>
        <v>0.99503746468492815</v>
      </c>
    </row>
    <row r="435" spans="1:7" s="188" customFormat="1" ht="47.25" x14ac:dyDescent="0.25">
      <c r="A435" s="278" t="s">
        <v>43</v>
      </c>
      <c r="B435" s="306" t="s">
        <v>644</v>
      </c>
      <c r="C435" s="317" t="s">
        <v>129</v>
      </c>
      <c r="D435" s="34">
        <f>D436</f>
        <v>11578.2</v>
      </c>
      <c r="E435" s="34">
        <f t="shared" ref="E435:F435" si="172">E436</f>
        <v>11578.2</v>
      </c>
      <c r="F435" s="34">
        <f t="shared" si="172"/>
        <v>11577.3</v>
      </c>
      <c r="G435" s="535">
        <f t="shared" si="158"/>
        <v>0.99992226771000658</v>
      </c>
    </row>
    <row r="436" spans="1:7" s="188" customFormat="1" x14ac:dyDescent="0.25">
      <c r="A436" s="278" t="s">
        <v>70</v>
      </c>
      <c r="B436" s="306" t="s">
        <v>644</v>
      </c>
      <c r="C436" s="317" t="s">
        <v>130</v>
      </c>
      <c r="D436" s="34">
        <f>'Функц. 2023-2025'!F194</f>
        <v>11578.2</v>
      </c>
      <c r="E436" s="34">
        <f>'Функц. 2023-2025'!H194</f>
        <v>11578.2</v>
      </c>
      <c r="F436" s="34">
        <f>'Функц. 2023-2025'!J194</f>
        <v>11577.3</v>
      </c>
      <c r="G436" s="535">
        <f t="shared" si="158"/>
        <v>0.99992226771000658</v>
      </c>
    </row>
    <row r="437" spans="1:7" s="188" customFormat="1" x14ac:dyDescent="0.25">
      <c r="A437" s="278" t="s">
        <v>123</v>
      </c>
      <c r="B437" s="306" t="s">
        <v>644</v>
      </c>
      <c r="C437" s="317" t="s">
        <v>39</v>
      </c>
      <c r="D437" s="34">
        <f>D438</f>
        <v>633.29999999999995</v>
      </c>
      <c r="E437" s="34">
        <f t="shared" ref="E437:F437" si="173">E438</f>
        <v>633.29999999999995</v>
      </c>
      <c r="F437" s="34">
        <f t="shared" si="173"/>
        <v>573.6</v>
      </c>
      <c r="G437" s="535">
        <f t="shared" si="158"/>
        <v>0.90573188062529619</v>
      </c>
    </row>
    <row r="438" spans="1:7" s="188" customFormat="1" x14ac:dyDescent="0.25">
      <c r="A438" s="278" t="s">
        <v>54</v>
      </c>
      <c r="B438" s="306" t="s">
        <v>644</v>
      </c>
      <c r="C438" s="317" t="s">
        <v>67</v>
      </c>
      <c r="D438" s="34">
        <f>'Функц. 2023-2025'!F196</f>
        <v>633.29999999999995</v>
      </c>
      <c r="E438" s="34">
        <f>'Функц. 2023-2025'!H196</f>
        <v>633.29999999999995</v>
      </c>
      <c r="F438" s="34">
        <f>'Функц. 2023-2025'!J196</f>
        <v>573.6</v>
      </c>
      <c r="G438" s="535">
        <f t="shared" si="158"/>
        <v>0.90573188062529619</v>
      </c>
    </row>
    <row r="439" spans="1:7" ht="31.5" x14ac:dyDescent="0.25">
      <c r="A439" s="300" t="s">
        <v>226</v>
      </c>
      <c r="B439" s="306" t="s">
        <v>227</v>
      </c>
      <c r="C439" s="311"/>
      <c r="D439" s="34">
        <f t="shared" ref="D439:F440" si="174">D440</f>
        <v>23220.5</v>
      </c>
      <c r="E439" s="34">
        <f t="shared" si="174"/>
        <v>23220.5</v>
      </c>
      <c r="F439" s="34">
        <f t="shared" si="174"/>
        <v>23220.5</v>
      </c>
      <c r="G439" s="535">
        <f t="shared" si="158"/>
        <v>1</v>
      </c>
    </row>
    <row r="440" spans="1:7" ht="31.5" x14ac:dyDescent="0.25">
      <c r="A440" s="297" t="s">
        <v>62</v>
      </c>
      <c r="B440" s="306" t="s">
        <v>227</v>
      </c>
      <c r="C440" s="322">
        <v>600</v>
      </c>
      <c r="D440" s="34">
        <f t="shared" si="174"/>
        <v>23220.5</v>
      </c>
      <c r="E440" s="34">
        <f t="shared" si="174"/>
        <v>23220.5</v>
      </c>
      <c r="F440" s="34">
        <f t="shared" si="174"/>
        <v>23220.5</v>
      </c>
      <c r="G440" s="535">
        <f t="shared" si="158"/>
        <v>1</v>
      </c>
    </row>
    <row r="441" spans="1:7" x14ac:dyDescent="0.25">
      <c r="A441" s="297" t="s">
        <v>63</v>
      </c>
      <c r="B441" s="306" t="s">
        <v>227</v>
      </c>
      <c r="C441" s="322">
        <v>610</v>
      </c>
      <c r="D441" s="34">
        <f>'Функц. 2023-2025'!F199</f>
        <v>23220.5</v>
      </c>
      <c r="E441" s="34">
        <f>'Функц. 2023-2025'!H199</f>
        <v>23220.5</v>
      </c>
      <c r="F441" s="34">
        <f>'Функц. 2023-2025'!J199</f>
        <v>23220.5</v>
      </c>
      <c r="G441" s="535">
        <f t="shared" si="158"/>
        <v>1</v>
      </c>
    </row>
    <row r="442" spans="1:7" ht="31.5" x14ac:dyDescent="0.25">
      <c r="A442" s="300" t="s">
        <v>212</v>
      </c>
      <c r="B442" s="306" t="s">
        <v>213</v>
      </c>
      <c r="C442" s="309"/>
      <c r="D442" s="34">
        <f>D443+D457+D450</f>
        <v>108693.20000000001</v>
      </c>
      <c r="E442" s="34">
        <f t="shared" ref="E442:F442" si="175">E443+E457+E450</f>
        <v>108693.20000000001</v>
      </c>
      <c r="F442" s="34">
        <f t="shared" si="175"/>
        <v>108604.6</v>
      </c>
      <c r="G442" s="535">
        <f t="shared" si="158"/>
        <v>0.99918486161047793</v>
      </c>
    </row>
    <row r="443" spans="1:7" ht="47.25" x14ac:dyDescent="0.25">
      <c r="A443" s="297" t="s">
        <v>228</v>
      </c>
      <c r="B443" s="306" t="s">
        <v>229</v>
      </c>
      <c r="C443" s="317"/>
      <c r="D443" s="34">
        <f>D444+D446+D448</f>
        <v>65230</v>
      </c>
      <c r="E443" s="34">
        <f t="shared" ref="E443:F443" si="176">E444+E446+E448</f>
        <v>65230</v>
      </c>
      <c r="F443" s="34">
        <f t="shared" si="176"/>
        <v>65197.9</v>
      </c>
      <c r="G443" s="535">
        <f t="shared" si="158"/>
        <v>0.99950789514027294</v>
      </c>
    </row>
    <row r="444" spans="1:7" ht="47.25" x14ac:dyDescent="0.25">
      <c r="A444" s="297" t="s">
        <v>43</v>
      </c>
      <c r="B444" s="306" t="s">
        <v>229</v>
      </c>
      <c r="C444" s="317" t="s">
        <v>129</v>
      </c>
      <c r="D444" s="34">
        <f>D445</f>
        <v>64779</v>
      </c>
      <c r="E444" s="34">
        <f>E445</f>
        <v>64774.1</v>
      </c>
      <c r="F444" s="34">
        <f>F445</f>
        <v>64742</v>
      </c>
      <c r="G444" s="535">
        <f t="shared" si="158"/>
        <v>0.99950443155520496</v>
      </c>
    </row>
    <row r="445" spans="1:7" x14ac:dyDescent="0.25">
      <c r="A445" s="297" t="s">
        <v>70</v>
      </c>
      <c r="B445" s="306" t="s">
        <v>229</v>
      </c>
      <c r="C445" s="317" t="s">
        <v>130</v>
      </c>
      <c r="D445" s="34">
        <f>'Функц. 2023-2025'!F203</f>
        <v>64779</v>
      </c>
      <c r="E445" s="34">
        <f>'Функц. 2023-2025'!H203</f>
        <v>64774.1</v>
      </c>
      <c r="F445" s="34">
        <f>'Функц. 2023-2025'!J203</f>
        <v>64742</v>
      </c>
      <c r="G445" s="535">
        <f t="shared" si="158"/>
        <v>0.99950443155520496</v>
      </c>
    </row>
    <row r="446" spans="1:7" x14ac:dyDescent="0.25">
      <c r="A446" s="297" t="s">
        <v>123</v>
      </c>
      <c r="B446" s="306" t="s">
        <v>229</v>
      </c>
      <c r="C446" s="317" t="s">
        <v>39</v>
      </c>
      <c r="D446" s="34">
        <f>D447</f>
        <v>448.8</v>
      </c>
      <c r="E446" s="34">
        <f>E447</f>
        <v>448.8</v>
      </c>
      <c r="F446" s="34">
        <f>F447</f>
        <v>448.8</v>
      </c>
      <c r="G446" s="535">
        <f t="shared" si="158"/>
        <v>1</v>
      </c>
    </row>
    <row r="447" spans="1:7" x14ac:dyDescent="0.25">
      <c r="A447" s="297" t="s">
        <v>54</v>
      </c>
      <c r="B447" s="306" t="s">
        <v>229</v>
      </c>
      <c r="C447" s="317" t="s">
        <v>67</v>
      </c>
      <c r="D447" s="34">
        <f>'Функц. 2023-2025'!F205</f>
        <v>448.8</v>
      </c>
      <c r="E447" s="39">
        <f>'Функц. 2023-2025'!H205</f>
        <v>448.8</v>
      </c>
      <c r="F447" s="39">
        <f>'Функц. 2023-2025'!J205</f>
        <v>448.8</v>
      </c>
      <c r="G447" s="535">
        <f t="shared" si="158"/>
        <v>1</v>
      </c>
    </row>
    <row r="448" spans="1:7" s="188" customFormat="1" x14ac:dyDescent="0.25">
      <c r="A448" s="297" t="s">
        <v>44</v>
      </c>
      <c r="B448" s="306" t="s">
        <v>229</v>
      </c>
      <c r="C448" s="317" t="s">
        <v>373</v>
      </c>
      <c r="D448" s="34">
        <f>D449</f>
        <v>2.2000000000000002</v>
      </c>
      <c r="E448" s="34">
        <f t="shared" ref="E448:F448" si="177">E449</f>
        <v>7.1</v>
      </c>
      <c r="F448" s="34">
        <f t="shared" si="177"/>
        <v>7.1</v>
      </c>
      <c r="G448" s="535">
        <f t="shared" si="158"/>
        <v>1</v>
      </c>
    </row>
    <row r="449" spans="1:7" s="188" customFormat="1" x14ac:dyDescent="0.25">
      <c r="A449" s="297" t="s">
        <v>60</v>
      </c>
      <c r="B449" s="306" t="s">
        <v>229</v>
      </c>
      <c r="C449" s="317" t="s">
        <v>472</v>
      </c>
      <c r="D449" s="34">
        <f>'Функц. 2023-2025'!F207</f>
        <v>2.2000000000000002</v>
      </c>
      <c r="E449" s="39">
        <f>'Функц. 2023-2025'!H207</f>
        <v>7.1</v>
      </c>
      <c r="F449" s="39">
        <f>'Функц. 2023-2025'!J207</f>
        <v>7.1</v>
      </c>
      <c r="G449" s="535">
        <f t="shared" si="158"/>
        <v>1</v>
      </c>
    </row>
    <row r="450" spans="1:7" s="188" customFormat="1" ht="47.25" x14ac:dyDescent="0.25">
      <c r="A450" s="297" t="s">
        <v>419</v>
      </c>
      <c r="B450" s="306" t="s">
        <v>420</v>
      </c>
      <c r="C450" s="317"/>
      <c r="D450" s="34">
        <f>D451+D453+D455</f>
        <v>12941.6</v>
      </c>
      <c r="E450" s="34">
        <f t="shared" ref="E450:F450" si="178">E451+E453+E455</f>
        <v>12941.6</v>
      </c>
      <c r="F450" s="34">
        <f t="shared" si="178"/>
        <v>12892</v>
      </c>
      <c r="G450" s="535">
        <f t="shared" si="158"/>
        <v>0.99616739815787847</v>
      </c>
    </row>
    <row r="451" spans="1:7" s="188" customFormat="1" ht="47.25" x14ac:dyDescent="0.25">
      <c r="A451" s="297" t="s">
        <v>43</v>
      </c>
      <c r="B451" s="306" t="s">
        <v>420</v>
      </c>
      <c r="C451" s="317" t="s">
        <v>129</v>
      </c>
      <c r="D451" s="34">
        <f>D452</f>
        <v>12334.7</v>
      </c>
      <c r="E451" s="34">
        <f>E452</f>
        <v>12334.7</v>
      </c>
      <c r="F451" s="34">
        <f>F452</f>
        <v>12333.4</v>
      </c>
      <c r="G451" s="535">
        <f t="shared" si="158"/>
        <v>0.9998946062733588</v>
      </c>
    </row>
    <row r="452" spans="1:7" s="188" customFormat="1" x14ac:dyDescent="0.25">
      <c r="A452" s="297" t="s">
        <v>70</v>
      </c>
      <c r="B452" s="306" t="s">
        <v>420</v>
      </c>
      <c r="C452" s="317" t="s">
        <v>130</v>
      </c>
      <c r="D452" s="34">
        <f>'Функц. 2023-2025'!F210</f>
        <v>12334.7</v>
      </c>
      <c r="E452" s="34">
        <f>'Функц. 2023-2025'!H210</f>
        <v>12334.7</v>
      </c>
      <c r="F452" s="34">
        <f>'Функц. 2023-2025'!J210</f>
        <v>12333.4</v>
      </c>
      <c r="G452" s="535">
        <f t="shared" si="158"/>
        <v>0.9998946062733588</v>
      </c>
    </row>
    <row r="453" spans="1:7" s="188" customFormat="1" x14ac:dyDescent="0.25">
      <c r="A453" s="297" t="s">
        <v>123</v>
      </c>
      <c r="B453" s="306" t="s">
        <v>420</v>
      </c>
      <c r="C453" s="317" t="s">
        <v>39</v>
      </c>
      <c r="D453" s="34">
        <f>D454</f>
        <v>556.9</v>
      </c>
      <c r="E453" s="34">
        <f>E454</f>
        <v>556.9</v>
      </c>
      <c r="F453" s="34">
        <f>F454</f>
        <v>508.6</v>
      </c>
      <c r="G453" s="535">
        <f t="shared" si="158"/>
        <v>0.91326988687376554</v>
      </c>
    </row>
    <row r="454" spans="1:7" s="188" customFormat="1" x14ac:dyDescent="0.25">
      <c r="A454" s="297" t="s">
        <v>54</v>
      </c>
      <c r="B454" s="306" t="s">
        <v>420</v>
      </c>
      <c r="C454" s="317" t="s">
        <v>67</v>
      </c>
      <c r="D454" s="34">
        <f>'Функц. 2023-2025'!F212</f>
        <v>556.9</v>
      </c>
      <c r="E454" s="34">
        <f>'Функц. 2023-2025'!H212</f>
        <v>556.9</v>
      </c>
      <c r="F454" s="34">
        <f>'Функц. 2023-2025'!J212</f>
        <v>508.6</v>
      </c>
      <c r="G454" s="535">
        <f t="shared" si="158"/>
        <v>0.91326988687376554</v>
      </c>
    </row>
    <row r="455" spans="1:7" s="188" customFormat="1" x14ac:dyDescent="0.25">
      <c r="A455" s="297" t="s">
        <v>44</v>
      </c>
      <c r="B455" s="306" t="s">
        <v>420</v>
      </c>
      <c r="C455" s="317" t="s">
        <v>373</v>
      </c>
      <c r="D455" s="34">
        <f>D456</f>
        <v>50</v>
      </c>
      <c r="E455" s="34">
        <f t="shared" ref="E455:F455" si="179">E456</f>
        <v>50</v>
      </c>
      <c r="F455" s="34">
        <f t="shared" si="179"/>
        <v>50</v>
      </c>
      <c r="G455" s="535">
        <f t="shared" si="158"/>
        <v>1</v>
      </c>
    </row>
    <row r="456" spans="1:7" s="188" customFormat="1" x14ac:dyDescent="0.25">
      <c r="A456" s="297" t="s">
        <v>60</v>
      </c>
      <c r="B456" s="306" t="s">
        <v>420</v>
      </c>
      <c r="C456" s="317" t="s">
        <v>472</v>
      </c>
      <c r="D456" s="34">
        <f>'Функц. 2023-2025'!F214</f>
        <v>50</v>
      </c>
      <c r="E456" s="34">
        <f>'Функц. 2023-2025'!H214</f>
        <v>50</v>
      </c>
      <c r="F456" s="34">
        <f>'Функц. 2023-2025'!J214</f>
        <v>50</v>
      </c>
      <c r="G456" s="535">
        <f t="shared" si="158"/>
        <v>1</v>
      </c>
    </row>
    <row r="457" spans="1:7" ht="47.25" x14ac:dyDescent="0.25">
      <c r="A457" s="283" t="s">
        <v>399</v>
      </c>
      <c r="B457" s="306" t="s">
        <v>334</v>
      </c>
      <c r="C457" s="321"/>
      <c r="D457" s="34">
        <f t="shared" ref="D457:F458" si="180">D458</f>
        <v>30521.599999999999</v>
      </c>
      <c r="E457" s="34">
        <f t="shared" si="180"/>
        <v>30521.599999999999</v>
      </c>
      <c r="F457" s="34">
        <f t="shared" si="180"/>
        <v>30514.7</v>
      </c>
      <c r="G457" s="535">
        <f t="shared" si="158"/>
        <v>0.9997739305934159</v>
      </c>
    </row>
    <row r="458" spans="1:7" ht="31.5" x14ac:dyDescent="0.25">
      <c r="A458" s="433" t="s">
        <v>62</v>
      </c>
      <c r="B458" s="306" t="s">
        <v>334</v>
      </c>
      <c r="C458" s="321">
        <v>600</v>
      </c>
      <c r="D458" s="34">
        <f t="shared" si="180"/>
        <v>30521.599999999999</v>
      </c>
      <c r="E458" s="34">
        <f t="shared" si="180"/>
        <v>30521.599999999999</v>
      </c>
      <c r="F458" s="34">
        <f t="shared" si="180"/>
        <v>30514.7</v>
      </c>
      <c r="G458" s="535">
        <f t="shared" si="158"/>
        <v>0.9997739305934159</v>
      </c>
    </row>
    <row r="459" spans="1:7" x14ac:dyDescent="0.25">
      <c r="A459" s="433" t="s">
        <v>63</v>
      </c>
      <c r="B459" s="306" t="s">
        <v>334</v>
      </c>
      <c r="C459" s="321">
        <v>610</v>
      </c>
      <c r="D459" s="34">
        <f>'Функц. 2023-2025'!F339</f>
        <v>30521.599999999999</v>
      </c>
      <c r="E459" s="34">
        <f>'Функц. 2023-2025'!H339</f>
        <v>30521.599999999999</v>
      </c>
      <c r="F459" s="34">
        <f>'Функц. 2023-2025'!J339</f>
        <v>30514.7</v>
      </c>
      <c r="G459" s="535">
        <f t="shared" si="158"/>
        <v>0.9997739305934159</v>
      </c>
    </row>
    <row r="460" spans="1:7" s="188" customFormat="1" ht="31.5" x14ac:dyDescent="0.25">
      <c r="A460" s="433" t="s">
        <v>615</v>
      </c>
      <c r="B460" s="306" t="s">
        <v>616</v>
      </c>
      <c r="C460" s="321"/>
      <c r="D460" s="34">
        <f>D461</f>
        <v>362.4</v>
      </c>
      <c r="E460" s="34">
        <f t="shared" ref="E460:F461" si="181">E461</f>
        <v>362.4</v>
      </c>
      <c r="F460" s="34">
        <f t="shared" si="181"/>
        <v>350.5</v>
      </c>
      <c r="G460" s="535">
        <f t="shared" si="158"/>
        <v>0.9671633554083886</v>
      </c>
    </row>
    <row r="461" spans="1:7" s="188" customFormat="1" ht="78.75" x14ac:dyDescent="0.25">
      <c r="A461" s="433" t="s">
        <v>449</v>
      </c>
      <c r="B461" s="306" t="s">
        <v>617</v>
      </c>
      <c r="C461" s="321"/>
      <c r="D461" s="34">
        <f>D462</f>
        <v>362.4</v>
      </c>
      <c r="E461" s="34">
        <f t="shared" si="181"/>
        <v>362.4</v>
      </c>
      <c r="F461" s="34">
        <f t="shared" si="181"/>
        <v>350.5</v>
      </c>
      <c r="G461" s="535">
        <f t="shared" si="158"/>
        <v>0.9671633554083886</v>
      </c>
    </row>
    <row r="462" spans="1:7" s="188" customFormat="1" x14ac:dyDescent="0.25">
      <c r="A462" s="278" t="s">
        <v>123</v>
      </c>
      <c r="B462" s="163" t="s">
        <v>617</v>
      </c>
      <c r="C462" s="309">
        <v>200</v>
      </c>
      <c r="D462" s="34">
        <f>D463</f>
        <v>362.4</v>
      </c>
      <c r="E462" s="34">
        <f t="shared" ref="E462:F462" si="182">E463</f>
        <v>362.4</v>
      </c>
      <c r="F462" s="34">
        <f t="shared" si="182"/>
        <v>350.5</v>
      </c>
      <c r="G462" s="535">
        <f t="shared" ref="G462:G527" si="183">F462/E462</f>
        <v>0.9671633554083886</v>
      </c>
    </row>
    <row r="463" spans="1:7" s="188" customFormat="1" x14ac:dyDescent="0.25">
      <c r="A463" s="278" t="s">
        <v>54</v>
      </c>
      <c r="B463" s="163" t="s">
        <v>617</v>
      </c>
      <c r="C463" s="309">
        <v>240</v>
      </c>
      <c r="D463" s="34">
        <f>'Функц. 2023-2025'!F66+'Функц. 2023-2025'!F218+'Функц. 2023-2025'!F314+'Функц. 2023-2025'!F114+'Функц. 2023-2025'!F518</f>
        <v>362.4</v>
      </c>
      <c r="E463" s="34">
        <f>'Функц. 2023-2025'!H66+'Функц. 2023-2025'!H218+'Функц. 2023-2025'!H314+'Функц. 2023-2025'!H114+'Функц. 2023-2025'!H518</f>
        <v>362.4</v>
      </c>
      <c r="F463" s="34">
        <f>'Функц. 2023-2025'!J66+'Функц. 2023-2025'!J218+'Функц. 2023-2025'!J314+'Функц. 2023-2025'!J114+'Функц. 2023-2025'!J518</f>
        <v>350.5</v>
      </c>
      <c r="G463" s="535">
        <f t="shared" si="183"/>
        <v>0.9671633554083886</v>
      </c>
    </row>
    <row r="464" spans="1:7" ht="31.5" x14ac:dyDescent="0.25">
      <c r="A464" s="436" t="s">
        <v>315</v>
      </c>
      <c r="B464" s="446" t="s">
        <v>134</v>
      </c>
      <c r="C464" s="314"/>
      <c r="D464" s="37">
        <f>D465+D480+D491+D474</f>
        <v>16710.599999999999</v>
      </c>
      <c r="E464" s="37">
        <f>E465+E480+E491+E474</f>
        <v>16710.599999999999</v>
      </c>
      <c r="F464" s="37">
        <f>F465+F480+F491+F474</f>
        <v>15528.499999999998</v>
      </c>
      <c r="G464" s="536">
        <f t="shared" si="183"/>
        <v>0.92926046940265461</v>
      </c>
    </row>
    <row r="465" spans="1:7" ht="47.25" x14ac:dyDescent="0.25">
      <c r="A465" s="295" t="s">
        <v>594</v>
      </c>
      <c r="B465" s="163" t="s">
        <v>317</v>
      </c>
      <c r="C465" s="309"/>
      <c r="D465" s="34">
        <f>D466+D470</f>
        <v>8670.9</v>
      </c>
      <c r="E465" s="34">
        <f>E466+E470</f>
        <v>8670.9</v>
      </c>
      <c r="F465" s="34">
        <f>F466+F470</f>
        <v>8396.2999999999993</v>
      </c>
      <c r="G465" s="535">
        <f t="shared" si="183"/>
        <v>0.96833085377527128</v>
      </c>
    </row>
    <row r="466" spans="1:7" ht="31.5" x14ac:dyDescent="0.25">
      <c r="A466" s="296" t="s">
        <v>318</v>
      </c>
      <c r="B466" s="163" t="s">
        <v>319</v>
      </c>
      <c r="C466" s="309"/>
      <c r="D466" s="34">
        <f t="shared" ref="D466:F468" si="184">D467</f>
        <v>7885.9</v>
      </c>
      <c r="E466" s="34">
        <f t="shared" si="184"/>
        <v>7885.9</v>
      </c>
      <c r="F466" s="34">
        <f t="shared" si="184"/>
        <v>7837.2</v>
      </c>
      <c r="G466" s="535">
        <f t="shared" si="183"/>
        <v>0.99382442080168409</v>
      </c>
    </row>
    <row r="467" spans="1:7" ht="94.5" x14ac:dyDescent="0.25">
      <c r="A467" s="302" t="s">
        <v>375</v>
      </c>
      <c r="B467" s="306" t="s">
        <v>320</v>
      </c>
      <c r="C467" s="309"/>
      <c r="D467" s="34">
        <f t="shared" si="184"/>
        <v>7885.9</v>
      </c>
      <c r="E467" s="34">
        <f t="shared" si="184"/>
        <v>7885.9</v>
      </c>
      <c r="F467" s="34">
        <f t="shared" si="184"/>
        <v>7837.2</v>
      </c>
      <c r="G467" s="535">
        <f t="shared" si="183"/>
        <v>0.99382442080168409</v>
      </c>
    </row>
    <row r="468" spans="1:7" x14ac:dyDescent="0.25">
      <c r="A468" s="297" t="s">
        <v>123</v>
      </c>
      <c r="B468" s="306" t="s">
        <v>320</v>
      </c>
      <c r="C468" s="309">
        <v>200</v>
      </c>
      <c r="D468" s="34">
        <f t="shared" si="184"/>
        <v>7885.9</v>
      </c>
      <c r="E468" s="34">
        <f t="shared" si="184"/>
        <v>7885.9</v>
      </c>
      <c r="F468" s="34">
        <f t="shared" si="184"/>
        <v>7837.2</v>
      </c>
      <c r="G468" s="535">
        <f t="shared" si="183"/>
        <v>0.99382442080168409</v>
      </c>
    </row>
    <row r="469" spans="1:7" x14ac:dyDescent="0.25">
      <c r="A469" s="297" t="s">
        <v>54</v>
      </c>
      <c r="B469" s="306" t="s">
        <v>320</v>
      </c>
      <c r="C469" s="309">
        <v>240</v>
      </c>
      <c r="D469" s="34">
        <f>'Функц. 2023-2025'!F72</f>
        <v>7885.9</v>
      </c>
      <c r="E469" s="34">
        <f>'Функц. 2023-2025'!H72</f>
        <v>7885.9</v>
      </c>
      <c r="F469" s="34">
        <f>'Функц. 2023-2025'!J69</f>
        <v>7837.2</v>
      </c>
      <c r="G469" s="535">
        <f t="shared" si="183"/>
        <v>0.99382442080168409</v>
      </c>
    </row>
    <row r="470" spans="1:7" ht="31.5" x14ac:dyDescent="0.25">
      <c r="A470" s="302" t="s">
        <v>321</v>
      </c>
      <c r="B470" s="163" t="s">
        <v>322</v>
      </c>
      <c r="C470" s="309"/>
      <c r="D470" s="34">
        <f t="shared" ref="D470:F472" si="185">D471</f>
        <v>785</v>
      </c>
      <c r="E470" s="34">
        <f t="shared" si="185"/>
        <v>785</v>
      </c>
      <c r="F470" s="34">
        <f t="shared" si="185"/>
        <v>559.1</v>
      </c>
      <c r="G470" s="535">
        <f t="shared" si="183"/>
        <v>0.71222929936305734</v>
      </c>
    </row>
    <row r="471" spans="1:7" ht="47.25" x14ac:dyDescent="0.25">
      <c r="A471" s="296" t="s">
        <v>379</v>
      </c>
      <c r="B471" s="163" t="s">
        <v>323</v>
      </c>
      <c r="C471" s="309"/>
      <c r="D471" s="34">
        <f t="shared" si="185"/>
        <v>785</v>
      </c>
      <c r="E471" s="34">
        <f t="shared" si="185"/>
        <v>785</v>
      </c>
      <c r="F471" s="34">
        <f t="shared" si="185"/>
        <v>559.1</v>
      </c>
      <c r="G471" s="535">
        <f t="shared" si="183"/>
        <v>0.71222929936305734</v>
      </c>
    </row>
    <row r="472" spans="1:7" x14ac:dyDescent="0.25">
      <c r="A472" s="297" t="s">
        <v>123</v>
      </c>
      <c r="B472" s="163" t="s">
        <v>323</v>
      </c>
      <c r="C472" s="309">
        <v>200</v>
      </c>
      <c r="D472" s="34">
        <f t="shared" si="185"/>
        <v>785</v>
      </c>
      <c r="E472" s="34">
        <f t="shared" si="185"/>
        <v>785</v>
      </c>
      <c r="F472" s="34">
        <f t="shared" si="185"/>
        <v>559.1</v>
      </c>
      <c r="G472" s="535">
        <f t="shared" si="183"/>
        <v>0.71222929936305734</v>
      </c>
    </row>
    <row r="473" spans="1:7" x14ac:dyDescent="0.25">
      <c r="A473" s="297" t="s">
        <v>54</v>
      </c>
      <c r="B473" s="163" t="s">
        <v>323</v>
      </c>
      <c r="C473" s="309">
        <v>240</v>
      </c>
      <c r="D473" s="34">
        <f>'Функц. 2023-2025'!F461+'Функц. 2023-2025'!F148</f>
        <v>785</v>
      </c>
      <c r="E473" s="34">
        <f>'Функц. 2023-2025'!H461+'Функц. 2023-2025'!H148</f>
        <v>785</v>
      </c>
      <c r="F473" s="34">
        <f>'Функц. 2023-2025'!J461+'Функц. 2023-2025'!J148</f>
        <v>559.1</v>
      </c>
      <c r="G473" s="535">
        <f t="shared" si="183"/>
        <v>0.71222929936305734</v>
      </c>
    </row>
    <row r="474" spans="1:7" s="188" customFormat="1" x14ac:dyDescent="0.25">
      <c r="A474" s="278" t="s">
        <v>765</v>
      </c>
      <c r="B474" s="163" t="s">
        <v>766</v>
      </c>
      <c r="C474" s="311"/>
      <c r="D474" s="34">
        <f>D475</f>
        <v>2403.9</v>
      </c>
      <c r="E474" s="34">
        <f t="shared" ref="E474:F478" si="186">E475</f>
        <v>2403.9</v>
      </c>
      <c r="F474" s="34">
        <f t="shared" si="186"/>
        <v>1502.4</v>
      </c>
      <c r="G474" s="535">
        <f t="shared" si="183"/>
        <v>0.62498440034943215</v>
      </c>
    </row>
    <row r="475" spans="1:7" s="188" customFormat="1" x14ac:dyDescent="0.25">
      <c r="A475" s="278" t="s">
        <v>767</v>
      </c>
      <c r="B475" s="163" t="s">
        <v>768</v>
      </c>
      <c r="C475" s="311"/>
      <c r="D475" s="34">
        <f>D476</f>
        <v>2403.9</v>
      </c>
      <c r="E475" s="34">
        <f t="shared" si="186"/>
        <v>2403.9</v>
      </c>
      <c r="F475" s="34">
        <f t="shared" si="186"/>
        <v>1502.4</v>
      </c>
      <c r="G475" s="535">
        <f t="shared" si="183"/>
        <v>0.62498440034943215</v>
      </c>
    </row>
    <row r="476" spans="1:7" s="188" customFormat="1" ht="31.5" x14ac:dyDescent="0.25">
      <c r="A476" s="278" t="s">
        <v>769</v>
      </c>
      <c r="B476" s="163" t="s">
        <v>770</v>
      </c>
      <c r="C476" s="311"/>
      <c r="D476" s="34">
        <f>D477</f>
        <v>2403.9</v>
      </c>
      <c r="E476" s="34">
        <f t="shared" si="186"/>
        <v>2403.9</v>
      </c>
      <c r="F476" s="34">
        <f t="shared" si="186"/>
        <v>1502.4</v>
      </c>
      <c r="G476" s="535">
        <f t="shared" si="183"/>
        <v>0.62498440034943215</v>
      </c>
    </row>
    <row r="477" spans="1:7" s="188" customFormat="1" ht="63" x14ac:dyDescent="0.25">
      <c r="A477" s="278" t="s">
        <v>771</v>
      </c>
      <c r="B477" s="163" t="s">
        <v>772</v>
      </c>
      <c r="C477" s="311"/>
      <c r="D477" s="34">
        <f>D478</f>
        <v>2403.9</v>
      </c>
      <c r="E477" s="34">
        <f t="shared" si="186"/>
        <v>2403.9</v>
      </c>
      <c r="F477" s="34">
        <f t="shared" si="186"/>
        <v>1502.4</v>
      </c>
      <c r="G477" s="535">
        <f t="shared" si="183"/>
        <v>0.62498440034943215</v>
      </c>
    </row>
    <row r="478" spans="1:7" s="188" customFormat="1" ht="31.5" x14ac:dyDescent="0.25">
      <c r="A478" s="278" t="s">
        <v>62</v>
      </c>
      <c r="B478" s="163" t="s">
        <v>772</v>
      </c>
      <c r="C478" s="311">
        <v>600</v>
      </c>
      <c r="D478" s="34">
        <f>D479</f>
        <v>2403.9</v>
      </c>
      <c r="E478" s="34">
        <f t="shared" si="186"/>
        <v>2403.9</v>
      </c>
      <c r="F478" s="34">
        <f t="shared" si="186"/>
        <v>1502.4</v>
      </c>
      <c r="G478" s="535">
        <f t="shared" si="183"/>
        <v>0.62498440034943215</v>
      </c>
    </row>
    <row r="479" spans="1:7" s="188" customFormat="1" x14ac:dyDescent="0.25">
      <c r="A479" s="278" t="s">
        <v>63</v>
      </c>
      <c r="B479" s="163" t="s">
        <v>772</v>
      </c>
      <c r="C479" s="311">
        <v>610</v>
      </c>
      <c r="D479" s="34">
        <f>'Функц. 2023-2025'!F586</f>
        <v>2403.9</v>
      </c>
      <c r="E479" s="34">
        <f>'Функц. 2023-2025'!H586</f>
        <v>2403.9</v>
      </c>
      <c r="F479" s="34">
        <f>'Функц. 2023-2025'!J586</f>
        <v>1502.4</v>
      </c>
      <c r="G479" s="535">
        <f t="shared" si="183"/>
        <v>0.62498440034943215</v>
      </c>
    </row>
    <row r="480" spans="1:7" x14ac:dyDescent="0.25">
      <c r="A480" s="295" t="s">
        <v>324</v>
      </c>
      <c r="B480" s="163" t="s">
        <v>325</v>
      </c>
      <c r="C480" s="309"/>
      <c r="D480" s="34">
        <f>D481+D487</f>
        <v>1568.3</v>
      </c>
      <c r="E480" s="34">
        <f t="shared" ref="E480:F480" si="187">E481+E487</f>
        <v>1568.3</v>
      </c>
      <c r="F480" s="34">
        <f t="shared" si="187"/>
        <v>1562.5</v>
      </c>
      <c r="G480" s="535">
        <f t="shared" si="183"/>
        <v>0.99630172798571703</v>
      </c>
    </row>
    <row r="481" spans="1:7" x14ac:dyDescent="0.25">
      <c r="A481" s="296" t="s">
        <v>591</v>
      </c>
      <c r="B481" s="163" t="s">
        <v>326</v>
      </c>
      <c r="C481" s="309"/>
      <c r="D481" s="34">
        <f t="shared" ref="D481:F483" si="188">D482</f>
        <v>634</v>
      </c>
      <c r="E481" s="34">
        <f t="shared" si="188"/>
        <v>634</v>
      </c>
      <c r="F481" s="34">
        <f t="shared" si="188"/>
        <v>628.20000000000005</v>
      </c>
      <c r="G481" s="535">
        <f t="shared" si="183"/>
        <v>0.99085173501577295</v>
      </c>
    </row>
    <row r="482" spans="1:7" ht="31.5" x14ac:dyDescent="0.25">
      <c r="A482" s="302" t="s">
        <v>327</v>
      </c>
      <c r="B482" s="163" t="s">
        <v>328</v>
      </c>
      <c r="C482" s="309"/>
      <c r="D482" s="34">
        <f>D483+D485</f>
        <v>634</v>
      </c>
      <c r="E482" s="34">
        <f>E483+E485</f>
        <v>634</v>
      </c>
      <c r="F482" s="34">
        <f>F483+F485</f>
        <v>628.20000000000005</v>
      </c>
      <c r="G482" s="535">
        <f t="shared" si="183"/>
        <v>0.99085173501577295</v>
      </c>
    </row>
    <row r="483" spans="1:7" x14ac:dyDescent="0.25">
      <c r="A483" s="297" t="s">
        <v>123</v>
      </c>
      <c r="B483" s="163" t="s">
        <v>328</v>
      </c>
      <c r="C483" s="309">
        <v>200</v>
      </c>
      <c r="D483" s="34">
        <f t="shared" si="188"/>
        <v>280</v>
      </c>
      <c r="E483" s="34">
        <f t="shared" si="188"/>
        <v>280</v>
      </c>
      <c r="F483" s="34">
        <f t="shared" si="188"/>
        <v>280</v>
      </c>
      <c r="G483" s="535">
        <f t="shared" si="183"/>
        <v>1</v>
      </c>
    </row>
    <row r="484" spans="1:7" x14ac:dyDescent="0.25">
      <c r="A484" s="297" t="s">
        <v>54</v>
      </c>
      <c r="B484" s="163" t="s">
        <v>328</v>
      </c>
      <c r="C484" s="309">
        <v>240</v>
      </c>
      <c r="D484" s="34">
        <f>'Функц. 2023-2025'!F705</f>
        <v>280</v>
      </c>
      <c r="E484" s="34">
        <f>'Функц. 2023-2025'!H705</f>
        <v>280</v>
      </c>
      <c r="F484" s="34">
        <f>'Функц. 2023-2025'!J705</f>
        <v>280</v>
      </c>
      <c r="G484" s="535">
        <f t="shared" si="183"/>
        <v>1</v>
      </c>
    </row>
    <row r="485" spans="1:7" s="188" customFormat="1" ht="31.5" x14ac:dyDescent="0.25">
      <c r="A485" s="433" t="s">
        <v>62</v>
      </c>
      <c r="B485" s="163" t="s">
        <v>328</v>
      </c>
      <c r="C485" s="309">
        <v>600</v>
      </c>
      <c r="D485" s="34">
        <f>D486</f>
        <v>354</v>
      </c>
      <c r="E485" s="34">
        <f t="shared" ref="E485:F485" si="189">E486</f>
        <v>354</v>
      </c>
      <c r="F485" s="34">
        <f t="shared" si="189"/>
        <v>348.2</v>
      </c>
      <c r="G485" s="535">
        <f t="shared" si="183"/>
        <v>0.98361581920903951</v>
      </c>
    </row>
    <row r="486" spans="1:7" s="188" customFormat="1" x14ac:dyDescent="0.25">
      <c r="A486" s="433" t="s">
        <v>63</v>
      </c>
      <c r="B486" s="163" t="s">
        <v>328</v>
      </c>
      <c r="C486" s="309">
        <v>610</v>
      </c>
      <c r="D486" s="34">
        <f>'Функц. 2023-2025'!F707</f>
        <v>354</v>
      </c>
      <c r="E486" s="34">
        <f>'Функц. 2023-2025'!H707</f>
        <v>354</v>
      </c>
      <c r="F486" s="34">
        <f>'Функц. 2023-2025'!J707</f>
        <v>348.2</v>
      </c>
      <c r="G486" s="535">
        <f t="shared" si="183"/>
        <v>0.98361581920903951</v>
      </c>
    </row>
    <row r="487" spans="1:7" s="188" customFormat="1" ht="63" x14ac:dyDescent="0.25">
      <c r="A487" s="402" t="s">
        <v>667</v>
      </c>
      <c r="B487" s="333" t="s">
        <v>669</v>
      </c>
      <c r="C487" s="207"/>
      <c r="D487" s="34">
        <f t="shared" ref="D487:F488" si="190">D488</f>
        <v>934.3</v>
      </c>
      <c r="E487" s="34">
        <f t="shared" si="190"/>
        <v>934.3</v>
      </c>
      <c r="F487" s="34">
        <f t="shared" si="190"/>
        <v>934.3</v>
      </c>
      <c r="G487" s="535">
        <f t="shared" si="183"/>
        <v>1</v>
      </c>
    </row>
    <row r="488" spans="1:7" s="188" customFormat="1" ht="31.5" x14ac:dyDescent="0.25">
      <c r="A488" s="402" t="s">
        <v>668</v>
      </c>
      <c r="B488" s="333" t="s">
        <v>670</v>
      </c>
      <c r="C488" s="586"/>
      <c r="D488" s="34">
        <f t="shared" si="190"/>
        <v>934.3</v>
      </c>
      <c r="E488" s="34">
        <f t="shared" si="190"/>
        <v>934.3</v>
      </c>
      <c r="F488" s="34">
        <f t="shared" si="190"/>
        <v>934.3</v>
      </c>
      <c r="G488" s="535">
        <f t="shared" si="183"/>
        <v>1</v>
      </c>
    </row>
    <row r="489" spans="1:7" ht="31.5" x14ac:dyDescent="0.25">
      <c r="A489" s="433" t="s">
        <v>62</v>
      </c>
      <c r="B489" s="333" t="s">
        <v>670</v>
      </c>
      <c r="C489" s="309">
        <v>600</v>
      </c>
      <c r="D489" s="34">
        <f>D490</f>
        <v>934.3</v>
      </c>
      <c r="E489" s="34">
        <f t="shared" ref="E489:F489" si="191">E490</f>
        <v>934.3</v>
      </c>
      <c r="F489" s="34">
        <f t="shared" si="191"/>
        <v>934.3</v>
      </c>
      <c r="G489" s="535">
        <f t="shared" si="183"/>
        <v>1</v>
      </c>
    </row>
    <row r="490" spans="1:7" x14ac:dyDescent="0.25">
      <c r="A490" s="433" t="s">
        <v>63</v>
      </c>
      <c r="B490" s="333" t="s">
        <v>670</v>
      </c>
      <c r="C490" s="309">
        <v>610</v>
      </c>
      <c r="D490" s="34">
        <f>'Функц. 2023-2025'!F710</f>
        <v>934.3</v>
      </c>
      <c r="E490" s="34">
        <f>'Функц. 2023-2025'!H710</f>
        <v>934.3</v>
      </c>
      <c r="F490" s="34">
        <f>'Функц. 2023-2025'!J710</f>
        <v>934.3</v>
      </c>
      <c r="G490" s="535">
        <f t="shared" si="183"/>
        <v>1</v>
      </c>
    </row>
    <row r="491" spans="1:7" s="188" customFormat="1" x14ac:dyDescent="0.25">
      <c r="A491" s="280" t="s">
        <v>50</v>
      </c>
      <c r="B491" s="163" t="s">
        <v>502</v>
      </c>
      <c r="C491" s="309"/>
      <c r="D491" s="34">
        <f>D492+D496</f>
        <v>4067.5</v>
      </c>
      <c r="E491" s="34">
        <f>E492+E496</f>
        <v>4067.5</v>
      </c>
      <c r="F491" s="34">
        <f>F492+F496</f>
        <v>4067.3</v>
      </c>
      <c r="G491" s="535">
        <f t="shared" si="183"/>
        <v>0.99995082974800253</v>
      </c>
    </row>
    <row r="492" spans="1:7" s="188" customFormat="1" x14ac:dyDescent="0.25">
      <c r="A492" s="302" t="s">
        <v>515</v>
      </c>
      <c r="B492" s="163" t="s">
        <v>503</v>
      </c>
      <c r="C492" s="309"/>
      <c r="D492" s="34">
        <f>D493</f>
        <v>4067.3</v>
      </c>
      <c r="E492" s="34">
        <f t="shared" ref="E492:F493" si="192">E493</f>
        <v>4067.3</v>
      </c>
      <c r="F492" s="34">
        <f t="shared" si="192"/>
        <v>4067.3</v>
      </c>
      <c r="G492" s="535">
        <f t="shared" si="183"/>
        <v>1</v>
      </c>
    </row>
    <row r="493" spans="1:7" ht="31.5" x14ac:dyDescent="0.25">
      <c r="A493" s="280" t="s">
        <v>514</v>
      </c>
      <c r="B493" s="163" t="s">
        <v>510</v>
      </c>
      <c r="C493" s="323"/>
      <c r="D493" s="34">
        <f>D494</f>
        <v>4067.3</v>
      </c>
      <c r="E493" s="34">
        <f t="shared" si="192"/>
        <v>4067.3</v>
      </c>
      <c r="F493" s="34">
        <f t="shared" si="192"/>
        <v>4067.3</v>
      </c>
      <c r="G493" s="535">
        <f t="shared" si="183"/>
        <v>1</v>
      </c>
    </row>
    <row r="494" spans="1:7" ht="47.25" x14ac:dyDescent="0.25">
      <c r="A494" s="297" t="s">
        <v>43</v>
      </c>
      <c r="B494" s="163" t="s">
        <v>510</v>
      </c>
      <c r="C494" s="309">
        <v>100</v>
      </c>
      <c r="D494" s="34">
        <f t="shared" ref="D494:F494" si="193">D495</f>
        <v>4067.3</v>
      </c>
      <c r="E494" s="34">
        <f t="shared" si="193"/>
        <v>4067.3</v>
      </c>
      <c r="F494" s="34">
        <f t="shared" si="193"/>
        <v>4067.3</v>
      </c>
      <c r="G494" s="535">
        <f t="shared" si="183"/>
        <v>1</v>
      </c>
    </row>
    <row r="495" spans="1:7" x14ac:dyDescent="0.25">
      <c r="A495" s="297" t="s">
        <v>99</v>
      </c>
      <c r="B495" s="163" t="s">
        <v>510</v>
      </c>
      <c r="C495" s="309">
        <v>120</v>
      </c>
      <c r="D495" s="34">
        <f>'Функц. 2023-2025'!F257</f>
        <v>4067.3</v>
      </c>
      <c r="E495" s="34">
        <f>'Функц. 2023-2025'!H257</f>
        <v>4067.3</v>
      </c>
      <c r="F495" s="34">
        <f>'Функц. 2023-2025'!J257</f>
        <v>4067.3</v>
      </c>
      <c r="G495" s="535">
        <f t="shared" si="183"/>
        <v>1</v>
      </c>
    </row>
    <row r="496" spans="1:7" ht="31.5" x14ac:dyDescent="0.25">
      <c r="A496" s="296" t="s">
        <v>329</v>
      </c>
      <c r="B496" s="163" t="s">
        <v>511</v>
      </c>
      <c r="C496" s="309"/>
      <c r="D496" s="34">
        <f t="shared" ref="D496:F498" si="194">D497</f>
        <v>0.20000000000000018</v>
      </c>
      <c r="E496" s="34">
        <f t="shared" si="194"/>
        <v>0.20000000000000018</v>
      </c>
      <c r="F496" s="34">
        <f t="shared" si="194"/>
        <v>0</v>
      </c>
      <c r="G496" s="535">
        <f t="shared" si="183"/>
        <v>0</v>
      </c>
    </row>
    <row r="497" spans="1:7" ht="31.5" x14ac:dyDescent="0.25">
      <c r="A497" s="295" t="s">
        <v>513</v>
      </c>
      <c r="B497" s="163" t="s">
        <v>512</v>
      </c>
      <c r="C497" s="309"/>
      <c r="D497" s="34">
        <f t="shared" si="194"/>
        <v>0.20000000000000018</v>
      </c>
      <c r="E497" s="34">
        <f t="shared" si="194"/>
        <v>0.20000000000000018</v>
      </c>
      <c r="F497" s="34">
        <f t="shared" si="194"/>
        <v>0</v>
      </c>
      <c r="G497" s="535">
        <f t="shared" si="183"/>
        <v>0</v>
      </c>
    </row>
    <row r="498" spans="1:7" x14ac:dyDescent="0.25">
      <c r="A498" s="297" t="s">
        <v>123</v>
      </c>
      <c r="B498" s="163" t="s">
        <v>512</v>
      </c>
      <c r="C498" s="309">
        <v>200</v>
      </c>
      <c r="D498" s="34">
        <f t="shared" si="194"/>
        <v>0.20000000000000018</v>
      </c>
      <c r="E498" s="34">
        <f t="shared" si="194"/>
        <v>0.20000000000000018</v>
      </c>
      <c r="F498" s="34">
        <f t="shared" si="194"/>
        <v>0</v>
      </c>
      <c r="G498" s="535">
        <f t="shared" si="183"/>
        <v>0</v>
      </c>
    </row>
    <row r="499" spans="1:7" x14ac:dyDescent="0.25">
      <c r="A499" s="297" t="s">
        <v>54</v>
      </c>
      <c r="B499" s="163" t="s">
        <v>512</v>
      </c>
      <c r="C499" s="309">
        <v>240</v>
      </c>
      <c r="D499" s="34">
        <f>'Функц. 2023-2025'!F224</f>
        <v>0.20000000000000018</v>
      </c>
      <c r="E499" s="34">
        <f>'Функц. 2023-2025'!H224</f>
        <v>0.20000000000000018</v>
      </c>
      <c r="F499" s="34">
        <f>'Функц. 2023-2025'!J224</f>
        <v>0</v>
      </c>
      <c r="G499" s="535">
        <f t="shared" si="183"/>
        <v>0</v>
      </c>
    </row>
    <row r="500" spans="1:7" ht="31.5" x14ac:dyDescent="0.25">
      <c r="A500" s="435" t="s">
        <v>237</v>
      </c>
      <c r="B500" s="446" t="s">
        <v>238</v>
      </c>
      <c r="C500" s="314"/>
      <c r="D500" s="37">
        <f>D521+D501+D510</f>
        <v>57540.4</v>
      </c>
      <c r="E500" s="37">
        <f>E521+E501+E510</f>
        <v>57555.4</v>
      </c>
      <c r="F500" s="37">
        <f>F521+F501+F510</f>
        <v>57400.6</v>
      </c>
      <c r="G500" s="536">
        <f t="shared" si="183"/>
        <v>0.99731041744128257</v>
      </c>
    </row>
    <row r="501" spans="1:7" x14ac:dyDescent="0.25">
      <c r="A501" s="299" t="s">
        <v>239</v>
      </c>
      <c r="B501" s="163" t="s">
        <v>240</v>
      </c>
      <c r="C501" s="309"/>
      <c r="D501" s="34">
        <f t="shared" ref="D501:F502" si="195">D502</f>
        <v>112.2</v>
      </c>
      <c r="E501" s="34">
        <f t="shared" si="195"/>
        <v>112.2</v>
      </c>
      <c r="F501" s="34">
        <f t="shared" si="195"/>
        <v>112.1</v>
      </c>
      <c r="G501" s="535">
        <f t="shared" si="183"/>
        <v>0.99910873440285197</v>
      </c>
    </row>
    <row r="502" spans="1:7" x14ac:dyDescent="0.25">
      <c r="A502" s="301" t="s">
        <v>469</v>
      </c>
      <c r="B502" s="163" t="s">
        <v>361</v>
      </c>
      <c r="C502" s="309"/>
      <c r="D502" s="34">
        <f t="shared" si="195"/>
        <v>112.2</v>
      </c>
      <c r="E502" s="34">
        <f t="shared" si="195"/>
        <v>112.2</v>
      </c>
      <c r="F502" s="34">
        <f t="shared" si="195"/>
        <v>112.1</v>
      </c>
      <c r="G502" s="535">
        <f t="shared" si="183"/>
        <v>0.99910873440285197</v>
      </c>
    </row>
    <row r="503" spans="1:7" ht="47.25" x14ac:dyDescent="0.25">
      <c r="A503" s="301" t="s">
        <v>241</v>
      </c>
      <c r="B503" s="163" t="s">
        <v>362</v>
      </c>
      <c r="C503" s="309"/>
      <c r="D503" s="34">
        <f>D504+D507</f>
        <v>112.2</v>
      </c>
      <c r="E503" s="34">
        <f>E504+E507</f>
        <v>112.2</v>
      </c>
      <c r="F503" s="34">
        <f>F504+F507</f>
        <v>112.1</v>
      </c>
      <c r="G503" s="535">
        <f t="shared" si="183"/>
        <v>0.99910873440285197</v>
      </c>
    </row>
    <row r="504" spans="1:7" ht="47.25" x14ac:dyDescent="0.25">
      <c r="A504" s="301" t="s">
        <v>338</v>
      </c>
      <c r="B504" s="163" t="s">
        <v>363</v>
      </c>
      <c r="C504" s="309"/>
      <c r="D504" s="34">
        <f t="shared" ref="D504:F505" si="196">D505</f>
        <v>0.1</v>
      </c>
      <c r="E504" s="34">
        <f t="shared" si="196"/>
        <v>0.1</v>
      </c>
      <c r="F504" s="34">
        <f t="shared" si="196"/>
        <v>0</v>
      </c>
      <c r="G504" s="535">
        <f t="shared" si="183"/>
        <v>0</v>
      </c>
    </row>
    <row r="505" spans="1:7" x14ac:dyDescent="0.25">
      <c r="A505" s="297" t="s">
        <v>123</v>
      </c>
      <c r="B505" s="163" t="s">
        <v>363</v>
      </c>
      <c r="C505" s="309">
        <v>200</v>
      </c>
      <c r="D505" s="34">
        <f t="shared" si="196"/>
        <v>0.1</v>
      </c>
      <c r="E505" s="34">
        <f t="shared" si="196"/>
        <v>0.1</v>
      </c>
      <c r="F505" s="34">
        <f t="shared" si="196"/>
        <v>0</v>
      </c>
      <c r="G505" s="535">
        <f t="shared" si="183"/>
        <v>0</v>
      </c>
    </row>
    <row r="506" spans="1:7" x14ac:dyDescent="0.25">
      <c r="A506" s="297" t="s">
        <v>54</v>
      </c>
      <c r="B506" s="163" t="s">
        <v>363</v>
      </c>
      <c r="C506" s="309">
        <v>240</v>
      </c>
      <c r="D506" s="34">
        <f>'Функц. 2023-2025'!F345</f>
        <v>0.1</v>
      </c>
      <c r="E506" s="34">
        <f>'Функц. 2023-2025'!H345</f>
        <v>0.1</v>
      </c>
      <c r="F506" s="34">
        <f>'Функц. 2023-2025'!J345</f>
        <v>0</v>
      </c>
      <c r="G506" s="535">
        <f t="shared" si="183"/>
        <v>0</v>
      </c>
    </row>
    <row r="507" spans="1:7" ht="47.25" x14ac:dyDescent="0.25">
      <c r="A507" s="297" t="s">
        <v>339</v>
      </c>
      <c r="B507" s="163" t="s">
        <v>364</v>
      </c>
      <c r="C507" s="309"/>
      <c r="D507" s="34">
        <f t="shared" ref="D507:F508" si="197">D508</f>
        <v>112.10000000000001</v>
      </c>
      <c r="E507" s="34">
        <f t="shared" si="197"/>
        <v>112.10000000000001</v>
      </c>
      <c r="F507" s="34">
        <f t="shared" si="197"/>
        <v>112.1</v>
      </c>
      <c r="G507" s="535">
        <f t="shared" si="183"/>
        <v>0.99999999999999989</v>
      </c>
    </row>
    <row r="508" spans="1:7" x14ac:dyDescent="0.25">
      <c r="A508" s="297" t="s">
        <v>123</v>
      </c>
      <c r="B508" s="163" t="s">
        <v>364</v>
      </c>
      <c r="C508" s="309">
        <v>200</v>
      </c>
      <c r="D508" s="34">
        <f t="shared" si="197"/>
        <v>112.10000000000001</v>
      </c>
      <c r="E508" s="34">
        <f t="shared" si="197"/>
        <v>112.10000000000001</v>
      </c>
      <c r="F508" s="34">
        <f t="shared" si="197"/>
        <v>112.1</v>
      </c>
      <c r="G508" s="535">
        <f t="shared" si="183"/>
        <v>0.99999999999999989</v>
      </c>
    </row>
    <row r="509" spans="1:7" x14ac:dyDescent="0.25">
      <c r="A509" s="297" t="s">
        <v>54</v>
      </c>
      <c r="B509" s="163" t="s">
        <v>364</v>
      </c>
      <c r="C509" s="309">
        <v>240</v>
      </c>
      <c r="D509" s="34">
        <f>'Функц. 2023-2025'!F349</f>
        <v>112.10000000000001</v>
      </c>
      <c r="E509" s="34">
        <f>'Функц. 2023-2025'!H349</f>
        <v>112.10000000000001</v>
      </c>
      <c r="F509" s="34">
        <f>'Функц. 2023-2025'!J349</f>
        <v>112.1</v>
      </c>
      <c r="G509" s="535">
        <f t="shared" si="183"/>
        <v>0.99999999999999989</v>
      </c>
    </row>
    <row r="510" spans="1:7" x14ac:dyDescent="0.25">
      <c r="A510" s="299" t="s">
        <v>243</v>
      </c>
      <c r="B510" s="163" t="s">
        <v>244</v>
      </c>
      <c r="C510" s="309"/>
      <c r="D510" s="34">
        <f>D511</f>
        <v>35148.800000000003</v>
      </c>
      <c r="E510" s="34">
        <f t="shared" ref="E510:F510" si="198">E511</f>
        <v>35163.800000000003</v>
      </c>
      <c r="F510" s="34">
        <f t="shared" si="198"/>
        <v>35102.9</v>
      </c>
      <c r="G510" s="535">
        <f t="shared" si="183"/>
        <v>0.99826810526734877</v>
      </c>
    </row>
    <row r="511" spans="1:7" ht="31.5" x14ac:dyDescent="0.25">
      <c r="A511" s="301" t="s">
        <v>242</v>
      </c>
      <c r="B511" s="163" t="s">
        <v>574</v>
      </c>
      <c r="C511" s="311"/>
      <c r="D511" s="34">
        <f>D515+D518+D512</f>
        <v>35148.800000000003</v>
      </c>
      <c r="E511" s="34">
        <f>E515+E518+E512</f>
        <v>35163.800000000003</v>
      </c>
      <c r="F511" s="34">
        <f>F515+F518+F512</f>
        <v>35102.9</v>
      </c>
      <c r="G511" s="535">
        <f t="shared" si="183"/>
        <v>0.99826810526734877</v>
      </c>
    </row>
    <row r="512" spans="1:7" s="188" customFormat="1" ht="31.5" x14ac:dyDescent="0.25">
      <c r="A512" s="410" t="s">
        <v>383</v>
      </c>
      <c r="B512" s="163" t="s">
        <v>575</v>
      </c>
      <c r="C512" s="311"/>
      <c r="D512" s="34">
        <f t="shared" ref="D512:F513" si="199">D513</f>
        <v>630.79999999999995</v>
      </c>
      <c r="E512" s="34">
        <f t="shared" si="199"/>
        <v>645.79999999999995</v>
      </c>
      <c r="F512" s="34">
        <f t="shared" si="199"/>
        <v>630.6</v>
      </c>
      <c r="G512" s="535">
        <f t="shared" si="183"/>
        <v>0.97646330133168169</v>
      </c>
    </row>
    <row r="513" spans="1:7" s="188" customFormat="1" x14ac:dyDescent="0.25">
      <c r="A513" s="278" t="s">
        <v>123</v>
      </c>
      <c r="B513" s="163" t="s">
        <v>575</v>
      </c>
      <c r="C513" s="309">
        <v>200</v>
      </c>
      <c r="D513" s="34">
        <f t="shared" si="199"/>
        <v>630.79999999999995</v>
      </c>
      <c r="E513" s="34">
        <f t="shared" si="199"/>
        <v>645.79999999999995</v>
      </c>
      <c r="F513" s="34">
        <f t="shared" si="199"/>
        <v>630.6</v>
      </c>
      <c r="G513" s="535">
        <f t="shared" si="183"/>
        <v>0.97646330133168169</v>
      </c>
    </row>
    <row r="514" spans="1:7" s="188" customFormat="1" x14ac:dyDescent="0.25">
      <c r="A514" s="278" t="s">
        <v>54</v>
      </c>
      <c r="B514" s="163" t="s">
        <v>575</v>
      </c>
      <c r="C514" s="309">
        <v>240</v>
      </c>
      <c r="D514" s="34">
        <f>'Функц. 2023-2025'!F356</f>
        <v>630.79999999999995</v>
      </c>
      <c r="E514" s="34">
        <f>'Функц. 2023-2025'!H356</f>
        <v>645.79999999999995</v>
      </c>
      <c r="F514" s="34">
        <f>'Функц. 2023-2025'!J356</f>
        <v>630.6</v>
      </c>
      <c r="G514" s="535">
        <f t="shared" si="183"/>
        <v>0.97646330133168169</v>
      </c>
    </row>
    <row r="515" spans="1:7" x14ac:dyDescent="0.25">
      <c r="A515" s="283" t="s">
        <v>370</v>
      </c>
      <c r="B515" s="163" t="s">
        <v>576</v>
      </c>
      <c r="C515" s="309"/>
      <c r="D515" s="34">
        <f t="shared" ref="D515:F516" si="200">D516</f>
        <v>7318</v>
      </c>
      <c r="E515" s="34">
        <f t="shared" si="200"/>
        <v>7318</v>
      </c>
      <c r="F515" s="34">
        <f t="shared" si="200"/>
        <v>7273</v>
      </c>
      <c r="G515" s="535">
        <f t="shared" si="183"/>
        <v>0.99385077890133922</v>
      </c>
    </row>
    <row r="516" spans="1:7" x14ac:dyDescent="0.25">
      <c r="A516" s="297" t="s">
        <v>123</v>
      </c>
      <c r="B516" s="163" t="s">
        <v>576</v>
      </c>
      <c r="C516" s="309">
        <v>200</v>
      </c>
      <c r="D516" s="34">
        <f t="shared" si="200"/>
        <v>7318</v>
      </c>
      <c r="E516" s="34">
        <f t="shared" si="200"/>
        <v>7318</v>
      </c>
      <c r="F516" s="34">
        <f t="shared" si="200"/>
        <v>7273</v>
      </c>
      <c r="G516" s="535">
        <f t="shared" si="183"/>
        <v>0.99385077890133922</v>
      </c>
    </row>
    <row r="517" spans="1:7" x14ac:dyDescent="0.25">
      <c r="A517" s="297" t="s">
        <v>54</v>
      </c>
      <c r="B517" s="163" t="s">
        <v>576</v>
      </c>
      <c r="C517" s="309">
        <v>240</v>
      </c>
      <c r="D517" s="34">
        <f>'Функц. 2023-2025'!F359</f>
        <v>7318</v>
      </c>
      <c r="E517" s="34">
        <f>'Функц. 2023-2025'!H359</f>
        <v>7318</v>
      </c>
      <c r="F517" s="34">
        <f>'Функц. 2023-2025'!J359</f>
        <v>7273</v>
      </c>
      <c r="G517" s="535">
        <f t="shared" si="183"/>
        <v>0.99385077890133922</v>
      </c>
    </row>
    <row r="518" spans="1:7" ht="31.5" x14ac:dyDescent="0.25">
      <c r="A518" s="301" t="s">
        <v>342</v>
      </c>
      <c r="B518" s="163" t="s">
        <v>577</v>
      </c>
      <c r="C518" s="309"/>
      <c r="D518" s="34">
        <f t="shared" ref="D518:F519" si="201">D519</f>
        <v>27200</v>
      </c>
      <c r="E518" s="34">
        <f t="shared" si="201"/>
        <v>27200</v>
      </c>
      <c r="F518" s="34">
        <f t="shared" si="201"/>
        <v>27199.3</v>
      </c>
      <c r="G518" s="535">
        <f t="shared" si="183"/>
        <v>0.99997426470588235</v>
      </c>
    </row>
    <row r="519" spans="1:7" x14ac:dyDescent="0.25">
      <c r="A519" s="297" t="s">
        <v>123</v>
      </c>
      <c r="B519" s="163" t="s">
        <v>577</v>
      </c>
      <c r="C519" s="309">
        <v>200</v>
      </c>
      <c r="D519" s="34">
        <f t="shared" si="201"/>
        <v>27200</v>
      </c>
      <c r="E519" s="34">
        <f t="shared" si="201"/>
        <v>27200</v>
      </c>
      <c r="F519" s="34">
        <f t="shared" si="201"/>
        <v>27199.3</v>
      </c>
      <c r="G519" s="535">
        <f t="shared" si="183"/>
        <v>0.99997426470588235</v>
      </c>
    </row>
    <row r="520" spans="1:7" x14ac:dyDescent="0.25">
      <c r="A520" s="297" t="s">
        <v>54</v>
      </c>
      <c r="B520" s="163" t="s">
        <v>577</v>
      </c>
      <c r="C520" s="309">
        <v>240</v>
      </c>
      <c r="D520" s="34">
        <f>'Функц. 2023-2025'!F362</f>
        <v>27200</v>
      </c>
      <c r="E520" s="34">
        <f>'Функц. 2023-2025'!H362</f>
        <v>27200</v>
      </c>
      <c r="F520" s="34">
        <f>'Функц. 2023-2025'!J362</f>
        <v>27199.3</v>
      </c>
      <c r="G520" s="535">
        <f t="shared" si="183"/>
        <v>0.99997426470588235</v>
      </c>
    </row>
    <row r="521" spans="1:7" x14ac:dyDescent="0.25">
      <c r="A521" s="299" t="s">
        <v>50</v>
      </c>
      <c r="B521" s="163" t="s">
        <v>365</v>
      </c>
      <c r="C521" s="311"/>
      <c r="D521" s="34">
        <f t="shared" ref="D521:F524" si="202">D522</f>
        <v>22279.399999999998</v>
      </c>
      <c r="E521" s="34">
        <f t="shared" si="202"/>
        <v>22279.399999999998</v>
      </c>
      <c r="F521" s="34">
        <f t="shared" si="202"/>
        <v>22185.599999999999</v>
      </c>
      <c r="G521" s="535">
        <f t="shared" si="183"/>
        <v>0.99578983276030775</v>
      </c>
    </row>
    <row r="522" spans="1:7" ht="31.5" x14ac:dyDescent="0.25">
      <c r="A522" s="299" t="s">
        <v>200</v>
      </c>
      <c r="B522" s="163" t="s">
        <v>366</v>
      </c>
      <c r="C522" s="309"/>
      <c r="D522" s="34">
        <f t="shared" si="202"/>
        <v>22279.399999999998</v>
      </c>
      <c r="E522" s="34">
        <f t="shared" si="202"/>
        <v>22279.399999999998</v>
      </c>
      <c r="F522" s="34">
        <f t="shared" si="202"/>
        <v>22185.599999999999</v>
      </c>
      <c r="G522" s="535">
        <f t="shared" si="183"/>
        <v>0.99578983276030775</v>
      </c>
    </row>
    <row r="523" spans="1:7" ht="31.5" x14ac:dyDescent="0.25">
      <c r="A523" s="300" t="s">
        <v>337</v>
      </c>
      <c r="B523" s="163" t="s">
        <v>367</v>
      </c>
      <c r="C523" s="309"/>
      <c r="D523" s="34">
        <f t="shared" si="202"/>
        <v>22279.399999999998</v>
      </c>
      <c r="E523" s="34">
        <f t="shared" si="202"/>
        <v>22279.399999999998</v>
      </c>
      <c r="F523" s="34">
        <f t="shared" si="202"/>
        <v>22185.599999999999</v>
      </c>
      <c r="G523" s="535">
        <f t="shared" si="183"/>
        <v>0.99578983276030775</v>
      </c>
    </row>
    <row r="524" spans="1:7" ht="31.5" x14ac:dyDescent="0.25">
      <c r="A524" s="433" t="s">
        <v>62</v>
      </c>
      <c r="B524" s="163" t="s">
        <v>367</v>
      </c>
      <c r="C524" s="309">
        <v>600</v>
      </c>
      <c r="D524" s="34">
        <f t="shared" si="202"/>
        <v>22279.399999999998</v>
      </c>
      <c r="E524" s="34">
        <f t="shared" si="202"/>
        <v>22279.399999999998</v>
      </c>
      <c r="F524" s="34">
        <f t="shared" si="202"/>
        <v>22185.599999999999</v>
      </c>
      <c r="G524" s="535">
        <f t="shared" si="183"/>
        <v>0.99578983276030775</v>
      </c>
    </row>
    <row r="525" spans="1:7" x14ac:dyDescent="0.25">
      <c r="A525" s="433" t="s">
        <v>63</v>
      </c>
      <c r="B525" s="163" t="s">
        <v>367</v>
      </c>
      <c r="C525" s="309">
        <v>610</v>
      </c>
      <c r="D525" s="34">
        <f>'Функц. 2023-2025'!F367</f>
        <v>22279.399999999998</v>
      </c>
      <c r="E525" s="34">
        <f>'Функц. 2023-2025'!H367</f>
        <v>22279.399999999998</v>
      </c>
      <c r="F525" s="34">
        <f>'Функц. 2023-2025'!J367</f>
        <v>22185.599999999999</v>
      </c>
      <c r="G525" s="535">
        <f t="shared" si="183"/>
        <v>0.99578983276030775</v>
      </c>
    </row>
    <row r="526" spans="1:7" x14ac:dyDescent="0.25">
      <c r="A526" s="435" t="s">
        <v>245</v>
      </c>
      <c r="B526" s="446" t="s">
        <v>246</v>
      </c>
      <c r="C526" s="314"/>
      <c r="D526" s="37">
        <f>D532+D527+D545+D550</f>
        <v>46675.7</v>
      </c>
      <c r="E526" s="37">
        <f>E532+E527+E545+E550</f>
        <v>48589.7</v>
      </c>
      <c r="F526" s="37">
        <f>F532+F527+F545+F550</f>
        <v>48358.7</v>
      </c>
      <c r="G526" s="536">
        <f t="shared" si="183"/>
        <v>0.99524590602535101</v>
      </c>
    </row>
    <row r="527" spans="1:7" ht="47.25" x14ac:dyDescent="0.25">
      <c r="A527" s="299" t="s">
        <v>618</v>
      </c>
      <c r="B527" s="163" t="s">
        <v>247</v>
      </c>
      <c r="C527" s="309"/>
      <c r="D527" s="34">
        <f>D528</f>
        <v>0</v>
      </c>
      <c r="E527" s="34">
        <f t="shared" ref="E527:F527" si="203">E528</f>
        <v>2015</v>
      </c>
      <c r="F527" s="34">
        <f t="shared" si="203"/>
        <v>2015</v>
      </c>
      <c r="G527" s="535">
        <f t="shared" si="183"/>
        <v>1</v>
      </c>
    </row>
    <row r="528" spans="1:7" s="188" customFormat="1" ht="31.5" x14ac:dyDescent="0.25">
      <c r="A528" s="278" t="s">
        <v>800</v>
      </c>
      <c r="B528" s="163" t="s">
        <v>801</v>
      </c>
      <c r="C528" s="309"/>
      <c r="D528" s="34">
        <f>D529</f>
        <v>0</v>
      </c>
      <c r="E528" s="34">
        <f t="shared" ref="E528:F528" si="204">E529</f>
        <v>2015</v>
      </c>
      <c r="F528" s="34">
        <f t="shared" si="204"/>
        <v>2015</v>
      </c>
      <c r="G528" s="535">
        <f t="shared" ref="G528:G591" si="205">F528/E528</f>
        <v>1</v>
      </c>
    </row>
    <row r="529" spans="1:7" s="188" customFormat="1" ht="31.5" x14ac:dyDescent="0.25">
      <c r="A529" s="278" t="s">
        <v>802</v>
      </c>
      <c r="B529" s="163" t="s">
        <v>803</v>
      </c>
      <c r="C529" s="309"/>
      <c r="D529" s="34">
        <f>D530</f>
        <v>0</v>
      </c>
      <c r="E529" s="34">
        <f t="shared" ref="E529:F529" si="206">E530</f>
        <v>2015</v>
      </c>
      <c r="F529" s="34">
        <f t="shared" si="206"/>
        <v>2015</v>
      </c>
      <c r="G529" s="535">
        <f t="shared" si="205"/>
        <v>1</v>
      </c>
    </row>
    <row r="530" spans="1:7" s="188" customFormat="1" ht="31.5" x14ac:dyDescent="0.25">
      <c r="A530" s="278" t="s">
        <v>62</v>
      </c>
      <c r="B530" s="163" t="s">
        <v>803</v>
      </c>
      <c r="C530" s="309">
        <v>600</v>
      </c>
      <c r="D530" s="34">
        <f>D531</f>
        <v>0</v>
      </c>
      <c r="E530" s="34">
        <f t="shared" ref="E530:F530" si="207">E531</f>
        <v>2015</v>
      </c>
      <c r="F530" s="34">
        <f t="shared" si="207"/>
        <v>2015</v>
      </c>
      <c r="G530" s="535">
        <f t="shared" si="205"/>
        <v>1</v>
      </c>
    </row>
    <row r="531" spans="1:7" s="188" customFormat="1" x14ac:dyDescent="0.25">
      <c r="A531" s="278" t="s">
        <v>63</v>
      </c>
      <c r="B531" s="163" t="s">
        <v>803</v>
      </c>
      <c r="C531" s="309">
        <v>610</v>
      </c>
      <c r="D531" s="34">
        <f>'Функц. 2023-2025'!F230</f>
        <v>0</v>
      </c>
      <c r="E531" s="34">
        <f>'Функц. 2023-2025'!H230</f>
        <v>2015</v>
      </c>
      <c r="F531" s="34">
        <v>2015</v>
      </c>
      <c r="G531" s="535">
        <f t="shared" si="205"/>
        <v>1</v>
      </c>
    </row>
    <row r="532" spans="1:7" ht="31.5" x14ac:dyDescent="0.25">
      <c r="A532" s="299" t="s">
        <v>249</v>
      </c>
      <c r="B532" s="163" t="s">
        <v>250</v>
      </c>
      <c r="C532" s="319"/>
      <c r="D532" s="34">
        <f>D533+D541+D537</f>
        <v>2461.6</v>
      </c>
      <c r="E532" s="34">
        <f t="shared" ref="E532:F532" si="208">E533+E541+E537</f>
        <v>2461.6</v>
      </c>
      <c r="F532" s="34">
        <f t="shared" si="208"/>
        <v>2230.6</v>
      </c>
      <c r="G532" s="535">
        <f t="shared" si="205"/>
        <v>0.90615859603509907</v>
      </c>
    </row>
    <row r="533" spans="1:7" s="188" customFormat="1" x14ac:dyDescent="0.25">
      <c r="A533" s="284" t="s">
        <v>404</v>
      </c>
      <c r="B533" s="163" t="s">
        <v>405</v>
      </c>
      <c r="C533" s="319"/>
      <c r="D533" s="34">
        <f t="shared" ref="D533:F535" si="209">D534</f>
        <v>2075.3000000000002</v>
      </c>
      <c r="E533" s="34">
        <f t="shared" si="209"/>
        <v>2075.3000000000002</v>
      </c>
      <c r="F533" s="34">
        <f t="shared" si="209"/>
        <v>1844.3</v>
      </c>
      <c r="G533" s="535">
        <f t="shared" si="205"/>
        <v>0.88869079169276721</v>
      </c>
    </row>
    <row r="534" spans="1:7" s="188" customFormat="1" x14ac:dyDescent="0.25">
      <c r="A534" s="283" t="s">
        <v>406</v>
      </c>
      <c r="B534" s="163" t="s">
        <v>407</v>
      </c>
      <c r="C534" s="324"/>
      <c r="D534" s="34">
        <f t="shared" si="209"/>
        <v>2075.3000000000002</v>
      </c>
      <c r="E534" s="34">
        <f t="shared" si="209"/>
        <v>2075.3000000000002</v>
      </c>
      <c r="F534" s="34">
        <f t="shared" si="209"/>
        <v>1844.3</v>
      </c>
      <c r="G534" s="535">
        <f t="shared" si="205"/>
        <v>0.88869079169276721</v>
      </c>
    </row>
    <row r="535" spans="1:7" s="188" customFormat="1" x14ac:dyDescent="0.25">
      <c r="A535" s="278" t="s">
        <v>123</v>
      </c>
      <c r="B535" s="163" t="s">
        <v>407</v>
      </c>
      <c r="C535" s="309">
        <v>200</v>
      </c>
      <c r="D535" s="34">
        <f t="shared" si="209"/>
        <v>2075.3000000000002</v>
      </c>
      <c r="E535" s="34">
        <f t="shared" si="209"/>
        <v>2075.3000000000002</v>
      </c>
      <c r="F535" s="34">
        <f t="shared" si="209"/>
        <v>1844.3</v>
      </c>
      <c r="G535" s="535">
        <f t="shared" si="205"/>
        <v>0.88869079169276721</v>
      </c>
    </row>
    <row r="536" spans="1:7" s="188" customFormat="1" x14ac:dyDescent="0.25">
      <c r="A536" s="278" t="s">
        <v>54</v>
      </c>
      <c r="B536" s="163" t="s">
        <v>407</v>
      </c>
      <c r="C536" s="309">
        <v>240</v>
      </c>
      <c r="D536" s="34">
        <f>'Функц. 2023-2025'!F384</f>
        <v>2075.3000000000002</v>
      </c>
      <c r="E536" s="34">
        <f>'Функц. 2023-2025'!H384</f>
        <v>2075.3000000000002</v>
      </c>
      <c r="F536" s="34">
        <f>'Функц. 2023-2025'!J384</f>
        <v>1844.3</v>
      </c>
      <c r="G536" s="535">
        <f t="shared" si="205"/>
        <v>0.88869079169276721</v>
      </c>
    </row>
    <row r="537" spans="1:7" s="188" customFormat="1" x14ac:dyDescent="0.25">
      <c r="A537" s="284" t="s">
        <v>425</v>
      </c>
      <c r="B537" s="163" t="s">
        <v>426</v>
      </c>
      <c r="C537" s="309"/>
      <c r="D537" s="34">
        <f t="shared" ref="D537:F539" si="210">D538</f>
        <v>92.2</v>
      </c>
      <c r="E537" s="34">
        <f t="shared" si="210"/>
        <v>92.2</v>
      </c>
      <c r="F537" s="34">
        <f t="shared" si="210"/>
        <v>92.2</v>
      </c>
      <c r="G537" s="535">
        <f t="shared" si="205"/>
        <v>1</v>
      </c>
    </row>
    <row r="538" spans="1:7" s="188" customFormat="1" x14ac:dyDescent="0.25">
      <c r="A538" s="283" t="s">
        <v>427</v>
      </c>
      <c r="B538" s="163" t="s">
        <v>428</v>
      </c>
      <c r="C538" s="309"/>
      <c r="D538" s="34">
        <f t="shared" si="210"/>
        <v>92.2</v>
      </c>
      <c r="E538" s="34">
        <f t="shared" si="210"/>
        <v>92.2</v>
      </c>
      <c r="F538" s="34">
        <f t="shared" si="210"/>
        <v>92.2</v>
      </c>
      <c r="G538" s="535">
        <f t="shared" si="205"/>
        <v>1</v>
      </c>
    </row>
    <row r="539" spans="1:7" s="188" customFormat="1" x14ac:dyDescent="0.25">
      <c r="A539" s="278" t="s">
        <v>123</v>
      </c>
      <c r="B539" s="163" t="s">
        <v>428</v>
      </c>
      <c r="C539" s="309">
        <v>200</v>
      </c>
      <c r="D539" s="34">
        <f t="shared" si="210"/>
        <v>92.2</v>
      </c>
      <c r="E539" s="34">
        <f t="shared" si="210"/>
        <v>92.2</v>
      </c>
      <c r="F539" s="34">
        <f t="shared" si="210"/>
        <v>92.2</v>
      </c>
      <c r="G539" s="535">
        <f t="shared" si="205"/>
        <v>1</v>
      </c>
    </row>
    <row r="540" spans="1:7" s="188" customFormat="1" x14ac:dyDescent="0.25">
      <c r="A540" s="278" t="s">
        <v>54</v>
      </c>
      <c r="B540" s="163" t="s">
        <v>428</v>
      </c>
      <c r="C540" s="309">
        <v>240</v>
      </c>
      <c r="D540" s="34">
        <f>'Функц. 2023-2025'!F388</f>
        <v>92.2</v>
      </c>
      <c r="E540" s="34">
        <f>'Функц. 2023-2025'!H388</f>
        <v>92.2</v>
      </c>
      <c r="F540" s="34">
        <f>'Функц. 2023-2025'!J388</f>
        <v>92.2</v>
      </c>
      <c r="G540" s="535">
        <f t="shared" si="205"/>
        <v>1</v>
      </c>
    </row>
    <row r="541" spans="1:7" s="188" customFormat="1" x14ac:dyDescent="0.25">
      <c r="A541" s="284" t="s">
        <v>408</v>
      </c>
      <c r="B541" s="163" t="s">
        <v>409</v>
      </c>
      <c r="C541" s="309"/>
      <c r="D541" s="34">
        <f t="shared" ref="D541:F543" si="211">D542</f>
        <v>294.10000000000002</v>
      </c>
      <c r="E541" s="34">
        <f t="shared" si="211"/>
        <v>294.10000000000002</v>
      </c>
      <c r="F541" s="34">
        <f t="shared" si="211"/>
        <v>294.10000000000002</v>
      </c>
      <c r="G541" s="535">
        <f t="shared" si="205"/>
        <v>1</v>
      </c>
    </row>
    <row r="542" spans="1:7" s="188" customFormat="1" x14ac:dyDescent="0.25">
      <c r="A542" s="283" t="s">
        <v>410</v>
      </c>
      <c r="B542" s="163" t="s">
        <v>411</v>
      </c>
      <c r="C542" s="309"/>
      <c r="D542" s="34">
        <f t="shared" si="211"/>
        <v>294.10000000000002</v>
      </c>
      <c r="E542" s="34">
        <f t="shared" si="211"/>
        <v>294.10000000000002</v>
      </c>
      <c r="F542" s="34">
        <f t="shared" si="211"/>
        <v>294.10000000000002</v>
      </c>
      <c r="G542" s="535">
        <f t="shared" si="205"/>
        <v>1</v>
      </c>
    </row>
    <row r="543" spans="1:7" s="188" customFormat="1" x14ac:dyDescent="0.25">
      <c r="A543" s="278" t="s">
        <v>123</v>
      </c>
      <c r="B543" s="163" t="s">
        <v>411</v>
      </c>
      <c r="C543" s="309">
        <v>200</v>
      </c>
      <c r="D543" s="34">
        <f t="shared" si="211"/>
        <v>294.10000000000002</v>
      </c>
      <c r="E543" s="34">
        <f t="shared" si="211"/>
        <v>294.10000000000002</v>
      </c>
      <c r="F543" s="34">
        <f t="shared" si="211"/>
        <v>294.10000000000002</v>
      </c>
      <c r="G543" s="535">
        <f t="shared" si="205"/>
        <v>1</v>
      </c>
    </row>
    <row r="544" spans="1:7" s="188" customFormat="1" x14ac:dyDescent="0.25">
      <c r="A544" s="278" t="s">
        <v>54</v>
      </c>
      <c r="B544" s="163" t="s">
        <v>411</v>
      </c>
      <c r="C544" s="309">
        <v>240</v>
      </c>
      <c r="D544" s="34">
        <f>'Функц. 2023-2025'!F392</f>
        <v>294.10000000000002</v>
      </c>
      <c r="E544" s="34">
        <f>'Функц. 2023-2025'!H392</f>
        <v>294.10000000000002</v>
      </c>
      <c r="F544" s="34">
        <f>'Функц. 2023-2025'!J392</f>
        <v>294.10000000000002</v>
      </c>
      <c r="G544" s="535">
        <f t="shared" si="205"/>
        <v>1</v>
      </c>
    </row>
    <row r="545" spans="1:7" s="188" customFormat="1" x14ac:dyDescent="0.25">
      <c r="A545" s="278" t="s">
        <v>50</v>
      </c>
      <c r="B545" s="163" t="s">
        <v>619</v>
      </c>
      <c r="C545" s="311"/>
      <c r="D545" s="34">
        <f>D546</f>
        <v>42112.1</v>
      </c>
      <c r="E545" s="34">
        <f t="shared" ref="E545:F545" si="212">E546</f>
        <v>42011.1</v>
      </c>
      <c r="F545" s="34">
        <f t="shared" si="212"/>
        <v>42011.1</v>
      </c>
      <c r="G545" s="535">
        <f t="shared" si="205"/>
        <v>1</v>
      </c>
    </row>
    <row r="546" spans="1:7" s="188" customFormat="1" ht="31.5" x14ac:dyDescent="0.25">
      <c r="A546" s="278" t="s">
        <v>349</v>
      </c>
      <c r="B546" s="163" t="s">
        <v>620</v>
      </c>
      <c r="C546" s="311"/>
      <c r="D546" s="34">
        <f>D547</f>
        <v>42112.1</v>
      </c>
      <c r="E546" s="34">
        <f t="shared" ref="E546:F546" si="213">E547</f>
        <v>42011.1</v>
      </c>
      <c r="F546" s="34">
        <f t="shared" si="213"/>
        <v>42011.1</v>
      </c>
      <c r="G546" s="535">
        <f t="shared" si="205"/>
        <v>1</v>
      </c>
    </row>
    <row r="547" spans="1:7" s="188" customFormat="1" ht="31.5" x14ac:dyDescent="0.25">
      <c r="A547" s="278" t="s">
        <v>248</v>
      </c>
      <c r="B547" s="163" t="s">
        <v>621</v>
      </c>
      <c r="C547" s="311"/>
      <c r="D547" s="34">
        <f>D548</f>
        <v>42112.1</v>
      </c>
      <c r="E547" s="34">
        <f t="shared" ref="E547:F547" si="214">E548</f>
        <v>42011.1</v>
      </c>
      <c r="F547" s="34">
        <f t="shared" si="214"/>
        <v>42011.1</v>
      </c>
      <c r="G547" s="535">
        <f t="shared" si="205"/>
        <v>1</v>
      </c>
    </row>
    <row r="548" spans="1:7" s="188" customFormat="1" ht="31.5" x14ac:dyDescent="0.25">
      <c r="A548" s="278" t="s">
        <v>62</v>
      </c>
      <c r="B548" s="163" t="s">
        <v>621</v>
      </c>
      <c r="C548" s="311">
        <v>600</v>
      </c>
      <c r="D548" s="34">
        <f>D549</f>
        <v>42112.1</v>
      </c>
      <c r="E548" s="34">
        <f t="shared" ref="E548:F548" si="215">E549</f>
        <v>42011.1</v>
      </c>
      <c r="F548" s="34">
        <f t="shared" si="215"/>
        <v>42011.1</v>
      </c>
      <c r="G548" s="535">
        <f t="shared" si="205"/>
        <v>1</v>
      </c>
    </row>
    <row r="549" spans="1:7" s="325" customFormat="1" x14ac:dyDescent="0.25">
      <c r="A549" s="278" t="s">
        <v>63</v>
      </c>
      <c r="B549" s="163" t="s">
        <v>621</v>
      </c>
      <c r="C549" s="311">
        <v>610</v>
      </c>
      <c r="D549" s="34">
        <f>'Функц. 2023-2025'!F235</f>
        <v>42112.1</v>
      </c>
      <c r="E549" s="34">
        <f>'Функц. 2023-2025'!H235</f>
        <v>42011.1</v>
      </c>
      <c r="F549" s="34">
        <f>'Функц. 2023-2025'!J235</f>
        <v>42011.1</v>
      </c>
      <c r="G549" s="535">
        <f t="shared" si="205"/>
        <v>1</v>
      </c>
    </row>
    <row r="550" spans="1:7" s="325" customFormat="1" ht="22.15" customHeight="1" x14ac:dyDescent="0.25">
      <c r="A550" s="422" t="s">
        <v>725</v>
      </c>
      <c r="B550" s="163" t="s">
        <v>726</v>
      </c>
      <c r="C550" s="309"/>
      <c r="D550" s="34">
        <f>D555+D551</f>
        <v>2102</v>
      </c>
      <c r="E550" s="34">
        <f t="shared" ref="E550:F550" si="216">E555+E551</f>
        <v>2102</v>
      </c>
      <c r="F550" s="34">
        <f t="shared" si="216"/>
        <v>2102</v>
      </c>
      <c r="G550" s="535">
        <f t="shared" si="205"/>
        <v>1</v>
      </c>
    </row>
    <row r="551" spans="1:7" s="325" customFormat="1" ht="36" customHeight="1" x14ac:dyDescent="0.25">
      <c r="A551" s="424" t="s">
        <v>734</v>
      </c>
      <c r="B551" s="163" t="s">
        <v>732</v>
      </c>
      <c r="C551" s="309"/>
      <c r="D551" s="34">
        <f>D552</f>
        <v>300</v>
      </c>
      <c r="E551" s="34">
        <f t="shared" ref="E551:F553" si="217">E552</f>
        <v>300</v>
      </c>
      <c r="F551" s="34">
        <f t="shared" si="217"/>
        <v>300</v>
      </c>
      <c r="G551" s="535">
        <f t="shared" si="205"/>
        <v>1</v>
      </c>
    </row>
    <row r="552" spans="1:7" s="325" customFormat="1" ht="22.15" customHeight="1" x14ac:dyDescent="0.25">
      <c r="A552" s="422" t="s">
        <v>277</v>
      </c>
      <c r="B552" s="163" t="s">
        <v>733</v>
      </c>
      <c r="C552" s="309"/>
      <c r="D552" s="34">
        <f>D553</f>
        <v>300</v>
      </c>
      <c r="E552" s="34">
        <f t="shared" si="217"/>
        <v>300</v>
      </c>
      <c r="F552" s="34">
        <f t="shared" si="217"/>
        <v>300</v>
      </c>
      <c r="G552" s="535">
        <f t="shared" si="205"/>
        <v>1</v>
      </c>
    </row>
    <row r="553" spans="1:7" s="325" customFormat="1" ht="22.15" customHeight="1" x14ac:dyDescent="0.25">
      <c r="A553" s="278" t="s">
        <v>123</v>
      </c>
      <c r="B553" s="163" t="s">
        <v>733</v>
      </c>
      <c r="C553" s="309">
        <v>200</v>
      </c>
      <c r="D553" s="34">
        <f>D554</f>
        <v>300</v>
      </c>
      <c r="E553" s="34">
        <f t="shared" si="217"/>
        <v>300</v>
      </c>
      <c r="F553" s="34">
        <f t="shared" si="217"/>
        <v>300</v>
      </c>
      <c r="G553" s="535">
        <f t="shared" si="205"/>
        <v>1</v>
      </c>
    </row>
    <row r="554" spans="1:7" s="325" customFormat="1" ht="22.15" customHeight="1" x14ac:dyDescent="0.25">
      <c r="A554" s="278" t="s">
        <v>54</v>
      </c>
      <c r="B554" s="163" t="s">
        <v>733</v>
      </c>
      <c r="C554" s="309">
        <v>240</v>
      </c>
      <c r="D554" s="34">
        <f>'Функц. 2023-2025'!F78</f>
        <v>300</v>
      </c>
      <c r="E554" s="34">
        <f>'Функц. 2023-2025'!H78</f>
        <v>300</v>
      </c>
      <c r="F554" s="34">
        <f>'Функц. 2023-2025'!J78</f>
        <v>300</v>
      </c>
      <c r="G554" s="535">
        <f t="shared" si="205"/>
        <v>1</v>
      </c>
    </row>
    <row r="555" spans="1:7" s="325" customFormat="1" ht="47.25" x14ac:dyDescent="0.25">
      <c r="A555" s="278" t="s">
        <v>727</v>
      </c>
      <c r="B555" s="163" t="s">
        <v>728</v>
      </c>
      <c r="C555" s="309"/>
      <c r="D555" s="34">
        <f>D556</f>
        <v>1802</v>
      </c>
      <c r="E555" s="34">
        <f t="shared" ref="E555:F556" si="218">E556</f>
        <v>1802</v>
      </c>
      <c r="F555" s="34">
        <f t="shared" si="218"/>
        <v>1802</v>
      </c>
      <c r="G555" s="535">
        <f t="shared" si="205"/>
        <v>1</v>
      </c>
    </row>
    <row r="556" spans="1:7" s="325" customFormat="1" ht="47.25" x14ac:dyDescent="0.25">
      <c r="A556" s="281" t="s">
        <v>637</v>
      </c>
      <c r="B556" s="163" t="s">
        <v>729</v>
      </c>
      <c r="C556" s="311"/>
      <c r="D556" s="34">
        <f>D557</f>
        <v>1802</v>
      </c>
      <c r="E556" s="34">
        <f t="shared" si="218"/>
        <v>1802</v>
      </c>
      <c r="F556" s="34">
        <f t="shared" si="218"/>
        <v>1802</v>
      </c>
      <c r="G556" s="535">
        <f t="shared" si="205"/>
        <v>1</v>
      </c>
    </row>
    <row r="557" spans="1:7" s="325" customFormat="1" ht="47.25" x14ac:dyDescent="0.25">
      <c r="A557" s="278" t="s">
        <v>43</v>
      </c>
      <c r="B557" s="163" t="s">
        <v>729</v>
      </c>
      <c r="C557" s="311">
        <v>100</v>
      </c>
      <c r="D557" s="34">
        <f>D558</f>
        <v>1802</v>
      </c>
      <c r="E557" s="34">
        <f t="shared" ref="E557:F557" si="219">E558</f>
        <v>1802</v>
      </c>
      <c r="F557" s="34">
        <f t="shared" si="219"/>
        <v>1802</v>
      </c>
      <c r="G557" s="535">
        <f t="shared" si="205"/>
        <v>1</v>
      </c>
    </row>
    <row r="558" spans="1:7" s="325" customFormat="1" x14ac:dyDescent="0.25">
      <c r="A558" s="278" t="s">
        <v>99</v>
      </c>
      <c r="B558" s="163" t="s">
        <v>729</v>
      </c>
      <c r="C558" s="311">
        <v>120</v>
      </c>
      <c r="D558" s="34">
        <f>'Функц. 2023-2025'!F82</f>
        <v>1802</v>
      </c>
      <c r="E558" s="34">
        <f>'Функц. 2023-2025'!H82</f>
        <v>1802</v>
      </c>
      <c r="F558" s="34">
        <f>'Функц. 2023-2025'!J82</f>
        <v>1802</v>
      </c>
      <c r="G558" s="535">
        <f t="shared" si="205"/>
        <v>1</v>
      </c>
    </row>
    <row r="559" spans="1:7" x14ac:dyDescent="0.25">
      <c r="A559" s="436" t="s">
        <v>263</v>
      </c>
      <c r="B559" s="446" t="s">
        <v>264</v>
      </c>
      <c r="C559" s="314"/>
      <c r="D559" s="37">
        <f>D560</f>
        <v>198.99999999999997</v>
      </c>
      <c r="E559" s="37">
        <f t="shared" ref="E559:F559" si="220">E560</f>
        <v>198.99999999999997</v>
      </c>
      <c r="F559" s="37">
        <f t="shared" si="220"/>
        <v>199</v>
      </c>
      <c r="G559" s="535">
        <f t="shared" si="205"/>
        <v>1.0000000000000002</v>
      </c>
    </row>
    <row r="560" spans="1:7" x14ac:dyDescent="0.25">
      <c r="A560" s="295" t="s">
        <v>417</v>
      </c>
      <c r="B560" s="163" t="s">
        <v>265</v>
      </c>
      <c r="C560" s="311"/>
      <c r="D560" s="34">
        <f>D561</f>
        <v>198.99999999999997</v>
      </c>
      <c r="E560" s="34">
        <f>E561</f>
        <v>198.99999999999997</v>
      </c>
      <c r="F560" s="34">
        <f>F561</f>
        <v>199</v>
      </c>
      <c r="G560" s="535">
        <f t="shared" si="205"/>
        <v>1.0000000000000002</v>
      </c>
    </row>
    <row r="561" spans="1:7" ht="47.25" x14ac:dyDescent="0.25">
      <c r="A561" s="295" t="s">
        <v>622</v>
      </c>
      <c r="B561" s="163" t="s">
        <v>495</v>
      </c>
      <c r="C561" s="309"/>
      <c r="D561" s="34">
        <f t="shared" ref="D561:F563" si="221">D562</f>
        <v>198.99999999999997</v>
      </c>
      <c r="E561" s="34">
        <f t="shared" si="221"/>
        <v>198.99999999999997</v>
      </c>
      <c r="F561" s="34">
        <f t="shared" si="221"/>
        <v>199</v>
      </c>
      <c r="G561" s="535">
        <f t="shared" si="205"/>
        <v>1.0000000000000002</v>
      </c>
    </row>
    <row r="562" spans="1:7" ht="31.5" x14ac:dyDescent="0.25">
      <c r="A562" s="280" t="s">
        <v>497</v>
      </c>
      <c r="B562" s="163" t="s">
        <v>496</v>
      </c>
      <c r="C562" s="309"/>
      <c r="D562" s="34">
        <f>D563+D565</f>
        <v>198.99999999999997</v>
      </c>
      <c r="E562" s="34">
        <f t="shared" ref="E562:F562" si="222">E563+E565</f>
        <v>198.99999999999997</v>
      </c>
      <c r="F562" s="34">
        <f t="shared" si="222"/>
        <v>199</v>
      </c>
      <c r="G562" s="535">
        <f t="shared" si="205"/>
        <v>1.0000000000000002</v>
      </c>
    </row>
    <row r="563" spans="1:7" ht="47.25" x14ac:dyDescent="0.25">
      <c r="A563" s="297" t="s">
        <v>43</v>
      </c>
      <c r="B563" s="163" t="s">
        <v>496</v>
      </c>
      <c r="C563" s="309">
        <v>100</v>
      </c>
      <c r="D563" s="34">
        <f t="shared" si="221"/>
        <v>187.09999999999997</v>
      </c>
      <c r="E563" s="34">
        <f t="shared" si="221"/>
        <v>187.09999999999997</v>
      </c>
      <c r="F563" s="34">
        <f t="shared" si="221"/>
        <v>187.1</v>
      </c>
      <c r="G563" s="535">
        <f t="shared" si="205"/>
        <v>1.0000000000000002</v>
      </c>
    </row>
    <row r="564" spans="1:7" x14ac:dyDescent="0.25">
      <c r="A564" s="297" t="s">
        <v>99</v>
      </c>
      <c r="B564" s="163" t="s">
        <v>496</v>
      </c>
      <c r="C564" s="309">
        <v>120</v>
      </c>
      <c r="D564" s="34">
        <f>'Функц. 2023-2025'!F88</f>
        <v>187.09999999999997</v>
      </c>
      <c r="E564" s="34">
        <f>'Функц. 2023-2025'!H88</f>
        <v>187.09999999999997</v>
      </c>
      <c r="F564" s="34">
        <f>'Функц. 2023-2025'!J88</f>
        <v>187.1</v>
      </c>
      <c r="G564" s="535">
        <f t="shared" si="205"/>
        <v>1.0000000000000002</v>
      </c>
    </row>
    <row r="565" spans="1:7" s="188" customFormat="1" x14ac:dyDescent="0.25">
      <c r="A565" s="297" t="s">
        <v>123</v>
      </c>
      <c r="B565" s="163" t="s">
        <v>496</v>
      </c>
      <c r="C565" s="309">
        <v>200</v>
      </c>
      <c r="D565" s="34">
        <f>D566</f>
        <v>11.899999999999999</v>
      </c>
      <c r="E565" s="34">
        <f t="shared" ref="E565:F565" si="223">E566</f>
        <v>11.899999999999999</v>
      </c>
      <c r="F565" s="34">
        <f t="shared" si="223"/>
        <v>11.9</v>
      </c>
      <c r="G565" s="535">
        <f t="shared" si="205"/>
        <v>1.0000000000000002</v>
      </c>
    </row>
    <row r="566" spans="1:7" s="188" customFormat="1" x14ac:dyDescent="0.25">
      <c r="A566" s="297" t="s">
        <v>54</v>
      </c>
      <c r="B566" s="163" t="s">
        <v>496</v>
      </c>
      <c r="C566" s="309">
        <v>240</v>
      </c>
      <c r="D566" s="34">
        <f>'Функц. 2023-2025'!F90</f>
        <v>11.899999999999999</v>
      </c>
      <c r="E566" s="34">
        <f>'Функц. 2023-2025'!H90</f>
        <v>11.899999999999999</v>
      </c>
      <c r="F566" s="34">
        <f>'Функц. 2023-2025'!J90</f>
        <v>11.9</v>
      </c>
      <c r="G566" s="535">
        <f t="shared" si="205"/>
        <v>1.0000000000000002</v>
      </c>
    </row>
    <row r="567" spans="1:7" x14ac:dyDescent="0.25">
      <c r="A567" s="435" t="s">
        <v>255</v>
      </c>
      <c r="B567" s="446" t="s">
        <v>256</v>
      </c>
      <c r="C567" s="545"/>
      <c r="D567" s="37">
        <f>D586+D630+D568</f>
        <v>827750.70000000007</v>
      </c>
      <c r="E567" s="37">
        <f>E586+E630+E568</f>
        <v>827641.10000000009</v>
      </c>
      <c r="F567" s="37">
        <f>F586+F630+F568</f>
        <v>826391.2</v>
      </c>
      <c r="G567" s="536">
        <f t="shared" si="205"/>
        <v>0.99848980433668633</v>
      </c>
    </row>
    <row r="568" spans="1:7" s="188" customFormat="1" x14ac:dyDescent="0.25">
      <c r="A568" s="284" t="s">
        <v>400</v>
      </c>
      <c r="B568" s="163" t="s">
        <v>401</v>
      </c>
      <c r="C568" s="545"/>
      <c r="D568" s="34">
        <f>D569+D582</f>
        <v>626942.20000000007</v>
      </c>
      <c r="E568" s="34">
        <f>E569+E582</f>
        <v>626942.20000000007</v>
      </c>
      <c r="F568" s="34">
        <f>F569+F582</f>
        <v>626868.69999999995</v>
      </c>
      <c r="G568" s="535">
        <f t="shared" si="205"/>
        <v>0.99988276431224421</v>
      </c>
    </row>
    <row r="569" spans="1:7" s="188" customFormat="1" ht="31.5" x14ac:dyDescent="0.25">
      <c r="A569" s="284" t="s">
        <v>429</v>
      </c>
      <c r="B569" s="163" t="s">
        <v>430</v>
      </c>
      <c r="C569" s="317"/>
      <c r="D569" s="34">
        <f>D573+D576+D579+D570</f>
        <v>587960.70000000007</v>
      </c>
      <c r="E569" s="34">
        <f>E573+E576+E579+E570</f>
        <v>587960.70000000007</v>
      </c>
      <c r="F569" s="34">
        <f>F573+F576+F579+F570</f>
        <v>587960.29999999993</v>
      </c>
      <c r="G569" s="535">
        <f t="shared" si="205"/>
        <v>0.99999931968242073</v>
      </c>
    </row>
    <row r="570" spans="1:7" s="188" customFormat="1" ht="31.5" x14ac:dyDescent="0.25">
      <c r="A570" s="284" t="s">
        <v>746</v>
      </c>
      <c r="B570" s="163" t="s">
        <v>747</v>
      </c>
      <c r="C570" s="317"/>
      <c r="D570" s="34">
        <f>D571</f>
        <v>120</v>
      </c>
      <c r="E570" s="34">
        <f t="shared" ref="E570:F570" si="224">E571</f>
        <v>120</v>
      </c>
      <c r="F570" s="34">
        <f t="shared" si="224"/>
        <v>119.6</v>
      </c>
      <c r="G570" s="535">
        <f t="shared" si="205"/>
        <v>0.99666666666666659</v>
      </c>
    </row>
    <row r="571" spans="1:7" s="188" customFormat="1" x14ac:dyDescent="0.25">
      <c r="A571" s="278" t="s">
        <v>123</v>
      </c>
      <c r="B571" s="163" t="s">
        <v>747</v>
      </c>
      <c r="C571" s="317" t="s">
        <v>39</v>
      </c>
      <c r="D571" s="34">
        <f>D572</f>
        <v>120</v>
      </c>
      <c r="E571" s="34">
        <f t="shared" ref="E571:F571" si="225">E572</f>
        <v>120</v>
      </c>
      <c r="F571" s="34">
        <f t="shared" si="225"/>
        <v>119.6</v>
      </c>
      <c r="G571" s="535">
        <f t="shared" si="205"/>
        <v>0.99666666666666659</v>
      </c>
    </row>
    <row r="572" spans="1:7" s="188" customFormat="1" x14ac:dyDescent="0.25">
      <c r="A572" s="278" t="s">
        <v>54</v>
      </c>
      <c r="B572" s="163" t="s">
        <v>747</v>
      </c>
      <c r="C572" s="317" t="s">
        <v>67</v>
      </c>
      <c r="D572" s="34">
        <f>'Функц. 2023-2025'!F467</f>
        <v>120</v>
      </c>
      <c r="E572" s="148">
        <f>'Функц. 2023-2025'!H467</f>
        <v>120</v>
      </c>
      <c r="F572" s="148">
        <f>'Функц. 2023-2025'!J467</f>
        <v>119.6</v>
      </c>
      <c r="G572" s="535">
        <f t="shared" si="205"/>
        <v>0.99666666666666659</v>
      </c>
    </row>
    <row r="573" spans="1:7" s="188" customFormat="1" ht="31.5" x14ac:dyDescent="0.25">
      <c r="A573" s="278" t="s">
        <v>623</v>
      </c>
      <c r="B573" s="163" t="s">
        <v>439</v>
      </c>
      <c r="C573" s="309"/>
      <c r="D573" s="34">
        <f>D574</f>
        <v>8523.7000000000007</v>
      </c>
      <c r="E573" s="148">
        <f t="shared" ref="E573:F573" si="226">E574</f>
        <v>8523.7000000000007</v>
      </c>
      <c r="F573" s="148">
        <f t="shared" si="226"/>
        <v>8523.7000000000007</v>
      </c>
      <c r="G573" s="535">
        <f t="shared" si="205"/>
        <v>1</v>
      </c>
    </row>
    <row r="574" spans="1:7" s="188" customFormat="1" x14ac:dyDescent="0.25">
      <c r="A574" s="278" t="s">
        <v>123</v>
      </c>
      <c r="B574" s="163" t="s">
        <v>439</v>
      </c>
      <c r="C574" s="317" t="s">
        <v>39</v>
      </c>
      <c r="D574" s="34">
        <f>D575</f>
        <v>8523.7000000000007</v>
      </c>
      <c r="E574" s="148">
        <f t="shared" ref="E574:F574" si="227">E575</f>
        <v>8523.7000000000007</v>
      </c>
      <c r="F574" s="148">
        <f t="shared" si="227"/>
        <v>8523.7000000000007</v>
      </c>
      <c r="G574" s="535">
        <f t="shared" si="205"/>
        <v>1</v>
      </c>
    </row>
    <row r="575" spans="1:7" s="188" customFormat="1" x14ac:dyDescent="0.25">
      <c r="A575" s="278" t="s">
        <v>54</v>
      </c>
      <c r="B575" s="163" t="s">
        <v>439</v>
      </c>
      <c r="C575" s="317" t="s">
        <v>67</v>
      </c>
      <c r="D575" s="34">
        <f>'Функц. 2023-2025'!F470</f>
        <v>8523.7000000000007</v>
      </c>
      <c r="E575" s="148">
        <f>'Функц. 2023-2025'!H470</f>
        <v>8523.7000000000007</v>
      </c>
      <c r="F575" s="148">
        <f>'Функц. 2023-2025'!J470</f>
        <v>8523.7000000000007</v>
      </c>
      <c r="G575" s="535">
        <f t="shared" si="205"/>
        <v>1</v>
      </c>
    </row>
    <row r="576" spans="1:7" s="188" customFormat="1" x14ac:dyDescent="0.25">
      <c r="A576" s="282" t="s">
        <v>486</v>
      </c>
      <c r="B576" s="163" t="s">
        <v>438</v>
      </c>
      <c r="C576" s="317"/>
      <c r="D576" s="34">
        <f>D577</f>
        <v>9146.4</v>
      </c>
      <c r="E576" s="34">
        <f t="shared" ref="E576:F576" si="228">E577</f>
        <v>9146.4</v>
      </c>
      <c r="F576" s="34">
        <f t="shared" si="228"/>
        <v>9146.4</v>
      </c>
      <c r="G576" s="535">
        <f t="shared" si="205"/>
        <v>1</v>
      </c>
    </row>
    <row r="577" spans="1:7" s="188" customFormat="1" x14ac:dyDescent="0.25">
      <c r="A577" s="278" t="s">
        <v>123</v>
      </c>
      <c r="B577" s="163" t="s">
        <v>438</v>
      </c>
      <c r="C577" s="317" t="s">
        <v>39</v>
      </c>
      <c r="D577" s="34">
        <f>D578</f>
        <v>9146.4</v>
      </c>
      <c r="E577" s="34">
        <f t="shared" ref="E577:F577" si="229">E578</f>
        <v>9146.4</v>
      </c>
      <c r="F577" s="34">
        <f t="shared" si="229"/>
        <v>9146.4</v>
      </c>
      <c r="G577" s="535">
        <f t="shared" si="205"/>
        <v>1</v>
      </c>
    </row>
    <row r="578" spans="1:7" s="188" customFormat="1" x14ac:dyDescent="0.25">
      <c r="A578" s="278" t="s">
        <v>54</v>
      </c>
      <c r="B578" s="163" t="s">
        <v>438</v>
      </c>
      <c r="C578" s="317" t="s">
        <v>67</v>
      </c>
      <c r="D578" s="34">
        <f>'Функц. 2023-2025'!F473</f>
        <v>9146.4</v>
      </c>
      <c r="E578" s="34">
        <f>'Функц. 2023-2025'!H473</f>
        <v>9146.4</v>
      </c>
      <c r="F578" s="34">
        <f>'Функц. 2023-2025'!J473</f>
        <v>9146.4</v>
      </c>
      <c r="G578" s="535">
        <f t="shared" si="205"/>
        <v>1</v>
      </c>
    </row>
    <row r="579" spans="1:7" s="188" customFormat="1" x14ac:dyDescent="0.25">
      <c r="A579" s="278" t="s">
        <v>436</v>
      </c>
      <c r="B579" s="163" t="s">
        <v>437</v>
      </c>
      <c r="C579" s="317"/>
      <c r="D579" s="34">
        <f>D580</f>
        <v>570170.60000000009</v>
      </c>
      <c r="E579" s="34">
        <f t="shared" ref="E579:F579" si="230">E580</f>
        <v>570170.60000000009</v>
      </c>
      <c r="F579" s="148">
        <f t="shared" si="230"/>
        <v>570170.6</v>
      </c>
      <c r="G579" s="535">
        <f t="shared" si="205"/>
        <v>0.99999999999999978</v>
      </c>
    </row>
    <row r="580" spans="1:7" s="188" customFormat="1" x14ac:dyDescent="0.25">
      <c r="A580" s="278" t="s">
        <v>123</v>
      </c>
      <c r="B580" s="163" t="s">
        <v>437</v>
      </c>
      <c r="C580" s="317" t="s">
        <v>39</v>
      </c>
      <c r="D580" s="34">
        <f>D581</f>
        <v>570170.60000000009</v>
      </c>
      <c r="E580" s="34">
        <f t="shared" ref="E580:F580" si="231">E581</f>
        <v>570170.60000000009</v>
      </c>
      <c r="F580" s="148">
        <f t="shared" si="231"/>
        <v>570170.6</v>
      </c>
      <c r="G580" s="535">
        <f t="shared" si="205"/>
        <v>0.99999999999999978</v>
      </c>
    </row>
    <row r="581" spans="1:7" s="188" customFormat="1" x14ac:dyDescent="0.25">
      <c r="A581" s="278" t="s">
        <v>54</v>
      </c>
      <c r="B581" s="163" t="s">
        <v>437</v>
      </c>
      <c r="C581" s="317" t="s">
        <v>67</v>
      </c>
      <c r="D581" s="34">
        <f>'Функц. 2023-2025'!F476</f>
        <v>570170.60000000009</v>
      </c>
      <c r="E581" s="34">
        <f>'Функц. 2023-2025'!H476</f>
        <v>570170.60000000009</v>
      </c>
      <c r="F581" s="148">
        <f>'Функц. 2023-2025'!J476</f>
        <v>570170.6</v>
      </c>
      <c r="G581" s="535">
        <f t="shared" si="205"/>
        <v>0.99999999999999978</v>
      </c>
    </row>
    <row r="582" spans="1:7" s="188" customFormat="1" x14ac:dyDescent="0.25">
      <c r="A582" s="282" t="s">
        <v>402</v>
      </c>
      <c r="B582" s="163" t="s">
        <v>403</v>
      </c>
      <c r="C582" s="317"/>
      <c r="D582" s="34">
        <f>D583</f>
        <v>38981.5</v>
      </c>
      <c r="E582" s="34">
        <f t="shared" ref="E582:F582" si="232">E583</f>
        <v>38981.5</v>
      </c>
      <c r="F582" s="34">
        <f t="shared" si="232"/>
        <v>38908.400000000001</v>
      </c>
      <c r="G582" s="535">
        <f t="shared" si="205"/>
        <v>0.99812475148467872</v>
      </c>
    </row>
    <row r="583" spans="1:7" s="188" customFormat="1" ht="47.25" x14ac:dyDescent="0.25">
      <c r="A583" s="278" t="s">
        <v>625</v>
      </c>
      <c r="B583" s="163" t="s">
        <v>624</v>
      </c>
      <c r="C583" s="317"/>
      <c r="D583" s="34">
        <f t="shared" ref="D583:F584" si="233">D584</f>
        <v>38981.5</v>
      </c>
      <c r="E583" s="34">
        <f t="shared" si="233"/>
        <v>38981.5</v>
      </c>
      <c r="F583" s="34">
        <f t="shared" si="233"/>
        <v>38908.400000000001</v>
      </c>
      <c r="G583" s="535">
        <f t="shared" si="205"/>
        <v>0.99812475148467872</v>
      </c>
    </row>
    <row r="584" spans="1:7" s="188" customFormat="1" x14ac:dyDescent="0.25">
      <c r="A584" s="278" t="s">
        <v>123</v>
      </c>
      <c r="B584" s="163" t="s">
        <v>624</v>
      </c>
      <c r="C584" s="317" t="s">
        <v>39</v>
      </c>
      <c r="D584" s="34">
        <f t="shared" si="233"/>
        <v>38981.5</v>
      </c>
      <c r="E584" s="34">
        <f t="shared" si="233"/>
        <v>38981.5</v>
      </c>
      <c r="F584" s="34">
        <f t="shared" si="233"/>
        <v>38908.400000000001</v>
      </c>
      <c r="G584" s="535">
        <f t="shared" si="205"/>
        <v>0.99812475148467872</v>
      </c>
    </row>
    <row r="585" spans="1:7" s="188" customFormat="1" x14ac:dyDescent="0.25">
      <c r="A585" s="278" t="s">
        <v>54</v>
      </c>
      <c r="B585" s="163" t="s">
        <v>624</v>
      </c>
      <c r="C585" s="317" t="s">
        <v>67</v>
      </c>
      <c r="D585" s="34">
        <f>'Функц. 2023-2025'!F480</f>
        <v>38981.5</v>
      </c>
      <c r="E585" s="34">
        <f>'Функц. 2023-2025'!H480</f>
        <v>38981.5</v>
      </c>
      <c r="F585" s="34">
        <f>'Функц. 2023-2025'!J480</f>
        <v>38908.400000000001</v>
      </c>
      <c r="G585" s="535">
        <f t="shared" si="205"/>
        <v>0.99812475148467872</v>
      </c>
    </row>
    <row r="586" spans="1:7" ht="31.5" x14ac:dyDescent="0.25">
      <c r="A586" s="299" t="s">
        <v>626</v>
      </c>
      <c r="B586" s="163" t="s">
        <v>257</v>
      </c>
      <c r="C586" s="309"/>
      <c r="D586" s="34">
        <f>D587+D626+D618+D622</f>
        <v>179934</v>
      </c>
      <c r="E586" s="34">
        <f>E587+E626+E618+E622</f>
        <v>179824.4</v>
      </c>
      <c r="F586" s="34">
        <f>F587+F626+F618+F622</f>
        <v>178829.99999999997</v>
      </c>
      <c r="G586" s="535">
        <f t="shared" si="205"/>
        <v>0.99447016089029061</v>
      </c>
    </row>
    <row r="587" spans="1:7" ht="31.5" x14ac:dyDescent="0.25">
      <c r="A587" s="282" t="s">
        <v>627</v>
      </c>
      <c r="B587" s="163" t="s">
        <v>258</v>
      </c>
      <c r="C587" s="309"/>
      <c r="D587" s="34">
        <f>D598+D604+D601+D615+D607+D588+D612</f>
        <v>121971.2</v>
      </c>
      <c r="E587" s="34">
        <f t="shared" ref="E587:F587" si="234">E598+E604+E601+E615+E607+E588+E612</f>
        <v>121951.09999999999</v>
      </c>
      <c r="F587" s="34">
        <f t="shared" si="234"/>
        <v>120956.79999999997</v>
      </c>
      <c r="G587" s="535">
        <f t="shared" si="205"/>
        <v>0.99184673200979723</v>
      </c>
    </row>
    <row r="588" spans="1:7" s="188" customFormat="1" x14ac:dyDescent="0.25">
      <c r="A588" s="282" t="s">
        <v>671</v>
      </c>
      <c r="B588" s="163" t="s">
        <v>259</v>
      </c>
      <c r="C588" s="309"/>
      <c r="D588" s="34">
        <f>D595+D589+D592</f>
        <v>30565.799999999996</v>
      </c>
      <c r="E588" s="34">
        <f t="shared" ref="E588:F588" si="235">E595+E589+E592</f>
        <v>30565.799999999996</v>
      </c>
      <c r="F588" s="34">
        <f t="shared" si="235"/>
        <v>30246.6</v>
      </c>
      <c r="G588" s="535">
        <f t="shared" si="205"/>
        <v>0.98955695581336012</v>
      </c>
    </row>
    <row r="589" spans="1:7" s="188" customFormat="1" ht="31.5" x14ac:dyDescent="0.25">
      <c r="A589" s="282" t="s">
        <v>701</v>
      </c>
      <c r="B589" s="163" t="s">
        <v>700</v>
      </c>
      <c r="C589" s="309"/>
      <c r="D589" s="34">
        <f>D590</f>
        <v>824.8</v>
      </c>
      <c r="E589" s="34">
        <f t="shared" ref="E589:F589" si="236">E590</f>
        <v>824.8</v>
      </c>
      <c r="F589" s="34">
        <f t="shared" si="236"/>
        <v>824.8</v>
      </c>
      <c r="G589" s="535">
        <f t="shared" si="205"/>
        <v>1</v>
      </c>
    </row>
    <row r="590" spans="1:7" s="188" customFormat="1" ht="31.5" x14ac:dyDescent="0.25">
      <c r="A590" s="278" t="s">
        <v>62</v>
      </c>
      <c r="B590" s="163" t="s">
        <v>700</v>
      </c>
      <c r="C590" s="309">
        <v>600</v>
      </c>
      <c r="D590" s="34">
        <f>D591</f>
        <v>824.8</v>
      </c>
      <c r="E590" s="34">
        <f t="shared" ref="E590:F590" si="237">E591</f>
        <v>824.8</v>
      </c>
      <c r="F590" s="34">
        <f t="shared" si="237"/>
        <v>824.8</v>
      </c>
      <c r="G590" s="535">
        <f t="shared" si="205"/>
        <v>1</v>
      </c>
    </row>
    <row r="591" spans="1:7" s="188" customFormat="1" x14ac:dyDescent="0.25">
      <c r="A591" s="278" t="s">
        <v>63</v>
      </c>
      <c r="B591" s="163" t="s">
        <v>700</v>
      </c>
      <c r="C591" s="309">
        <v>610</v>
      </c>
      <c r="D591" s="34">
        <f>'Функц. 2023-2025'!F822</f>
        <v>824.8</v>
      </c>
      <c r="E591" s="34">
        <f>'Функц. 2023-2025'!H822</f>
        <v>824.8</v>
      </c>
      <c r="F591" s="34">
        <f>'Функц. 2023-2025'!J822</f>
        <v>824.8</v>
      </c>
      <c r="G591" s="535">
        <f t="shared" si="205"/>
        <v>1</v>
      </c>
    </row>
    <row r="592" spans="1:7" s="188" customFormat="1" x14ac:dyDescent="0.25">
      <c r="A592" s="282" t="s">
        <v>702</v>
      </c>
      <c r="B592" s="163" t="s">
        <v>703</v>
      </c>
      <c r="C592" s="309"/>
      <c r="D592" s="34">
        <f>D593</f>
        <v>9657.6</v>
      </c>
      <c r="E592" s="34">
        <f t="shared" ref="E592:F592" si="238">E593</f>
        <v>9657.6</v>
      </c>
      <c r="F592" s="34">
        <f t="shared" si="238"/>
        <v>9657.6</v>
      </c>
      <c r="G592" s="535">
        <f t="shared" ref="G592:G655" si="239">F592/E592</f>
        <v>1</v>
      </c>
    </row>
    <row r="593" spans="1:7" s="188" customFormat="1" ht="31.5" x14ac:dyDescent="0.25">
      <c r="A593" s="278" t="s">
        <v>62</v>
      </c>
      <c r="B593" s="163" t="s">
        <v>703</v>
      </c>
      <c r="C593" s="309">
        <v>600</v>
      </c>
      <c r="D593" s="34">
        <f>D594</f>
        <v>9657.6</v>
      </c>
      <c r="E593" s="34">
        <f t="shared" ref="E593:F593" si="240">E594</f>
        <v>9657.6</v>
      </c>
      <c r="F593" s="34">
        <f t="shared" si="240"/>
        <v>9657.6</v>
      </c>
      <c r="G593" s="535">
        <f t="shared" si="239"/>
        <v>1</v>
      </c>
    </row>
    <row r="594" spans="1:7" s="188" customFormat="1" x14ac:dyDescent="0.25">
      <c r="A594" s="278" t="s">
        <v>63</v>
      </c>
      <c r="B594" s="163" t="s">
        <v>703</v>
      </c>
      <c r="C594" s="309">
        <v>610</v>
      </c>
      <c r="D594" s="34">
        <f>'Функц. 2023-2025'!F825</f>
        <v>9657.6</v>
      </c>
      <c r="E594" s="34">
        <f>'Функц. 2023-2025'!H825</f>
        <v>9657.6</v>
      </c>
      <c r="F594" s="34">
        <f>'Функц. 2023-2025'!J825</f>
        <v>9657.6</v>
      </c>
      <c r="G594" s="535">
        <f t="shared" si="239"/>
        <v>1</v>
      </c>
    </row>
    <row r="595" spans="1:7" s="188" customFormat="1" x14ac:dyDescent="0.25">
      <c r="A595" s="282" t="s">
        <v>698</v>
      </c>
      <c r="B595" s="163" t="s">
        <v>699</v>
      </c>
      <c r="C595" s="309"/>
      <c r="D595" s="34">
        <f>D596</f>
        <v>20083.399999999998</v>
      </c>
      <c r="E595" s="34">
        <f t="shared" ref="E595:F595" si="241">E596</f>
        <v>20083.399999999998</v>
      </c>
      <c r="F595" s="34">
        <f t="shared" si="241"/>
        <v>19764.2</v>
      </c>
      <c r="G595" s="535">
        <f t="shared" si="239"/>
        <v>0.98410627682563723</v>
      </c>
    </row>
    <row r="596" spans="1:7" s="188" customFormat="1" x14ac:dyDescent="0.25">
      <c r="A596" s="278" t="s">
        <v>123</v>
      </c>
      <c r="B596" s="163" t="s">
        <v>699</v>
      </c>
      <c r="C596" s="311">
        <v>200</v>
      </c>
      <c r="D596" s="34">
        <f>D597</f>
        <v>20083.399999999998</v>
      </c>
      <c r="E596" s="34">
        <f t="shared" ref="E596:F596" si="242">E597</f>
        <v>20083.399999999998</v>
      </c>
      <c r="F596" s="34">
        <f t="shared" si="242"/>
        <v>19764.2</v>
      </c>
      <c r="G596" s="535">
        <f t="shared" si="239"/>
        <v>0.98410627682563723</v>
      </c>
    </row>
    <row r="597" spans="1:7" s="188" customFormat="1" x14ac:dyDescent="0.25">
      <c r="A597" s="278" t="s">
        <v>54</v>
      </c>
      <c r="B597" s="163" t="s">
        <v>699</v>
      </c>
      <c r="C597" s="309">
        <v>240</v>
      </c>
      <c r="D597" s="34">
        <f>'Функц. 2023-2025'!F486</f>
        <v>20083.399999999998</v>
      </c>
      <c r="E597" s="148">
        <f>'Функц. 2023-2025'!H486</f>
        <v>20083.399999999998</v>
      </c>
      <c r="F597" s="148">
        <f>'Функц. 2023-2025'!J486</f>
        <v>19764.2</v>
      </c>
      <c r="G597" s="535">
        <f t="shared" si="239"/>
        <v>0.98410627682563723</v>
      </c>
    </row>
    <row r="598" spans="1:7" x14ac:dyDescent="0.25">
      <c r="A598" s="301" t="s">
        <v>666</v>
      </c>
      <c r="B598" s="163" t="s">
        <v>665</v>
      </c>
      <c r="C598" s="309"/>
      <c r="D598" s="34">
        <f>D599</f>
        <v>10154.1</v>
      </c>
      <c r="E598" s="148">
        <f t="shared" ref="E598:F598" si="243">E599</f>
        <v>10154.1</v>
      </c>
      <c r="F598" s="148">
        <f t="shared" si="243"/>
        <v>10019</v>
      </c>
      <c r="G598" s="535">
        <f t="shared" si="239"/>
        <v>0.98669502959395705</v>
      </c>
    </row>
    <row r="599" spans="1:7" x14ac:dyDescent="0.25">
      <c r="A599" s="278" t="s">
        <v>123</v>
      </c>
      <c r="B599" s="163" t="s">
        <v>665</v>
      </c>
      <c r="C599" s="311">
        <v>200</v>
      </c>
      <c r="D599" s="34">
        <f t="shared" ref="D599:F599" si="244">D600</f>
        <v>10154.1</v>
      </c>
      <c r="E599" s="148">
        <f t="shared" si="244"/>
        <v>10154.1</v>
      </c>
      <c r="F599" s="148">
        <f t="shared" si="244"/>
        <v>10019</v>
      </c>
      <c r="G599" s="535">
        <f t="shared" si="239"/>
        <v>0.98669502959395705</v>
      </c>
    </row>
    <row r="600" spans="1:7" x14ac:dyDescent="0.25">
      <c r="A600" s="278" t="s">
        <v>54</v>
      </c>
      <c r="B600" s="163" t="s">
        <v>665</v>
      </c>
      <c r="C600" s="309">
        <v>240</v>
      </c>
      <c r="D600" s="34">
        <f>'Функц. 2023-2025'!F489</f>
        <v>10154.1</v>
      </c>
      <c r="E600" s="148">
        <f>'Функц. 2023-2025'!H489</f>
        <v>10154.1</v>
      </c>
      <c r="F600" s="148">
        <f>'Функц. 2023-2025'!J489</f>
        <v>10019</v>
      </c>
      <c r="G600" s="535">
        <f t="shared" si="239"/>
        <v>0.98669502959395705</v>
      </c>
    </row>
    <row r="601" spans="1:7" s="188" customFormat="1" x14ac:dyDescent="0.25">
      <c r="A601" s="278" t="s">
        <v>489</v>
      </c>
      <c r="B601" s="163" t="s">
        <v>445</v>
      </c>
      <c r="C601" s="309"/>
      <c r="D601" s="34">
        <f>D602</f>
        <v>19689.900000000001</v>
      </c>
      <c r="E601" s="148">
        <f t="shared" ref="E601:F601" si="245">E602</f>
        <v>19689.900000000001</v>
      </c>
      <c r="F601" s="148">
        <f t="shared" si="245"/>
        <v>19162.8</v>
      </c>
      <c r="G601" s="535">
        <f t="shared" si="239"/>
        <v>0.97322993006566805</v>
      </c>
    </row>
    <row r="602" spans="1:7" s="188" customFormat="1" x14ac:dyDescent="0.25">
      <c r="A602" s="278" t="s">
        <v>123</v>
      </c>
      <c r="B602" s="163" t="s">
        <v>445</v>
      </c>
      <c r="C602" s="311">
        <v>200</v>
      </c>
      <c r="D602" s="34">
        <f>D603</f>
        <v>19689.900000000001</v>
      </c>
      <c r="E602" s="148">
        <f t="shared" ref="E602:F602" si="246">E603</f>
        <v>19689.900000000001</v>
      </c>
      <c r="F602" s="148">
        <f t="shared" si="246"/>
        <v>19162.8</v>
      </c>
      <c r="G602" s="535">
        <f t="shared" si="239"/>
        <v>0.97322993006566805</v>
      </c>
    </row>
    <row r="603" spans="1:7" s="188" customFormat="1" x14ac:dyDescent="0.25">
      <c r="A603" s="278" t="s">
        <v>54</v>
      </c>
      <c r="B603" s="163" t="s">
        <v>445</v>
      </c>
      <c r="C603" s="309">
        <v>240</v>
      </c>
      <c r="D603" s="34">
        <f>'Функц. 2023-2025'!F492</f>
        <v>19689.900000000001</v>
      </c>
      <c r="E603" s="148">
        <f>'Функц. 2023-2025'!H492</f>
        <v>19689.900000000001</v>
      </c>
      <c r="F603" s="148">
        <f>'Функц. 2023-2025'!J492</f>
        <v>19162.8</v>
      </c>
      <c r="G603" s="535">
        <f t="shared" si="239"/>
        <v>0.97322993006566805</v>
      </c>
    </row>
    <row r="604" spans="1:7" ht="31.5" x14ac:dyDescent="0.25">
      <c r="A604" s="301" t="s">
        <v>682</v>
      </c>
      <c r="B604" s="163" t="s">
        <v>463</v>
      </c>
      <c r="C604" s="309"/>
      <c r="D604" s="34">
        <f t="shared" ref="D604:F605" si="247">D605</f>
        <v>48643.1</v>
      </c>
      <c r="E604" s="148">
        <f t="shared" si="247"/>
        <v>48643.1</v>
      </c>
      <c r="F604" s="148">
        <f t="shared" si="247"/>
        <v>48643.1</v>
      </c>
      <c r="G604" s="535">
        <f t="shared" si="239"/>
        <v>1</v>
      </c>
    </row>
    <row r="605" spans="1:7" ht="31.5" x14ac:dyDescent="0.25">
      <c r="A605" s="297" t="s">
        <v>62</v>
      </c>
      <c r="B605" s="163" t="s">
        <v>463</v>
      </c>
      <c r="C605" s="311">
        <v>600</v>
      </c>
      <c r="D605" s="34">
        <f t="shared" si="247"/>
        <v>48643.1</v>
      </c>
      <c r="E605" s="148">
        <f t="shared" si="247"/>
        <v>48643.1</v>
      </c>
      <c r="F605" s="148">
        <f t="shared" si="247"/>
        <v>48643.1</v>
      </c>
      <c r="G605" s="535">
        <f t="shared" si="239"/>
        <v>1</v>
      </c>
    </row>
    <row r="606" spans="1:7" x14ac:dyDescent="0.25">
      <c r="A606" s="297" t="s">
        <v>63</v>
      </c>
      <c r="B606" s="163" t="s">
        <v>463</v>
      </c>
      <c r="C606" s="309">
        <v>610</v>
      </c>
      <c r="D606" s="34">
        <f>'Функц. 2023-2025'!F495</f>
        <v>48643.1</v>
      </c>
      <c r="E606" s="148">
        <f>'Функц. 2023-2025'!H495</f>
        <v>48643.1</v>
      </c>
      <c r="F606" s="148">
        <f>'Функц. 2023-2025'!J495</f>
        <v>48643.1</v>
      </c>
      <c r="G606" s="535">
        <f t="shared" si="239"/>
        <v>1</v>
      </c>
    </row>
    <row r="607" spans="1:7" s="188" customFormat="1" ht="31.5" x14ac:dyDescent="0.25">
      <c r="A607" s="297" t="s">
        <v>350</v>
      </c>
      <c r="B607" s="163" t="s">
        <v>629</v>
      </c>
      <c r="C607" s="309"/>
      <c r="D607" s="34">
        <f>D608+D610</f>
        <v>1395</v>
      </c>
      <c r="E607" s="34">
        <f t="shared" ref="E607:F607" si="248">E608+E610</f>
        <v>1395</v>
      </c>
      <c r="F607" s="34">
        <f t="shared" si="248"/>
        <v>1386.2</v>
      </c>
      <c r="G607" s="535">
        <f t="shared" si="239"/>
        <v>0.99369175627240147</v>
      </c>
    </row>
    <row r="608" spans="1:7" s="188" customFormat="1" ht="47.25" x14ac:dyDescent="0.25">
      <c r="A608" s="297" t="s">
        <v>43</v>
      </c>
      <c r="B608" s="163" t="s">
        <v>629</v>
      </c>
      <c r="C608" s="309">
        <v>100</v>
      </c>
      <c r="D608" s="34">
        <f>D609</f>
        <v>1331</v>
      </c>
      <c r="E608" s="34">
        <f t="shared" ref="E608:F608" si="249">E609</f>
        <v>1331</v>
      </c>
      <c r="F608" s="34">
        <f t="shared" si="249"/>
        <v>1328.3</v>
      </c>
      <c r="G608" s="535">
        <f t="shared" si="239"/>
        <v>0.99797145003756571</v>
      </c>
    </row>
    <row r="609" spans="1:7" s="188" customFormat="1" x14ac:dyDescent="0.25">
      <c r="A609" s="297" t="s">
        <v>99</v>
      </c>
      <c r="B609" s="163" t="s">
        <v>629</v>
      </c>
      <c r="C609" s="309">
        <v>120</v>
      </c>
      <c r="D609" s="34">
        <f>'Функц. 2023-2025'!F524</f>
        <v>1331</v>
      </c>
      <c r="E609" s="148">
        <f>'Функц. 2023-2025'!H524</f>
        <v>1331</v>
      </c>
      <c r="F609" s="148">
        <f>'Функц. 2023-2025'!L524</f>
        <v>1328.3</v>
      </c>
      <c r="G609" s="535">
        <f t="shared" si="239"/>
        <v>0.99797145003756571</v>
      </c>
    </row>
    <row r="610" spans="1:7" s="188" customFormat="1" x14ac:dyDescent="0.25">
      <c r="A610" s="297" t="s">
        <v>123</v>
      </c>
      <c r="B610" s="163" t="s">
        <v>629</v>
      </c>
      <c r="C610" s="309">
        <v>200</v>
      </c>
      <c r="D610" s="34">
        <f>D611</f>
        <v>64</v>
      </c>
      <c r="E610" s="34">
        <f t="shared" ref="E610:F610" si="250">E611</f>
        <v>64</v>
      </c>
      <c r="F610" s="34">
        <f t="shared" si="250"/>
        <v>57.9</v>
      </c>
      <c r="G610" s="535">
        <f t="shared" si="239"/>
        <v>0.90468749999999998</v>
      </c>
    </row>
    <row r="611" spans="1:7" s="188" customFormat="1" x14ac:dyDescent="0.25">
      <c r="A611" s="297" t="s">
        <v>54</v>
      </c>
      <c r="B611" s="163" t="s">
        <v>629</v>
      </c>
      <c r="C611" s="309">
        <v>240</v>
      </c>
      <c r="D611" s="34">
        <f>'Функц. 2023-2025'!F526</f>
        <v>64</v>
      </c>
      <c r="E611" s="148">
        <f>'Функц. 2023-2025'!H526</f>
        <v>64</v>
      </c>
      <c r="F611" s="148">
        <f>'Функц. 2023-2025'!L526</f>
        <v>57.9</v>
      </c>
      <c r="G611" s="535">
        <f t="shared" si="239"/>
        <v>0.90468749999999998</v>
      </c>
    </row>
    <row r="612" spans="1:7" s="188" customFormat="1" x14ac:dyDescent="0.25">
      <c r="A612" s="278" t="s">
        <v>475</v>
      </c>
      <c r="B612" s="163" t="s">
        <v>476</v>
      </c>
      <c r="C612" s="309"/>
      <c r="D612" s="34">
        <f>D613</f>
        <v>3945.3</v>
      </c>
      <c r="E612" s="34">
        <f t="shared" ref="E612:F613" si="251">E613</f>
        <v>3925.3</v>
      </c>
      <c r="F612" s="34">
        <f t="shared" si="251"/>
        <v>3921.2</v>
      </c>
      <c r="G612" s="535">
        <f t="shared" si="239"/>
        <v>0.99895549384760396</v>
      </c>
    </row>
    <row r="613" spans="1:7" s="188" customFormat="1" x14ac:dyDescent="0.25">
      <c r="A613" s="278" t="s">
        <v>123</v>
      </c>
      <c r="B613" s="163" t="s">
        <v>476</v>
      </c>
      <c r="C613" s="311">
        <v>200</v>
      </c>
      <c r="D613" s="34">
        <f>D614</f>
        <v>3945.3</v>
      </c>
      <c r="E613" s="34">
        <f t="shared" si="251"/>
        <v>3925.3</v>
      </c>
      <c r="F613" s="34">
        <f t="shared" si="251"/>
        <v>3921.2</v>
      </c>
      <c r="G613" s="535">
        <f t="shared" si="239"/>
        <v>0.99895549384760396</v>
      </c>
    </row>
    <row r="614" spans="1:7" s="188" customFormat="1" x14ac:dyDescent="0.25">
      <c r="A614" s="278" t="s">
        <v>54</v>
      </c>
      <c r="B614" s="163" t="s">
        <v>476</v>
      </c>
      <c r="C614" s="309">
        <v>240</v>
      </c>
      <c r="D614" s="34">
        <f>'Функц. 2023-2025'!F498</f>
        <v>3945.3</v>
      </c>
      <c r="E614" s="148">
        <f>'Функц. 2023-2025'!H498</f>
        <v>3925.3</v>
      </c>
      <c r="F614" s="148">
        <f>'Функц. 2023-2025'!J498</f>
        <v>3921.2</v>
      </c>
      <c r="G614" s="535">
        <f t="shared" si="239"/>
        <v>0.99895549384760396</v>
      </c>
    </row>
    <row r="615" spans="1:7" s="188" customFormat="1" x14ac:dyDescent="0.25">
      <c r="A615" s="278" t="s">
        <v>498</v>
      </c>
      <c r="B615" s="163" t="s">
        <v>499</v>
      </c>
      <c r="C615" s="317"/>
      <c r="D615" s="34">
        <f>D616</f>
        <v>7578</v>
      </c>
      <c r="E615" s="34">
        <f t="shared" ref="E615:F615" si="252">E616</f>
        <v>7577.9</v>
      </c>
      <c r="F615" s="34">
        <f t="shared" si="252"/>
        <v>7577.9</v>
      </c>
      <c r="G615" s="535">
        <f t="shared" si="239"/>
        <v>1</v>
      </c>
    </row>
    <row r="616" spans="1:7" s="188" customFormat="1" x14ac:dyDescent="0.25">
      <c r="A616" s="278" t="s">
        <v>123</v>
      </c>
      <c r="B616" s="163" t="s">
        <v>499</v>
      </c>
      <c r="C616" s="317" t="s">
        <v>39</v>
      </c>
      <c r="D616" s="34">
        <f>D617</f>
        <v>7578</v>
      </c>
      <c r="E616" s="34">
        <f t="shared" ref="E616:F616" si="253">E617</f>
        <v>7577.9</v>
      </c>
      <c r="F616" s="34">
        <f t="shared" si="253"/>
        <v>7577.9</v>
      </c>
      <c r="G616" s="535">
        <f t="shared" si="239"/>
        <v>1</v>
      </c>
    </row>
    <row r="617" spans="1:7" s="188" customFormat="1" x14ac:dyDescent="0.25">
      <c r="A617" s="278" t="s">
        <v>54</v>
      </c>
      <c r="B617" s="163" t="s">
        <v>499</v>
      </c>
      <c r="C617" s="317" t="s">
        <v>67</v>
      </c>
      <c r="D617" s="34">
        <f>'Функц. 2023-2025'!F373</f>
        <v>7578</v>
      </c>
      <c r="E617" s="148">
        <f>'Функц. 2023-2025'!H373</f>
        <v>7577.9</v>
      </c>
      <c r="F617" s="148">
        <f>'Функц. 2023-2025'!J373</f>
        <v>7577.9</v>
      </c>
      <c r="G617" s="535">
        <f t="shared" si="239"/>
        <v>1</v>
      </c>
    </row>
    <row r="618" spans="1:7" s="188" customFormat="1" ht="31.5" x14ac:dyDescent="0.25">
      <c r="A618" s="301" t="s">
        <v>341</v>
      </c>
      <c r="B618" s="163" t="s">
        <v>630</v>
      </c>
      <c r="C618" s="311"/>
      <c r="D618" s="34">
        <f>D619</f>
        <v>100</v>
      </c>
      <c r="E618" s="34">
        <f t="shared" ref="E618:F618" si="254">E619</f>
        <v>100</v>
      </c>
      <c r="F618" s="34">
        <f t="shared" si="254"/>
        <v>100</v>
      </c>
      <c r="G618" s="535">
        <f t="shared" si="239"/>
        <v>1</v>
      </c>
    </row>
    <row r="619" spans="1:7" s="188" customFormat="1" x14ac:dyDescent="0.25">
      <c r="A619" s="301" t="s">
        <v>368</v>
      </c>
      <c r="B619" s="163" t="s">
        <v>631</v>
      </c>
      <c r="C619" s="311"/>
      <c r="D619" s="34">
        <f t="shared" ref="D619:F620" si="255">D620</f>
        <v>100</v>
      </c>
      <c r="E619" s="148">
        <f t="shared" si="255"/>
        <v>100</v>
      </c>
      <c r="F619" s="148">
        <f t="shared" si="255"/>
        <v>100</v>
      </c>
      <c r="G619" s="535">
        <f t="shared" si="239"/>
        <v>1</v>
      </c>
    </row>
    <row r="620" spans="1:7" s="188" customFormat="1" x14ac:dyDescent="0.25">
      <c r="A620" s="297" t="s">
        <v>123</v>
      </c>
      <c r="B620" s="163" t="s">
        <v>631</v>
      </c>
      <c r="C620" s="317" t="s">
        <v>39</v>
      </c>
      <c r="D620" s="34">
        <f t="shared" si="255"/>
        <v>100</v>
      </c>
      <c r="E620" s="148">
        <f t="shared" si="255"/>
        <v>100</v>
      </c>
      <c r="F620" s="148">
        <f t="shared" si="255"/>
        <v>100</v>
      </c>
      <c r="G620" s="535">
        <f t="shared" si="239"/>
        <v>1</v>
      </c>
    </row>
    <row r="621" spans="1:7" s="188" customFormat="1" x14ac:dyDescent="0.25">
      <c r="A621" s="297" t="s">
        <v>54</v>
      </c>
      <c r="B621" s="163" t="s">
        <v>631</v>
      </c>
      <c r="C621" s="317" t="s">
        <v>67</v>
      </c>
      <c r="D621" s="34">
        <f>'Функц. 2023-2025'!F416</f>
        <v>100</v>
      </c>
      <c r="E621" s="148">
        <f>'Функц. 2023-2025'!H416</f>
        <v>100</v>
      </c>
      <c r="F621" s="148">
        <f>'Функц. 2023-2025'!J416</f>
        <v>100</v>
      </c>
      <c r="G621" s="535">
        <f t="shared" si="239"/>
        <v>1</v>
      </c>
    </row>
    <row r="622" spans="1:7" s="188" customFormat="1" ht="31.5" x14ac:dyDescent="0.25">
      <c r="A622" s="282" t="s">
        <v>343</v>
      </c>
      <c r="B622" s="163" t="s">
        <v>628</v>
      </c>
      <c r="C622" s="311"/>
      <c r="D622" s="34">
        <f>D623</f>
        <v>996.59999999999991</v>
      </c>
      <c r="E622" s="34">
        <f t="shared" ref="E622:F622" si="256">E623</f>
        <v>996.59999999999991</v>
      </c>
      <c r="F622" s="34">
        <f t="shared" si="256"/>
        <v>996.5</v>
      </c>
      <c r="G622" s="535">
        <f t="shared" si="239"/>
        <v>0.99989965884005627</v>
      </c>
    </row>
    <row r="623" spans="1:7" s="188" customFormat="1" x14ac:dyDescent="0.25">
      <c r="A623" s="301" t="s">
        <v>748</v>
      </c>
      <c r="B623" s="163" t="s">
        <v>749</v>
      </c>
      <c r="C623" s="311"/>
      <c r="D623" s="34">
        <f t="shared" ref="D623:F624" si="257">D624</f>
        <v>996.59999999999991</v>
      </c>
      <c r="E623" s="148">
        <f t="shared" si="257"/>
        <v>996.59999999999991</v>
      </c>
      <c r="F623" s="148">
        <f t="shared" si="257"/>
        <v>996.5</v>
      </c>
      <c r="G623" s="535">
        <f t="shared" si="239"/>
        <v>0.99989965884005627</v>
      </c>
    </row>
    <row r="624" spans="1:7" s="188" customFormat="1" x14ac:dyDescent="0.25">
      <c r="A624" s="278" t="s">
        <v>44</v>
      </c>
      <c r="B624" s="163" t="s">
        <v>749</v>
      </c>
      <c r="C624" s="317" t="s">
        <v>373</v>
      </c>
      <c r="D624" s="34">
        <f t="shared" si="257"/>
        <v>996.59999999999991</v>
      </c>
      <c r="E624" s="148">
        <f t="shared" si="257"/>
        <v>996.59999999999991</v>
      </c>
      <c r="F624" s="148">
        <f t="shared" si="257"/>
        <v>996.5</v>
      </c>
      <c r="G624" s="535">
        <f t="shared" si="239"/>
        <v>0.99989965884005627</v>
      </c>
    </row>
    <row r="625" spans="1:7" s="188" customFormat="1" ht="31.5" x14ac:dyDescent="0.25">
      <c r="A625" s="278" t="s">
        <v>124</v>
      </c>
      <c r="B625" s="163" t="s">
        <v>749</v>
      </c>
      <c r="C625" s="317" t="s">
        <v>374</v>
      </c>
      <c r="D625" s="34">
        <f>'Функц. 2023-2025'!F420</f>
        <v>996.59999999999991</v>
      </c>
      <c r="E625" s="148">
        <f>'Функц. 2023-2025'!H420</f>
        <v>996.59999999999991</v>
      </c>
      <c r="F625" s="148">
        <f>'Функц. 2023-2025'!J420</f>
        <v>996.5</v>
      </c>
      <c r="G625" s="535">
        <f t="shared" si="239"/>
        <v>0.99989965884005627</v>
      </c>
    </row>
    <row r="626" spans="1:7" s="188" customFormat="1" x14ac:dyDescent="0.25">
      <c r="A626" s="282" t="s">
        <v>402</v>
      </c>
      <c r="B626" s="458" t="s">
        <v>474</v>
      </c>
      <c r="C626" s="309"/>
      <c r="D626" s="34">
        <f>D627</f>
        <v>56866.2</v>
      </c>
      <c r="E626" s="148">
        <f t="shared" ref="E626:F626" si="258">E627</f>
        <v>56776.7</v>
      </c>
      <c r="F626" s="148">
        <f t="shared" si="258"/>
        <v>56776.7</v>
      </c>
      <c r="G626" s="535">
        <f t="shared" si="239"/>
        <v>1</v>
      </c>
    </row>
    <row r="627" spans="1:7" s="188" customFormat="1" x14ac:dyDescent="0.25">
      <c r="A627" s="278" t="s">
        <v>431</v>
      </c>
      <c r="B627" s="458" t="s">
        <v>473</v>
      </c>
      <c r="C627" s="309"/>
      <c r="D627" s="34">
        <f>D628</f>
        <v>56866.2</v>
      </c>
      <c r="E627" s="148">
        <f t="shared" ref="E627:F627" si="259">E628</f>
        <v>56776.7</v>
      </c>
      <c r="F627" s="148">
        <f t="shared" si="259"/>
        <v>56776.7</v>
      </c>
      <c r="G627" s="535">
        <f t="shared" si="239"/>
        <v>1</v>
      </c>
    </row>
    <row r="628" spans="1:7" s="188" customFormat="1" x14ac:dyDescent="0.25">
      <c r="A628" s="278" t="s">
        <v>123</v>
      </c>
      <c r="B628" s="458" t="s">
        <v>473</v>
      </c>
      <c r="C628" s="309">
        <v>200</v>
      </c>
      <c r="D628" s="34">
        <f>D629</f>
        <v>56866.2</v>
      </c>
      <c r="E628" s="148">
        <f>E629</f>
        <v>56776.7</v>
      </c>
      <c r="F628" s="148">
        <f>F629</f>
        <v>56776.7</v>
      </c>
      <c r="G628" s="535">
        <f t="shared" si="239"/>
        <v>1</v>
      </c>
    </row>
    <row r="629" spans="1:7" s="188" customFormat="1" x14ac:dyDescent="0.25">
      <c r="A629" s="278" t="s">
        <v>54</v>
      </c>
      <c r="B629" s="458" t="s">
        <v>473</v>
      </c>
      <c r="C629" s="309">
        <v>240</v>
      </c>
      <c r="D629" s="34">
        <f>'Функц. 2023-2025'!F377</f>
        <v>56866.2</v>
      </c>
      <c r="E629" s="148">
        <f>'Функц. 2023-2025'!H377</f>
        <v>56776.7</v>
      </c>
      <c r="F629" s="148">
        <f>'Функц. 2023-2025'!J377</f>
        <v>56776.7</v>
      </c>
      <c r="G629" s="535">
        <f t="shared" si="239"/>
        <v>1</v>
      </c>
    </row>
    <row r="630" spans="1:7" x14ac:dyDescent="0.25">
      <c r="A630" s="299" t="s">
        <v>198</v>
      </c>
      <c r="B630" s="163" t="s">
        <v>340</v>
      </c>
      <c r="C630" s="309"/>
      <c r="D630" s="34">
        <f>D631</f>
        <v>20874.5</v>
      </c>
      <c r="E630" s="34">
        <f t="shared" ref="E630:F630" si="260">E631</f>
        <v>20874.5</v>
      </c>
      <c r="F630" s="34">
        <f t="shared" si="260"/>
        <v>20692.5</v>
      </c>
      <c r="G630" s="535">
        <f t="shared" si="239"/>
        <v>0.99128122829289322</v>
      </c>
    </row>
    <row r="631" spans="1:7" ht="31.5" x14ac:dyDescent="0.25">
      <c r="A631" s="299" t="s">
        <v>200</v>
      </c>
      <c r="B631" s="163" t="s">
        <v>344</v>
      </c>
      <c r="C631" s="309"/>
      <c r="D631" s="34">
        <f>D632</f>
        <v>20874.5</v>
      </c>
      <c r="E631" s="34">
        <f t="shared" ref="E631:F631" si="261">E632</f>
        <v>20874.5</v>
      </c>
      <c r="F631" s="34">
        <f t="shared" si="261"/>
        <v>20692.5</v>
      </c>
      <c r="G631" s="535">
        <f t="shared" si="239"/>
        <v>0.99128122829289322</v>
      </c>
    </row>
    <row r="632" spans="1:7" x14ac:dyDescent="0.25">
      <c r="A632" s="301" t="s">
        <v>214</v>
      </c>
      <c r="B632" s="163" t="s">
        <v>632</v>
      </c>
      <c r="C632" s="309"/>
      <c r="D632" s="34">
        <f>D633+D638+D641</f>
        <v>20874.5</v>
      </c>
      <c r="E632" s="148">
        <f>E633+E638+E641</f>
        <v>20874.5</v>
      </c>
      <c r="F632" s="148">
        <f>F633+F638+F641</f>
        <v>20692.5</v>
      </c>
      <c r="G632" s="535">
        <f t="shared" si="239"/>
        <v>0.99128122829289322</v>
      </c>
    </row>
    <row r="633" spans="1:7" ht="31.5" x14ac:dyDescent="0.25">
      <c r="A633" s="297" t="s">
        <v>215</v>
      </c>
      <c r="B633" s="163" t="s">
        <v>633</v>
      </c>
      <c r="C633" s="546"/>
      <c r="D633" s="34">
        <f>D634+D636</f>
        <v>2049.4999999999995</v>
      </c>
      <c r="E633" s="34">
        <f t="shared" ref="E633:F633" si="262">E634+E636</f>
        <v>2049.4999999999995</v>
      </c>
      <c r="F633" s="34">
        <f t="shared" si="262"/>
        <v>1893</v>
      </c>
      <c r="G633" s="535">
        <f t="shared" si="239"/>
        <v>0.92363991217370112</v>
      </c>
    </row>
    <row r="634" spans="1:7" x14ac:dyDescent="0.25">
      <c r="A634" s="297" t="s">
        <v>123</v>
      </c>
      <c r="B634" s="163" t="s">
        <v>633</v>
      </c>
      <c r="C634" s="309">
        <v>200</v>
      </c>
      <c r="D634" s="34">
        <f>D635</f>
        <v>2034.1999999999996</v>
      </c>
      <c r="E634" s="148">
        <f>E635</f>
        <v>2034.1999999999996</v>
      </c>
      <c r="F634" s="148">
        <f>F635</f>
        <v>1877.7</v>
      </c>
      <c r="G634" s="535">
        <f t="shared" si="239"/>
        <v>0.92306557860584038</v>
      </c>
    </row>
    <row r="635" spans="1:7" x14ac:dyDescent="0.25">
      <c r="A635" s="297" t="s">
        <v>54</v>
      </c>
      <c r="B635" s="163" t="s">
        <v>633</v>
      </c>
      <c r="C635" s="309">
        <v>240</v>
      </c>
      <c r="D635" s="34">
        <f>'Функц. 2023-2025'!F532</f>
        <v>2034.1999999999996</v>
      </c>
      <c r="E635" s="148">
        <f>'Функц. 2023-2025'!H532</f>
        <v>2034.1999999999996</v>
      </c>
      <c r="F635" s="148">
        <f>'Функц. 2023-2025'!J532</f>
        <v>1877.7</v>
      </c>
      <c r="G635" s="535">
        <f t="shared" si="239"/>
        <v>0.92306557860584038</v>
      </c>
    </row>
    <row r="636" spans="1:7" s="188" customFormat="1" x14ac:dyDescent="0.25">
      <c r="A636" s="297" t="s">
        <v>44</v>
      </c>
      <c r="B636" s="163" t="s">
        <v>633</v>
      </c>
      <c r="C636" s="309">
        <v>800</v>
      </c>
      <c r="D636" s="34">
        <f>D637</f>
        <v>15.3</v>
      </c>
      <c r="E636" s="34">
        <f t="shared" ref="E636:F636" si="263">E637</f>
        <v>15.3</v>
      </c>
      <c r="F636" s="34">
        <f t="shared" si="263"/>
        <v>15.3</v>
      </c>
      <c r="G636" s="535">
        <f t="shared" si="239"/>
        <v>1</v>
      </c>
    </row>
    <row r="637" spans="1:7" s="188" customFormat="1" x14ac:dyDescent="0.25">
      <c r="A637" s="297" t="s">
        <v>60</v>
      </c>
      <c r="B637" s="163" t="s">
        <v>633</v>
      </c>
      <c r="C637" s="309">
        <v>850</v>
      </c>
      <c r="D637" s="34">
        <f>'Функц. 2023-2025'!F534</f>
        <v>15.3</v>
      </c>
      <c r="E637" s="34">
        <f>'Функц. 2023-2025'!H534</f>
        <v>15.3</v>
      </c>
      <c r="F637" s="34">
        <f>'Функц. 2023-2025'!J534</f>
        <v>15.3</v>
      </c>
      <c r="G637" s="535">
        <f t="shared" si="239"/>
        <v>1</v>
      </c>
    </row>
    <row r="638" spans="1:7" ht="31.5" x14ac:dyDescent="0.25">
      <c r="A638" s="297" t="s">
        <v>216</v>
      </c>
      <c r="B638" s="163" t="s">
        <v>634</v>
      </c>
      <c r="C638" s="546"/>
      <c r="D638" s="34">
        <f t="shared" ref="D638:F639" si="264">D639</f>
        <v>11762.500000000002</v>
      </c>
      <c r="E638" s="148">
        <f t="shared" si="264"/>
        <v>11762.500000000002</v>
      </c>
      <c r="F638" s="148">
        <f t="shared" si="264"/>
        <v>11758.6</v>
      </c>
      <c r="G638" s="535">
        <f t="shared" si="239"/>
        <v>0.99966843783209336</v>
      </c>
    </row>
    <row r="639" spans="1:7" ht="47.25" x14ac:dyDescent="0.25">
      <c r="A639" s="297" t="s">
        <v>43</v>
      </c>
      <c r="B639" s="163" t="s">
        <v>634</v>
      </c>
      <c r="C639" s="309">
        <v>100</v>
      </c>
      <c r="D639" s="34">
        <f t="shared" si="264"/>
        <v>11762.500000000002</v>
      </c>
      <c r="E639" s="148">
        <f t="shared" si="264"/>
        <v>11762.500000000002</v>
      </c>
      <c r="F639" s="148">
        <f t="shared" si="264"/>
        <v>11758.6</v>
      </c>
      <c r="G639" s="535">
        <f t="shared" si="239"/>
        <v>0.99966843783209336</v>
      </c>
    </row>
    <row r="640" spans="1:7" x14ac:dyDescent="0.25">
      <c r="A640" s="297" t="s">
        <v>99</v>
      </c>
      <c r="B640" s="163" t="s">
        <v>634</v>
      </c>
      <c r="C640" s="309">
        <v>120</v>
      </c>
      <c r="D640" s="34">
        <f>'Функц. 2023-2025'!F537</f>
        <v>11762.500000000002</v>
      </c>
      <c r="E640" s="148">
        <f>'Функц. 2023-2025'!H537</f>
        <v>11762.500000000002</v>
      </c>
      <c r="F640" s="148">
        <f>'Функц. 2023-2025'!J537</f>
        <v>11758.6</v>
      </c>
      <c r="G640" s="535">
        <f t="shared" si="239"/>
        <v>0.99966843783209336</v>
      </c>
    </row>
    <row r="641" spans="1:7" ht="31.5" x14ac:dyDescent="0.25">
      <c r="A641" s="297" t="s">
        <v>217</v>
      </c>
      <c r="B641" s="163" t="s">
        <v>635</v>
      </c>
      <c r="C641" s="546"/>
      <c r="D641" s="34">
        <f t="shared" ref="D641:F642" si="265">D642</f>
        <v>7062.5</v>
      </c>
      <c r="E641" s="148">
        <f t="shared" si="265"/>
        <v>7062.5</v>
      </c>
      <c r="F641" s="148">
        <f t="shared" si="265"/>
        <v>7040.9</v>
      </c>
      <c r="G641" s="535">
        <f t="shared" si="239"/>
        <v>0.99694159292035389</v>
      </c>
    </row>
    <row r="642" spans="1:7" ht="47.25" x14ac:dyDescent="0.25">
      <c r="A642" s="297" t="s">
        <v>43</v>
      </c>
      <c r="B642" s="163" t="s">
        <v>635</v>
      </c>
      <c r="C642" s="309">
        <v>100</v>
      </c>
      <c r="D642" s="34">
        <f t="shared" si="265"/>
        <v>7062.5</v>
      </c>
      <c r="E642" s="148">
        <f t="shared" si="265"/>
        <v>7062.5</v>
      </c>
      <c r="F642" s="148">
        <f t="shared" si="265"/>
        <v>7040.9</v>
      </c>
      <c r="G642" s="535">
        <f t="shared" si="239"/>
        <v>0.99694159292035389</v>
      </c>
    </row>
    <row r="643" spans="1:7" x14ac:dyDescent="0.25">
      <c r="A643" s="297" t="s">
        <v>99</v>
      </c>
      <c r="B643" s="163" t="s">
        <v>635</v>
      </c>
      <c r="C643" s="309">
        <v>120</v>
      </c>
      <c r="D643" s="34">
        <f>'Функц. 2023-2025'!F540</f>
        <v>7062.5</v>
      </c>
      <c r="E643" s="148">
        <f>'Функц. 2023-2025'!H540</f>
        <v>7062.5</v>
      </c>
      <c r="F643" s="148">
        <f>'Функц. 2023-2025'!J540</f>
        <v>7040.9</v>
      </c>
      <c r="G643" s="535">
        <f t="shared" si="239"/>
        <v>0.99694159292035389</v>
      </c>
    </row>
    <row r="644" spans="1:7" s="185" customFormat="1" x14ac:dyDescent="0.25">
      <c r="A644" s="441" t="s">
        <v>376</v>
      </c>
      <c r="B644" s="163"/>
      <c r="C644" s="320"/>
      <c r="D644" s="37">
        <f>D567+D559+D526+D500+D464+D362+D335+D322+D252+D238+D209+D169+D67+D13+D246</f>
        <v>4046053.6999999997</v>
      </c>
      <c r="E644" s="37">
        <f>E567+E559+E526+E500+E464+E362+E335+E322+E252+E238+E209+E169+E67+E13+E246</f>
        <v>4038618.4</v>
      </c>
      <c r="F644" s="37">
        <f>F567+F559+F526+F500+F464+F362+F335+F322+F252+F238+F209+F169+F67+F13+F246</f>
        <v>3969017.6</v>
      </c>
      <c r="G644" s="536">
        <f t="shared" si="239"/>
        <v>0.98276618558465445</v>
      </c>
    </row>
    <row r="645" spans="1:7" s="184" customFormat="1" ht="31.5" x14ac:dyDescent="0.25">
      <c r="A645" s="435" t="s">
        <v>291</v>
      </c>
      <c r="B645" s="446" t="s">
        <v>102</v>
      </c>
      <c r="C645" s="314"/>
      <c r="D645" s="587">
        <f>D646+D649+D652+D662</f>
        <v>25797.899999999998</v>
      </c>
      <c r="E645" s="587">
        <f>E646+E649+E652+H655+E662</f>
        <v>25797.899999999998</v>
      </c>
      <c r="F645" s="37">
        <f t="shared" ref="F645" si="266">F646+F649+F652+I655+F662</f>
        <v>25693.4</v>
      </c>
      <c r="G645" s="536">
        <f t="shared" si="239"/>
        <v>0.99594928269355276</v>
      </c>
    </row>
    <row r="646" spans="1:7" x14ac:dyDescent="0.25">
      <c r="A646" s="442" t="s">
        <v>298</v>
      </c>
      <c r="B646" s="163" t="s">
        <v>301</v>
      </c>
      <c r="C646" s="309"/>
      <c r="D646" s="34">
        <f t="shared" ref="D646:F647" si="267">D647</f>
        <v>2981.8</v>
      </c>
      <c r="E646" s="532">
        <f t="shared" si="267"/>
        <v>2981.8</v>
      </c>
      <c r="F646" s="34">
        <f t="shared" si="267"/>
        <v>2979.4</v>
      </c>
      <c r="G646" s="535">
        <f t="shared" si="239"/>
        <v>0.99919511704339659</v>
      </c>
    </row>
    <row r="647" spans="1:7" ht="47.25" x14ac:dyDescent="0.25">
      <c r="A647" s="297" t="s">
        <v>43</v>
      </c>
      <c r="B647" s="163" t="s">
        <v>301</v>
      </c>
      <c r="C647" s="311">
        <v>100</v>
      </c>
      <c r="D647" s="34">
        <f>D648</f>
        <v>2981.8</v>
      </c>
      <c r="E647" s="532">
        <f t="shared" si="267"/>
        <v>2981.8</v>
      </c>
      <c r="F647" s="34">
        <f t="shared" si="267"/>
        <v>2979.4</v>
      </c>
      <c r="G647" s="535">
        <f t="shared" si="239"/>
        <v>0.99919511704339659</v>
      </c>
    </row>
    <row r="648" spans="1:7" x14ac:dyDescent="0.25">
      <c r="A648" s="297" t="s">
        <v>99</v>
      </c>
      <c r="B648" s="163" t="s">
        <v>301</v>
      </c>
      <c r="C648" s="309">
        <v>120</v>
      </c>
      <c r="D648" s="34">
        <f>'Функц. 2023-2025'!F25</f>
        <v>2981.8</v>
      </c>
      <c r="E648" s="532">
        <f>'Функц. 2023-2025'!H25</f>
        <v>2981.8</v>
      </c>
      <c r="F648" s="34">
        <f>'Функц. 2023-2025'!J25</f>
        <v>2979.4</v>
      </c>
      <c r="G648" s="535">
        <f t="shared" si="239"/>
        <v>0.99919511704339659</v>
      </c>
    </row>
    <row r="649" spans="1:7" x14ac:dyDescent="0.25">
      <c r="A649" s="297" t="s">
        <v>351</v>
      </c>
      <c r="B649" s="163" t="s">
        <v>302</v>
      </c>
      <c r="C649" s="309"/>
      <c r="D649" s="34">
        <f t="shared" ref="D649:F650" si="268">D650</f>
        <v>2163.9</v>
      </c>
      <c r="E649" s="532">
        <f t="shared" si="268"/>
        <v>2163.9</v>
      </c>
      <c r="F649" s="34">
        <f t="shared" si="268"/>
        <v>2162.3000000000002</v>
      </c>
      <c r="G649" s="535">
        <f t="shared" si="239"/>
        <v>0.9992605942973336</v>
      </c>
    </row>
    <row r="650" spans="1:7" ht="47.25" x14ac:dyDescent="0.25">
      <c r="A650" s="297" t="s">
        <v>43</v>
      </c>
      <c r="B650" s="163" t="s">
        <v>302</v>
      </c>
      <c r="C650" s="311">
        <v>100</v>
      </c>
      <c r="D650" s="34">
        <f>D651</f>
        <v>2163.9</v>
      </c>
      <c r="E650" s="532">
        <f t="shared" si="268"/>
        <v>2163.9</v>
      </c>
      <c r="F650" s="34">
        <f t="shared" si="268"/>
        <v>2162.3000000000002</v>
      </c>
      <c r="G650" s="535">
        <f t="shared" si="239"/>
        <v>0.9992605942973336</v>
      </c>
    </row>
    <row r="651" spans="1:7" x14ac:dyDescent="0.25">
      <c r="A651" s="297" t="s">
        <v>99</v>
      </c>
      <c r="B651" s="163" t="s">
        <v>302</v>
      </c>
      <c r="C651" s="309">
        <v>120</v>
      </c>
      <c r="D651" s="34">
        <f>'Функц. 2023-2025'!F28</f>
        <v>2163.9</v>
      </c>
      <c r="E651" s="532">
        <f>'Функц. 2023-2025'!H28</f>
        <v>2163.9</v>
      </c>
      <c r="F651" s="34">
        <f>'Функц. 2023-2025'!J28</f>
        <v>2162.3000000000002</v>
      </c>
      <c r="G651" s="535">
        <f t="shared" si="239"/>
        <v>0.9992605942973336</v>
      </c>
    </row>
    <row r="652" spans="1:7" x14ac:dyDescent="0.25">
      <c r="A652" s="300" t="s">
        <v>299</v>
      </c>
      <c r="B652" s="163" t="s">
        <v>300</v>
      </c>
      <c r="C652" s="309"/>
      <c r="D652" s="34">
        <f>D653+D656+D659</f>
        <v>10792.3</v>
      </c>
      <c r="E652" s="532">
        <f>E653+E656+E659</f>
        <v>10792.3</v>
      </c>
      <c r="F652" s="34">
        <f>F653+F656+F659</f>
        <v>10707.2</v>
      </c>
      <c r="G652" s="535">
        <f t="shared" si="239"/>
        <v>0.99211474847808168</v>
      </c>
    </row>
    <row r="653" spans="1:7" ht="31.5" x14ac:dyDescent="0.25">
      <c r="A653" s="297" t="s">
        <v>303</v>
      </c>
      <c r="B653" s="163" t="s">
        <v>304</v>
      </c>
      <c r="C653" s="309"/>
      <c r="D653" s="34">
        <f>D654</f>
        <v>1637.3</v>
      </c>
      <c r="E653" s="532">
        <f t="shared" ref="E653:F653" si="269">E654</f>
        <v>1637.3</v>
      </c>
      <c r="F653" s="34">
        <f t="shared" si="269"/>
        <v>1560.3</v>
      </c>
      <c r="G653" s="535">
        <f t="shared" si="239"/>
        <v>0.95297135528003418</v>
      </c>
    </row>
    <row r="654" spans="1:7" x14ac:dyDescent="0.25">
      <c r="A654" s="297" t="s">
        <v>123</v>
      </c>
      <c r="B654" s="163" t="s">
        <v>304</v>
      </c>
      <c r="C654" s="309">
        <v>200</v>
      </c>
      <c r="D654" s="34">
        <f>D655</f>
        <v>1637.3</v>
      </c>
      <c r="E654" s="532">
        <f>E655</f>
        <v>1637.3</v>
      </c>
      <c r="F654" s="34">
        <f>F655</f>
        <v>1560.3</v>
      </c>
      <c r="G654" s="535">
        <f t="shared" si="239"/>
        <v>0.95297135528003418</v>
      </c>
    </row>
    <row r="655" spans="1:7" x14ac:dyDescent="0.25">
      <c r="A655" s="297" t="s">
        <v>54</v>
      </c>
      <c r="B655" s="163" t="s">
        <v>304</v>
      </c>
      <c r="C655" s="309">
        <v>240</v>
      </c>
      <c r="D655" s="34">
        <f>'Функц. 2023-2025'!F32</f>
        <v>1637.3</v>
      </c>
      <c r="E655" s="532">
        <f>'Функц. 2023-2025'!H32</f>
        <v>1637.3</v>
      </c>
      <c r="F655" s="34">
        <f>'Функц. 2023-2025'!J32</f>
        <v>1560.3</v>
      </c>
      <c r="G655" s="535">
        <f t="shared" si="239"/>
        <v>0.95297135528003418</v>
      </c>
    </row>
    <row r="656" spans="1:7" ht="47.25" x14ac:dyDescent="0.25">
      <c r="A656" s="278" t="s">
        <v>307</v>
      </c>
      <c r="B656" s="163" t="s">
        <v>305</v>
      </c>
      <c r="C656" s="309"/>
      <c r="D656" s="34">
        <f t="shared" ref="D656:F657" si="270">D657</f>
        <v>4412.3999999999996</v>
      </c>
      <c r="E656" s="532">
        <f t="shared" si="270"/>
        <v>4412.3999999999996</v>
      </c>
      <c r="F656" s="34">
        <f t="shared" si="270"/>
        <v>4407.8999999999996</v>
      </c>
      <c r="G656" s="535">
        <f t="shared" ref="G656:G709" si="271">F656/E656</f>
        <v>0.99898014685885228</v>
      </c>
    </row>
    <row r="657" spans="1:7" ht="47.25" x14ac:dyDescent="0.25">
      <c r="A657" s="297" t="s">
        <v>43</v>
      </c>
      <c r="B657" s="163" t="s">
        <v>305</v>
      </c>
      <c r="C657" s="311">
        <v>100</v>
      </c>
      <c r="D657" s="34">
        <f t="shared" si="270"/>
        <v>4412.3999999999996</v>
      </c>
      <c r="E657" s="532">
        <f t="shared" si="270"/>
        <v>4412.3999999999996</v>
      </c>
      <c r="F657" s="34">
        <f t="shared" si="270"/>
        <v>4407.8999999999996</v>
      </c>
      <c r="G657" s="535">
        <f t="shared" si="271"/>
        <v>0.99898014685885228</v>
      </c>
    </row>
    <row r="658" spans="1:7" x14ac:dyDescent="0.25">
      <c r="A658" s="297" t="s">
        <v>99</v>
      </c>
      <c r="B658" s="163" t="s">
        <v>305</v>
      </c>
      <c r="C658" s="309">
        <v>120</v>
      </c>
      <c r="D658" s="34">
        <f>'Функц. 2023-2025'!F35</f>
        <v>4412.3999999999996</v>
      </c>
      <c r="E658" s="532">
        <f>'Функц. 2023-2025'!H35</f>
        <v>4412.3999999999996</v>
      </c>
      <c r="F658" s="34">
        <f>'Функц. 2023-2025'!J35</f>
        <v>4407.8999999999996</v>
      </c>
      <c r="G658" s="535">
        <f t="shared" si="271"/>
        <v>0.99898014685885228</v>
      </c>
    </row>
    <row r="659" spans="1:7" ht="31.5" x14ac:dyDescent="0.25">
      <c r="A659" s="297" t="s">
        <v>308</v>
      </c>
      <c r="B659" s="163" t="s">
        <v>306</v>
      </c>
      <c r="C659" s="309"/>
      <c r="D659" s="34">
        <f t="shared" ref="D659:F660" si="272">D660</f>
        <v>4742.6000000000004</v>
      </c>
      <c r="E659" s="532">
        <f t="shared" si="272"/>
        <v>4742.6000000000004</v>
      </c>
      <c r="F659" s="34">
        <f t="shared" si="272"/>
        <v>4739</v>
      </c>
      <c r="G659" s="535">
        <f t="shared" si="271"/>
        <v>0.99924092270062825</v>
      </c>
    </row>
    <row r="660" spans="1:7" ht="47.25" x14ac:dyDescent="0.25">
      <c r="A660" s="297" t="s">
        <v>43</v>
      </c>
      <c r="B660" s="163" t="s">
        <v>306</v>
      </c>
      <c r="C660" s="311">
        <v>100</v>
      </c>
      <c r="D660" s="34">
        <f t="shared" si="272"/>
        <v>4742.6000000000004</v>
      </c>
      <c r="E660" s="532">
        <f t="shared" si="272"/>
        <v>4742.6000000000004</v>
      </c>
      <c r="F660" s="34">
        <f t="shared" si="272"/>
        <v>4739</v>
      </c>
      <c r="G660" s="535">
        <f t="shared" si="271"/>
        <v>0.99924092270062825</v>
      </c>
    </row>
    <row r="661" spans="1:7" x14ac:dyDescent="0.25">
      <c r="A661" s="297" t="s">
        <v>99</v>
      </c>
      <c r="B661" s="163" t="s">
        <v>306</v>
      </c>
      <c r="C661" s="309">
        <v>120</v>
      </c>
      <c r="D661" s="34">
        <f>'Функц. 2023-2025'!F38</f>
        <v>4742.6000000000004</v>
      </c>
      <c r="E661" s="532">
        <f>'Функц. 2023-2025'!H38</f>
        <v>4742.6000000000004</v>
      </c>
      <c r="F661" s="34">
        <f>'Функц. 2023-2025'!J38</f>
        <v>4739</v>
      </c>
      <c r="G661" s="535">
        <f t="shared" si="271"/>
        <v>0.99924092270062825</v>
      </c>
    </row>
    <row r="662" spans="1:7" x14ac:dyDescent="0.25">
      <c r="A662" s="300" t="s">
        <v>289</v>
      </c>
      <c r="B662" s="163" t="s">
        <v>290</v>
      </c>
      <c r="C662" s="309"/>
      <c r="D662" s="34">
        <f>D663+D668+D671+D674</f>
        <v>9859.8999999999978</v>
      </c>
      <c r="E662" s="532">
        <f>E663+E668+E671+E674</f>
        <v>9859.8999999999978</v>
      </c>
      <c r="F662" s="34">
        <f>F663+F668+F671+F674</f>
        <v>9844.5</v>
      </c>
      <c r="G662" s="535">
        <f t="shared" si="271"/>
        <v>0.99843811803365168</v>
      </c>
    </row>
    <row r="663" spans="1:7" x14ac:dyDescent="0.25">
      <c r="A663" s="297" t="s">
        <v>292</v>
      </c>
      <c r="B663" s="163" t="s">
        <v>293</v>
      </c>
      <c r="C663" s="309"/>
      <c r="D663" s="34">
        <f>D664+D666</f>
        <v>1002.5</v>
      </c>
      <c r="E663" s="532">
        <f>E664+E666</f>
        <v>1002.5</v>
      </c>
      <c r="F663" s="34">
        <f t="shared" ref="F663" si="273">F664</f>
        <v>996</v>
      </c>
      <c r="G663" s="535">
        <f t="shared" si="271"/>
        <v>0.99351620947630925</v>
      </c>
    </row>
    <row r="664" spans="1:7" x14ac:dyDescent="0.25">
      <c r="A664" s="297" t="s">
        <v>123</v>
      </c>
      <c r="B664" s="163" t="s">
        <v>293</v>
      </c>
      <c r="C664" s="309">
        <v>200</v>
      </c>
      <c r="D664" s="34">
        <f>D665</f>
        <v>1002.4</v>
      </c>
      <c r="E664" s="532">
        <f t="shared" ref="E664:F664" si="274">E665</f>
        <v>1002.4</v>
      </c>
      <c r="F664" s="34">
        <f t="shared" si="274"/>
        <v>996</v>
      </c>
      <c r="G664" s="535">
        <f t="shared" si="271"/>
        <v>0.99361532322426183</v>
      </c>
    </row>
    <row r="665" spans="1:7" x14ac:dyDescent="0.25">
      <c r="A665" s="297" t="s">
        <v>54</v>
      </c>
      <c r="B665" s="163" t="s">
        <v>293</v>
      </c>
      <c r="C665" s="309">
        <v>240</v>
      </c>
      <c r="D665" s="34">
        <f>'Функц. 2023-2025'!F119</f>
        <v>1002.4</v>
      </c>
      <c r="E665" s="532">
        <f>'Функц. 2023-2025'!H119</f>
        <v>1002.4</v>
      </c>
      <c r="F665" s="34">
        <f>'Функц. 2023-2025'!J119</f>
        <v>996</v>
      </c>
      <c r="G665" s="535">
        <f t="shared" si="271"/>
        <v>0.99361532322426183</v>
      </c>
    </row>
    <row r="666" spans="1:7" s="188" customFormat="1" x14ac:dyDescent="0.25">
      <c r="A666" s="278" t="s">
        <v>44</v>
      </c>
      <c r="B666" s="163" t="s">
        <v>293</v>
      </c>
      <c r="C666" s="309">
        <v>800</v>
      </c>
      <c r="D666" s="34">
        <f>D667</f>
        <v>0.1</v>
      </c>
      <c r="E666" s="532">
        <f t="shared" ref="E666:F666" si="275">E667</f>
        <v>0.1</v>
      </c>
      <c r="F666" s="34">
        <f t="shared" si="275"/>
        <v>0</v>
      </c>
      <c r="G666" s="535">
        <f t="shared" si="271"/>
        <v>0</v>
      </c>
    </row>
    <row r="667" spans="1:7" s="188" customFormat="1" x14ac:dyDescent="0.25">
      <c r="A667" s="278" t="s">
        <v>60</v>
      </c>
      <c r="B667" s="163" t="s">
        <v>293</v>
      </c>
      <c r="C667" s="309">
        <v>850</v>
      </c>
      <c r="D667" s="34">
        <f>'Функц. 2023-2025'!F121</f>
        <v>0.1</v>
      </c>
      <c r="E667" s="532">
        <f>'Функц. 2023-2025'!H121</f>
        <v>0.1</v>
      </c>
      <c r="F667" s="34">
        <f>'Функц. 2023-2025'!J121</f>
        <v>0</v>
      </c>
      <c r="G667" s="535">
        <f t="shared" si="271"/>
        <v>0</v>
      </c>
    </row>
    <row r="668" spans="1:7" ht="31.5" x14ac:dyDescent="0.25">
      <c r="A668" s="297" t="s">
        <v>636</v>
      </c>
      <c r="B668" s="163" t="s">
        <v>295</v>
      </c>
      <c r="C668" s="309"/>
      <c r="D668" s="34">
        <f>D669</f>
        <v>2237.8000000000002</v>
      </c>
      <c r="E668" s="532">
        <f t="shared" ref="D668:F669" si="276">E669</f>
        <v>2237.8000000000002</v>
      </c>
      <c r="F668" s="34">
        <f t="shared" si="276"/>
        <v>2237.6999999999998</v>
      </c>
      <c r="G668" s="535">
        <f t="shared" si="271"/>
        <v>0.99995531325408871</v>
      </c>
    </row>
    <row r="669" spans="1:7" ht="47.25" x14ac:dyDescent="0.25">
      <c r="A669" s="297" t="s">
        <v>43</v>
      </c>
      <c r="B669" s="163" t="s">
        <v>295</v>
      </c>
      <c r="C669" s="309">
        <v>100</v>
      </c>
      <c r="D669" s="34">
        <f t="shared" si="276"/>
        <v>2237.8000000000002</v>
      </c>
      <c r="E669" s="532">
        <f t="shared" si="276"/>
        <v>2237.8000000000002</v>
      </c>
      <c r="F669" s="34">
        <f t="shared" si="276"/>
        <v>2237.6999999999998</v>
      </c>
      <c r="G669" s="535">
        <f t="shared" si="271"/>
        <v>0.99995531325408871</v>
      </c>
    </row>
    <row r="670" spans="1:7" x14ac:dyDescent="0.25">
      <c r="A670" s="297" t="s">
        <v>99</v>
      </c>
      <c r="B670" s="163" t="s">
        <v>295</v>
      </c>
      <c r="C670" s="309">
        <v>120</v>
      </c>
      <c r="D670" s="34">
        <f>'Функц. 2023-2025'!F124</f>
        <v>2237.8000000000002</v>
      </c>
      <c r="E670" s="532">
        <f>'Функц. 2023-2025'!H124</f>
        <v>2237.8000000000002</v>
      </c>
      <c r="F670" s="34">
        <f>'Функц. 2023-2025'!J124</f>
        <v>2237.6999999999998</v>
      </c>
      <c r="G670" s="535">
        <f t="shared" si="271"/>
        <v>0.99995531325408871</v>
      </c>
    </row>
    <row r="671" spans="1:7" ht="31.5" x14ac:dyDescent="0.25">
      <c r="A671" s="297" t="s">
        <v>297</v>
      </c>
      <c r="B671" s="163" t="s">
        <v>296</v>
      </c>
      <c r="C671" s="309"/>
      <c r="D671" s="34">
        <f>D672</f>
        <v>3668.1</v>
      </c>
      <c r="E671" s="532">
        <f t="shared" ref="D671:F672" si="277">E672</f>
        <v>3668.1</v>
      </c>
      <c r="F671" s="34">
        <f t="shared" si="277"/>
        <v>3663.5</v>
      </c>
      <c r="G671" s="535">
        <f t="shared" si="271"/>
        <v>0.99874594476704559</v>
      </c>
    </row>
    <row r="672" spans="1:7" ht="47.25" x14ac:dyDescent="0.25">
      <c r="A672" s="297" t="s">
        <v>43</v>
      </c>
      <c r="B672" s="163" t="s">
        <v>296</v>
      </c>
      <c r="C672" s="309">
        <v>100</v>
      </c>
      <c r="D672" s="34">
        <f t="shared" si="277"/>
        <v>3668.1</v>
      </c>
      <c r="E672" s="532">
        <f t="shared" si="277"/>
        <v>3668.1</v>
      </c>
      <c r="F672" s="34">
        <f t="shared" si="277"/>
        <v>3663.5</v>
      </c>
      <c r="G672" s="535">
        <f t="shared" si="271"/>
        <v>0.99874594476704559</v>
      </c>
    </row>
    <row r="673" spans="1:7" x14ac:dyDescent="0.25">
      <c r="A673" s="297" t="s">
        <v>99</v>
      </c>
      <c r="B673" s="163" t="s">
        <v>296</v>
      </c>
      <c r="C673" s="309">
        <v>120</v>
      </c>
      <c r="D673" s="34">
        <f>'Функц. 2023-2025'!F127</f>
        <v>3668.1</v>
      </c>
      <c r="E673" s="532">
        <f>'Функц. 2023-2025'!H127</f>
        <v>3668.1</v>
      </c>
      <c r="F673" s="34">
        <f>'Функц. 2023-2025'!J127</f>
        <v>3663.5</v>
      </c>
      <c r="G673" s="535">
        <f t="shared" si="271"/>
        <v>0.99874594476704559</v>
      </c>
    </row>
    <row r="674" spans="1:7" s="188" customFormat="1" ht="31.5" x14ac:dyDescent="0.25">
      <c r="A674" s="278" t="s">
        <v>446</v>
      </c>
      <c r="B674" s="163" t="s">
        <v>447</v>
      </c>
      <c r="C674" s="309"/>
      <c r="D674" s="34">
        <f>D675</f>
        <v>2951.4999999999991</v>
      </c>
      <c r="E674" s="532">
        <f t="shared" ref="E674:F674" si="278">E675</f>
        <v>2951.4999999999991</v>
      </c>
      <c r="F674" s="34">
        <f t="shared" si="278"/>
        <v>2947.3</v>
      </c>
      <c r="G674" s="535">
        <f t="shared" si="271"/>
        <v>0.99857699474843342</v>
      </c>
    </row>
    <row r="675" spans="1:7" s="188" customFormat="1" ht="47.25" x14ac:dyDescent="0.25">
      <c r="A675" s="401" t="s">
        <v>43</v>
      </c>
      <c r="B675" s="163" t="s">
        <v>447</v>
      </c>
      <c r="C675" s="309">
        <v>100</v>
      </c>
      <c r="D675" s="34">
        <f>D676</f>
        <v>2951.4999999999991</v>
      </c>
      <c r="E675" s="532">
        <f t="shared" ref="E675:F675" si="279">E676</f>
        <v>2951.4999999999991</v>
      </c>
      <c r="F675" s="34">
        <f t="shared" si="279"/>
        <v>2947.3</v>
      </c>
      <c r="G675" s="535">
        <f t="shared" si="271"/>
        <v>0.99857699474843342</v>
      </c>
    </row>
    <row r="676" spans="1:7" s="188" customFormat="1" x14ac:dyDescent="0.25">
      <c r="A676" s="401" t="s">
        <v>99</v>
      </c>
      <c r="B676" s="163" t="s">
        <v>447</v>
      </c>
      <c r="C676" s="309">
        <v>120</v>
      </c>
      <c r="D676" s="34">
        <f>'Функц. 2023-2025'!F130</f>
        <v>2951.4999999999991</v>
      </c>
      <c r="E676" s="532">
        <f>'Функц. 2023-2025'!H130</f>
        <v>2951.4999999999991</v>
      </c>
      <c r="F676" s="34">
        <f>'Функц. 2023-2025'!J130</f>
        <v>2947.3</v>
      </c>
      <c r="G676" s="535">
        <f t="shared" si="271"/>
        <v>0.99857699474843342</v>
      </c>
    </row>
    <row r="677" spans="1:7" s="184" customFormat="1" x14ac:dyDescent="0.25">
      <c r="A677" s="437" t="s">
        <v>354</v>
      </c>
      <c r="B677" s="305" t="s">
        <v>140</v>
      </c>
      <c r="C677" s="314"/>
      <c r="D677" s="37">
        <f>D684+D681+D687+D678+D706</f>
        <v>23037.599999999999</v>
      </c>
      <c r="E677" s="37">
        <f t="shared" ref="E677:F677" si="280">E684+E681+E687+E678+E706</f>
        <v>176538.1</v>
      </c>
      <c r="F677" s="37">
        <f t="shared" si="280"/>
        <v>21264</v>
      </c>
      <c r="G677" s="536">
        <f t="shared" si="271"/>
        <v>0.1204499198756529</v>
      </c>
    </row>
    <row r="678" spans="1:7" s="498" customFormat="1" x14ac:dyDescent="0.25">
      <c r="A678" s="283" t="s">
        <v>791</v>
      </c>
      <c r="B678" s="163" t="s">
        <v>792</v>
      </c>
      <c r="C678" s="309"/>
      <c r="D678" s="34">
        <f>D679</f>
        <v>2451.1</v>
      </c>
      <c r="E678" s="34">
        <f t="shared" ref="E678:F678" si="281">E679</f>
        <v>2451.1</v>
      </c>
      <c r="F678" s="34">
        <f t="shared" si="281"/>
        <v>0</v>
      </c>
      <c r="G678" s="535">
        <f t="shared" si="271"/>
        <v>0</v>
      </c>
    </row>
    <row r="679" spans="1:7" s="498" customFormat="1" x14ac:dyDescent="0.25">
      <c r="A679" s="278" t="s">
        <v>44</v>
      </c>
      <c r="B679" s="163" t="s">
        <v>792</v>
      </c>
      <c r="C679" s="309">
        <v>800</v>
      </c>
      <c r="D679" s="34">
        <f>D680</f>
        <v>2451.1</v>
      </c>
      <c r="E679" s="34">
        <f t="shared" ref="E679:F679" si="282">E680</f>
        <v>2451.1</v>
      </c>
      <c r="F679" s="34">
        <f t="shared" si="282"/>
        <v>0</v>
      </c>
      <c r="G679" s="535">
        <f t="shared" si="271"/>
        <v>0</v>
      </c>
    </row>
    <row r="680" spans="1:7" s="498" customFormat="1" x14ac:dyDescent="0.25">
      <c r="A680" s="278" t="s">
        <v>139</v>
      </c>
      <c r="B680" s="163" t="s">
        <v>792</v>
      </c>
      <c r="C680" s="309">
        <v>870</v>
      </c>
      <c r="D680" s="34">
        <f>'Функц. 2023-2025'!F153</f>
        <v>2451.1</v>
      </c>
      <c r="E680" s="34">
        <f>'Функц. 2023-2025'!H153</f>
        <v>2451.1</v>
      </c>
      <c r="F680" s="34">
        <f>'Функц. 2023-2025'!J153</f>
        <v>0</v>
      </c>
      <c r="G680" s="535">
        <f t="shared" si="271"/>
        <v>0</v>
      </c>
    </row>
    <row r="681" spans="1:7" ht="31.5" x14ac:dyDescent="0.25">
      <c r="A681" s="300" t="s">
        <v>347</v>
      </c>
      <c r="B681" s="163" t="s">
        <v>348</v>
      </c>
      <c r="C681" s="309"/>
      <c r="D681" s="34">
        <f t="shared" ref="D681:F682" si="283">D682</f>
        <v>1000</v>
      </c>
      <c r="E681" s="34">
        <f t="shared" si="283"/>
        <v>1000</v>
      </c>
      <c r="F681" s="34">
        <f t="shared" si="283"/>
        <v>0</v>
      </c>
      <c r="G681" s="535">
        <f t="shared" si="271"/>
        <v>0</v>
      </c>
    </row>
    <row r="682" spans="1:7" x14ac:dyDescent="0.25">
      <c r="A682" s="297" t="s">
        <v>44</v>
      </c>
      <c r="B682" s="163" t="s">
        <v>348</v>
      </c>
      <c r="C682" s="309">
        <v>800</v>
      </c>
      <c r="D682" s="34">
        <f t="shared" si="283"/>
        <v>1000</v>
      </c>
      <c r="E682" s="34">
        <f t="shared" si="283"/>
        <v>1000</v>
      </c>
      <c r="F682" s="34">
        <f t="shared" si="283"/>
        <v>0</v>
      </c>
      <c r="G682" s="535">
        <f t="shared" si="271"/>
        <v>0</v>
      </c>
    </row>
    <row r="683" spans="1:7" x14ac:dyDescent="0.25">
      <c r="A683" s="297" t="s">
        <v>139</v>
      </c>
      <c r="B683" s="163" t="s">
        <v>348</v>
      </c>
      <c r="C683" s="309">
        <v>870</v>
      </c>
      <c r="D683" s="34">
        <f>'Функц. 2023-2025'!F156</f>
        <v>1000</v>
      </c>
      <c r="E683" s="34">
        <f>'Функц. 2023-2025'!H156</f>
        <v>1000</v>
      </c>
      <c r="F683" s="34">
        <f>'Функц. 2023-2025'!J156</f>
        <v>0</v>
      </c>
      <c r="G683" s="535">
        <f t="shared" si="271"/>
        <v>0</v>
      </c>
    </row>
    <row r="684" spans="1:7" x14ac:dyDescent="0.25">
      <c r="A684" s="300" t="s">
        <v>235</v>
      </c>
      <c r="B684" s="163" t="s">
        <v>236</v>
      </c>
      <c r="C684" s="321"/>
      <c r="D684" s="34">
        <f t="shared" ref="D684:F685" si="284">D685</f>
        <v>5241.7</v>
      </c>
      <c r="E684" s="34">
        <f t="shared" si="284"/>
        <v>5241.7</v>
      </c>
      <c r="F684" s="34">
        <f t="shared" si="284"/>
        <v>5199</v>
      </c>
      <c r="G684" s="535">
        <f t="shared" si="271"/>
        <v>0.99185378789324075</v>
      </c>
    </row>
    <row r="685" spans="1:7" x14ac:dyDescent="0.25">
      <c r="A685" s="297" t="s">
        <v>44</v>
      </c>
      <c r="B685" s="163" t="s">
        <v>236</v>
      </c>
      <c r="C685" s="321">
        <v>800</v>
      </c>
      <c r="D685" s="34">
        <f t="shared" si="284"/>
        <v>5241.7</v>
      </c>
      <c r="E685" s="34">
        <f t="shared" si="284"/>
        <v>5241.7</v>
      </c>
      <c r="F685" s="34">
        <f t="shared" si="284"/>
        <v>5199</v>
      </c>
      <c r="G685" s="535">
        <f t="shared" si="271"/>
        <v>0.99185378789324075</v>
      </c>
    </row>
    <row r="686" spans="1:7" x14ac:dyDescent="0.25">
      <c r="A686" s="297" t="s">
        <v>135</v>
      </c>
      <c r="B686" s="163" t="s">
        <v>236</v>
      </c>
      <c r="C686" s="321">
        <v>830</v>
      </c>
      <c r="D686" s="34">
        <f>'Функц. 2023-2025'!F239</f>
        <v>5241.7</v>
      </c>
      <c r="E686" s="34">
        <f>'Функц. 2023-2025'!H239</f>
        <v>5241.7</v>
      </c>
      <c r="F686" s="34">
        <f>'Функц. 2023-2025'!J239</f>
        <v>5199</v>
      </c>
      <c r="G686" s="535">
        <f t="shared" si="271"/>
        <v>0.99185378789324075</v>
      </c>
    </row>
    <row r="687" spans="1:7" s="188" customFormat="1" x14ac:dyDescent="0.25">
      <c r="A687" s="278" t="s">
        <v>470</v>
      </c>
      <c r="B687" s="308" t="s">
        <v>471</v>
      </c>
      <c r="C687" s="321"/>
      <c r="D687" s="34">
        <f>D700+D688+D691+D694+D697</f>
        <v>14344.800000000001</v>
      </c>
      <c r="E687" s="34">
        <f>E700+E688+E691+E694+E697+E703</f>
        <v>164344.9</v>
      </c>
      <c r="F687" s="34">
        <f>F700+F688+F691+F694+F697</f>
        <v>12564.6</v>
      </c>
      <c r="G687" s="535">
        <f t="shared" si="271"/>
        <v>7.6452631021711057E-2</v>
      </c>
    </row>
    <row r="688" spans="1:7" s="188" customFormat="1" ht="47.25" x14ac:dyDescent="0.25">
      <c r="A688" s="278" t="s">
        <v>714</v>
      </c>
      <c r="B688" s="163" t="s">
        <v>713</v>
      </c>
      <c r="C688" s="309"/>
      <c r="D688" s="34">
        <f>D689</f>
        <v>387.6</v>
      </c>
      <c r="E688" s="34">
        <f t="shared" ref="E688:F689" si="285">E689</f>
        <v>387.6</v>
      </c>
      <c r="F688" s="34">
        <f t="shared" si="285"/>
        <v>387.6</v>
      </c>
      <c r="G688" s="535">
        <f t="shared" si="271"/>
        <v>1</v>
      </c>
    </row>
    <row r="689" spans="1:7" s="188" customFormat="1" x14ac:dyDescent="0.25">
      <c r="A689" s="278" t="s">
        <v>44</v>
      </c>
      <c r="B689" s="163" t="s">
        <v>713</v>
      </c>
      <c r="C689" s="309">
        <v>800</v>
      </c>
      <c r="D689" s="34">
        <f>D690</f>
        <v>387.6</v>
      </c>
      <c r="E689" s="34">
        <f t="shared" si="285"/>
        <v>387.6</v>
      </c>
      <c r="F689" s="34">
        <f t="shared" si="285"/>
        <v>387.6</v>
      </c>
      <c r="G689" s="535">
        <f t="shared" si="271"/>
        <v>1</v>
      </c>
    </row>
    <row r="690" spans="1:7" s="188" customFormat="1" x14ac:dyDescent="0.25">
      <c r="A690" s="278" t="s">
        <v>60</v>
      </c>
      <c r="B690" s="163" t="s">
        <v>713</v>
      </c>
      <c r="C690" s="309">
        <v>850</v>
      </c>
      <c r="D690" s="34">
        <f>'Функц. 2023-2025'!F503</f>
        <v>387.6</v>
      </c>
      <c r="E690" s="293">
        <f>'Функц. 2023-2025'!H503</f>
        <v>387.6</v>
      </c>
      <c r="F690" s="293">
        <f>'Функц. 2023-2025'!J503</f>
        <v>387.6</v>
      </c>
      <c r="G690" s="535">
        <f t="shared" si="271"/>
        <v>1</v>
      </c>
    </row>
    <row r="691" spans="1:7" s="188" customFormat="1" x14ac:dyDescent="0.25">
      <c r="A691" s="401" t="s">
        <v>735</v>
      </c>
      <c r="B691" s="291" t="s">
        <v>736</v>
      </c>
      <c r="C691" s="321"/>
      <c r="D691" s="34">
        <f>D692</f>
        <v>105</v>
      </c>
      <c r="E691" s="34">
        <f t="shared" ref="E691:F692" si="286">E692</f>
        <v>105</v>
      </c>
      <c r="F691" s="34">
        <f t="shared" si="286"/>
        <v>95</v>
      </c>
      <c r="G691" s="535">
        <f t="shared" si="271"/>
        <v>0.90476190476190477</v>
      </c>
    </row>
    <row r="692" spans="1:7" s="188" customFormat="1" x14ac:dyDescent="0.25">
      <c r="A692" s="278" t="s">
        <v>44</v>
      </c>
      <c r="B692" s="291" t="s">
        <v>736</v>
      </c>
      <c r="C692" s="321">
        <v>800</v>
      </c>
      <c r="D692" s="34">
        <f>D693</f>
        <v>105</v>
      </c>
      <c r="E692" s="34">
        <f t="shared" si="286"/>
        <v>105</v>
      </c>
      <c r="F692" s="34">
        <f t="shared" si="286"/>
        <v>95</v>
      </c>
      <c r="G692" s="535">
        <f t="shared" si="271"/>
        <v>0.90476190476190477</v>
      </c>
    </row>
    <row r="693" spans="1:7" s="188" customFormat="1" x14ac:dyDescent="0.25">
      <c r="A693" s="278" t="s">
        <v>60</v>
      </c>
      <c r="B693" s="291" t="s">
        <v>736</v>
      </c>
      <c r="C693" s="321">
        <v>850</v>
      </c>
      <c r="D693" s="34">
        <f>'Функц. 2023-2025'!F243</f>
        <v>105</v>
      </c>
      <c r="E693" s="293">
        <f>'Функц. 2023-2025'!H243</f>
        <v>105</v>
      </c>
      <c r="F693" s="293">
        <f>'Функц. 2023-2025'!J243</f>
        <v>95</v>
      </c>
      <c r="G693" s="535">
        <f t="shared" si="271"/>
        <v>0.90476190476190477</v>
      </c>
    </row>
    <row r="694" spans="1:7" s="188" customFormat="1" ht="141.75" x14ac:dyDescent="0.25">
      <c r="A694" s="278" t="s">
        <v>777</v>
      </c>
      <c r="B694" s="163" t="s">
        <v>778</v>
      </c>
      <c r="C694" s="311"/>
      <c r="D694" s="34">
        <f>D695</f>
        <v>2082</v>
      </c>
      <c r="E694" s="34">
        <f t="shared" ref="E694:F694" si="287">E695</f>
        <v>2082</v>
      </c>
      <c r="F694" s="34">
        <f t="shared" si="287"/>
        <v>2082</v>
      </c>
      <c r="G694" s="535">
        <f t="shared" si="271"/>
        <v>1</v>
      </c>
    </row>
    <row r="695" spans="1:7" s="188" customFormat="1" x14ac:dyDescent="0.25">
      <c r="A695" s="278" t="s">
        <v>44</v>
      </c>
      <c r="B695" s="163" t="s">
        <v>778</v>
      </c>
      <c r="C695" s="311">
        <v>800</v>
      </c>
      <c r="D695" s="34">
        <f>D696</f>
        <v>2082</v>
      </c>
      <c r="E695" s="34">
        <f t="shared" ref="E695:F695" si="288">E696</f>
        <v>2082</v>
      </c>
      <c r="F695" s="34">
        <f t="shared" si="288"/>
        <v>2082</v>
      </c>
      <c r="G695" s="535">
        <f t="shared" si="271"/>
        <v>1</v>
      </c>
    </row>
    <row r="696" spans="1:7" s="188" customFormat="1" x14ac:dyDescent="0.25">
      <c r="A696" s="278" t="s">
        <v>60</v>
      </c>
      <c r="B696" s="163" t="s">
        <v>778</v>
      </c>
      <c r="C696" s="311">
        <v>850</v>
      </c>
      <c r="D696" s="34">
        <f>'Функц. 2023-2025'!F665+'Функц. 2023-2025'!F591</f>
        <v>2082</v>
      </c>
      <c r="E696" s="34">
        <f>'Функц. 2023-2025'!H665+'Функц. 2023-2025'!H591</f>
        <v>2082</v>
      </c>
      <c r="F696" s="34">
        <f>'Функц. 2023-2025'!J665+'Функц. 2023-2025'!J591</f>
        <v>2082</v>
      </c>
      <c r="G696" s="535">
        <f t="shared" si="271"/>
        <v>1</v>
      </c>
    </row>
    <row r="697" spans="1:7" s="188" customFormat="1" ht="47.25" x14ac:dyDescent="0.25">
      <c r="A697" s="278" t="s">
        <v>788</v>
      </c>
      <c r="B697" s="308" t="s">
        <v>787</v>
      </c>
      <c r="C697" s="320"/>
      <c r="D697" s="34">
        <f>D698</f>
        <v>10000</v>
      </c>
      <c r="E697" s="34">
        <f t="shared" ref="E697:F697" si="289">E698</f>
        <v>10000</v>
      </c>
      <c r="F697" s="34">
        <f t="shared" si="289"/>
        <v>10000</v>
      </c>
      <c r="G697" s="535">
        <f t="shared" si="271"/>
        <v>1</v>
      </c>
    </row>
    <row r="698" spans="1:7" s="188" customFormat="1" x14ac:dyDescent="0.25">
      <c r="A698" s="278" t="s">
        <v>44</v>
      </c>
      <c r="B698" s="308" t="s">
        <v>787</v>
      </c>
      <c r="C698" s="320">
        <v>800</v>
      </c>
      <c r="D698" s="34">
        <f>D699</f>
        <v>10000</v>
      </c>
      <c r="E698" s="34">
        <f t="shared" ref="E698:F698" si="290">E699</f>
        <v>10000</v>
      </c>
      <c r="F698" s="34">
        <f t="shared" si="290"/>
        <v>10000</v>
      </c>
      <c r="G698" s="535">
        <f t="shared" si="271"/>
        <v>1</v>
      </c>
    </row>
    <row r="699" spans="1:7" s="188" customFormat="1" ht="31.5" x14ac:dyDescent="0.25">
      <c r="A699" s="278" t="s">
        <v>124</v>
      </c>
      <c r="B699" s="308" t="s">
        <v>787</v>
      </c>
      <c r="C699" s="320">
        <v>810</v>
      </c>
      <c r="D699" s="34">
        <f>'Функц. 2023-2025'!F441</f>
        <v>10000</v>
      </c>
      <c r="E699" s="293">
        <f>'Функц. 2023-2025'!H441</f>
        <v>10000</v>
      </c>
      <c r="F699" s="293">
        <f>'Функц. 2023-2025'!J441</f>
        <v>10000</v>
      </c>
      <c r="G699" s="535">
        <f t="shared" si="271"/>
        <v>1</v>
      </c>
    </row>
    <row r="700" spans="1:7" s="216" customFormat="1" ht="31.5" x14ac:dyDescent="0.25">
      <c r="A700" s="278" t="s">
        <v>481</v>
      </c>
      <c r="B700" s="308" t="s">
        <v>482</v>
      </c>
      <c r="C700" s="321"/>
      <c r="D700" s="34">
        <f>D701</f>
        <v>1770.2000000000007</v>
      </c>
      <c r="E700" s="34">
        <f t="shared" ref="E700:F700" si="291">E701</f>
        <v>1770.3000000000006</v>
      </c>
      <c r="F700" s="34">
        <f t="shared" si="291"/>
        <v>0</v>
      </c>
      <c r="G700" s="535">
        <f t="shared" si="271"/>
        <v>0</v>
      </c>
    </row>
    <row r="701" spans="1:7" s="216" customFormat="1" x14ac:dyDescent="0.25">
      <c r="A701" s="278" t="s">
        <v>44</v>
      </c>
      <c r="B701" s="308" t="s">
        <v>482</v>
      </c>
      <c r="C701" s="321">
        <v>800</v>
      </c>
      <c r="D701" s="482">
        <f>D702</f>
        <v>1770.2000000000007</v>
      </c>
      <c r="E701" s="483">
        <f t="shared" ref="E701:F701" si="292">E702</f>
        <v>1770.3000000000006</v>
      </c>
      <c r="F701" s="483">
        <f t="shared" si="292"/>
        <v>0</v>
      </c>
      <c r="G701" s="535">
        <f t="shared" si="271"/>
        <v>0</v>
      </c>
    </row>
    <row r="702" spans="1:7" s="216" customFormat="1" x14ac:dyDescent="0.25">
      <c r="A702" s="278" t="s">
        <v>139</v>
      </c>
      <c r="B702" s="308" t="s">
        <v>482</v>
      </c>
      <c r="C702" s="321">
        <v>870</v>
      </c>
      <c r="D702" s="293">
        <f>'Функц. 2023-2025'!F246</f>
        <v>1770.2000000000007</v>
      </c>
      <c r="E702" s="293">
        <f>'Функц. 2023-2025'!H246</f>
        <v>1770.3000000000006</v>
      </c>
      <c r="F702" s="293">
        <f>'Функц. 2023-2025'!J246</f>
        <v>0</v>
      </c>
      <c r="G702" s="535">
        <f t="shared" si="271"/>
        <v>0</v>
      </c>
    </row>
    <row r="703" spans="1:7" s="216" customFormat="1" x14ac:dyDescent="0.25">
      <c r="A703" s="278" t="s">
        <v>804</v>
      </c>
      <c r="B703" s="308" t="s">
        <v>808</v>
      </c>
      <c r="C703" s="321"/>
      <c r="D703" s="34">
        <f>D704</f>
        <v>0</v>
      </c>
      <c r="E703" s="34">
        <f t="shared" ref="E703:F704" si="293">E704</f>
        <v>150000</v>
      </c>
      <c r="F703" s="34">
        <f t="shared" si="293"/>
        <v>0</v>
      </c>
      <c r="G703" s="535">
        <f t="shared" si="271"/>
        <v>0</v>
      </c>
    </row>
    <row r="704" spans="1:7" s="216" customFormat="1" x14ac:dyDescent="0.25">
      <c r="A704" s="278" t="s">
        <v>123</v>
      </c>
      <c r="B704" s="308" t="s">
        <v>808</v>
      </c>
      <c r="C704" s="321">
        <v>200</v>
      </c>
      <c r="D704" s="34">
        <f>D705</f>
        <v>0</v>
      </c>
      <c r="E704" s="34">
        <f t="shared" si="293"/>
        <v>150000</v>
      </c>
      <c r="F704" s="34">
        <f t="shared" si="293"/>
        <v>0</v>
      </c>
      <c r="G704" s="535">
        <f t="shared" si="271"/>
        <v>0</v>
      </c>
    </row>
    <row r="705" spans="1:7" s="216" customFormat="1" x14ac:dyDescent="0.25">
      <c r="A705" s="278" t="s">
        <v>54</v>
      </c>
      <c r="B705" s="308" t="s">
        <v>808</v>
      </c>
      <c r="C705" s="321">
        <v>240</v>
      </c>
      <c r="D705" s="34">
        <f>'Функц. 2023-2025'!F249</f>
        <v>0</v>
      </c>
      <c r="E705" s="34">
        <f>'Функц. 2023-2025'!H249</f>
        <v>150000</v>
      </c>
      <c r="F705" s="34">
        <f>'Функц. 2023-2025'!J249</f>
        <v>0</v>
      </c>
      <c r="G705" s="535">
        <f t="shared" si="271"/>
        <v>0</v>
      </c>
    </row>
    <row r="706" spans="1:7" s="216" customFormat="1" ht="31.5" x14ac:dyDescent="0.25">
      <c r="A706" s="284" t="s">
        <v>798</v>
      </c>
      <c r="B706" s="163" t="s">
        <v>799</v>
      </c>
      <c r="C706" s="322"/>
      <c r="D706" s="34">
        <f>D707</f>
        <v>0</v>
      </c>
      <c r="E706" s="34">
        <f t="shared" ref="E706:F706" si="294">E707</f>
        <v>3500.3999999999996</v>
      </c>
      <c r="F706" s="34">
        <f t="shared" si="294"/>
        <v>3500.3999999999996</v>
      </c>
      <c r="G706" s="535">
        <f t="shared" si="271"/>
        <v>1</v>
      </c>
    </row>
    <row r="707" spans="1:7" s="216" customFormat="1" ht="47.25" x14ac:dyDescent="0.25">
      <c r="A707" s="278" t="s">
        <v>43</v>
      </c>
      <c r="B707" s="163" t="s">
        <v>799</v>
      </c>
      <c r="C707" s="311">
        <v>100</v>
      </c>
      <c r="D707" s="34">
        <f>D708</f>
        <v>0</v>
      </c>
      <c r="E707" s="34">
        <f t="shared" ref="E707:F707" si="295">E708</f>
        <v>3500.3999999999996</v>
      </c>
      <c r="F707" s="34">
        <f t="shared" si="295"/>
        <v>3500.3999999999996</v>
      </c>
      <c r="G707" s="535">
        <f t="shared" si="271"/>
        <v>1</v>
      </c>
    </row>
    <row r="708" spans="1:7" s="216" customFormat="1" ht="16.5" thickBot="1" x14ac:dyDescent="0.3">
      <c r="A708" s="278" t="s">
        <v>99</v>
      </c>
      <c r="B708" s="163" t="s">
        <v>799</v>
      </c>
      <c r="C708" s="311">
        <v>120</v>
      </c>
      <c r="D708" s="34">
        <f>'Функц. 2023-2025'!F94+'Функц. 2023-2025'!F134+'Функц. 2023-2025'!F544+'Функц. 2023-2025'!F753</f>
        <v>0</v>
      </c>
      <c r="E708" s="34">
        <f>'Функц. 2023-2025'!H94+'Функц. 2023-2025'!H134+'Функц. 2023-2025'!H544+'Функц. 2023-2025'!H753</f>
        <v>3500.3999999999996</v>
      </c>
      <c r="F708" s="34">
        <f>'Функц. 2023-2025'!J94+'Функц. 2023-2025'!J134+'Функц. 2023-2025'!J544+'Функц. 2023-2025'!J753</f>
        <v>3500.3999999999996</v>
      </c>
      <c r="G708" s="537">
        <f t="shared" si="271"/>
        <v>1</v>
      </c>
    </row>
    <row r="709" spans="1:7" ht="16.5" thickBot="1" x14ac:dyDescent="0.3">
      <c r="A709" s="443" t="s">
        <v>390</v>
      </c>
      <c r="B709" s="451"/>
      <c r="C709" s="547"/>
      <c r="D709" s="272">
        <f>D644+D645+D677</f>
        <v>4094889.1999999997</v>
      </c>
      <c r="E709" s="272">
        <f>E644+E645+E677</f>
        <v>4240954.3999999994</v>
      </c>
      <c r="F709" s="272">
        <f>F644+F645+F677</f>
        <v>4015975</v>
      </c>
      <c r="G709" s="533">
        <f t="shared" si="271"/>
        <v>0.94695076183794868</v>
      </c>
    </row>
    <row r="710" spans="1:7" x14ac:dyDescent="0.25">
      <c r="A710" s="166"/>
      <c r="B710" s="180"/>
      <c r="C710" s="35"/>
      <c r="D710" s="36"/>
      <c r="E710" s="36"/>
    </row>
    <row r="711" spans="1:7" x14ac:dyDescent="0.25">
      <c r="A711" s="28"/>
      <c r="B711" s="180"/>
      <c r="C711" s="35"/>
      <c r="D711" s="36"/>
      <c r="E711" s="36"/>
    </row>
    <row r="712" spans="1:7" x14ac:dyDescent="0.25">
      <c r="A712" s="28"/>
      <c r="B712" s="180"/>
      <c r="C712" s="35"/>
      <c r="D712" s="36"/>
      <c r="E712" s="36"/>
    </row>
    <row r="713" spans="1:7" x14ac:dyDescent="0.25">
      <c r="A713" s="28"/>
      <c r="B713" s="180"/>
      <c r="C713" s="35"/>
      <c r="D713" s="36"/>
      <c r="E713" s="36"/>
    </row>
    <row r="714" spans="1:7" x14ac:dyDescent="0.25">
      <c r="A714" s="28"/>
      <c r="B714" s="180"/>
      <c r="C714" s="35"/>
      <c r="D714" s="36"/>
      <c r="E714" s="36"/>
    </row>
    <row r="715" spans="1:7" x14ac:dyDescent="0.25">
      <c r="A715" s="28"/>
      <c r="B715" s="180"/>
      <c r="C715" s="35"/>
      <c r="D715" s="36"/>
      <c r="E715" s="36"/>
    </row>
    <row r="716" spans="1:7" x14ac:dyDescent="0.25">
      <c r="A716" s="28"/>
      <c r="B716" s="180"/>
      <c r="C716" s="35"/>
      <c r="D716" s="36"/>
      <c r="E716" s="36"/>
    </row>
    <row r="717" spans="1:7" x14ac:dyDescent="0.25">
      <c r="A717" s="28"/>
      <c r="B717" s="180"/>
      <c r="C717" s="35"/>
      <c r="D717" s="36"/>
      <c r="E717" s="36"/>
    </row>
    <row r="718" spans="1:7" x14ac:dyDescent="0.25">
      <c r="A718" s="28"/>
      <c r="B718" s="180"/>
      <c r="C718" s="35"/>
      <c r="D718" s="36"/>
      <c r="E718" s="36"/>
    </row>
    <row r="719" spans="1:7" x14ac:dyDescent="0.25">
      <c r="A719" s="28"/>
      <c r="B719" s="180"/>
      <c r="C719" s="35"/>
      <c r="D719" s="36"/>
      <c r="E719" s="36"/>
    </row>
    <row r="720" spans="1:7" x14ac:dyDescent="0.25">
      <c r="A720" s="28"/>
      <c r="B720" s="180"/>
      <c r="C720" s="35"/>
      <c r="D720" s="36"/>
      <c r="E720" s="36"/>
    </row>
    <row r="721" spans="1:5" x14ac:dyDescent="0.25">
      <c r="A721" s="28"/>
      <c r="B721" s="180"/>
      <c r="C721" s="35"/>
      <c r="D721" s="36"/>
      <c r="E721" s="36"/>
    </row>
    <row r="722" spans="1:5" x14ac:dyDescent="0.25">
      <c r="A722" s="28"/>
      <c r="B722" s="180"/>
      <c r="C722" s="35"/>
      <c r="D722" s="36"/>
      <c r="E722" s="36"/>
    </row>
    <row r="723" spans="1:5" x14ac:dyDescent="0.25">
      <c r="A723" s="28"/>
      <c r="B723" s="180"/>
      <c r="C723" s="35"/>
      <c r="D723" s="36"/>
      <c r="E723" s="36"/>
    </row>
    <row r="724" spans="1:5" x14ac:dyDescent="0.25">
      <c r="A724" s="28"/>
      <c r="B724" s="180"/>
      <c r="C724" s="35"/>
      <c r="D724" s="36"/>
      <c r="E724" s="36"/>
    </row>
    <row r="725" spans="1:5" x14ac:dyDescent="0.25">
      <c r="A725" s="28"/>
      <c r="B725" s="180"/>
      <c r="C725" s="35"/>
      <c r="D725" s="36"/>
      <c r="E725" s="36"/>
    </row>
    <row r="726" spans="1:5" x14ac:dyDescent="0.25">
      <c r="A726" s="28"/>
      <c r="B726" s="180"/>
      <c r="C726" s="35"/>
      <c r="D726" s="36"/>
      <c r="E726" s="36"/>
    </row>
    <row r="727" spans="1:5" x14ac:dyDescent="0.25">
      <c r="A727" s="28"/>
      <c r="B727" s="180"/>
      <c r="C727" s="35"/>
      <c r="D727" s="36"/>
      <c r="E727" s="36"/>
    </row>
    <row r="728" spans="1:5" x14ac:dyDescent="0.25">
      <c r="A728" s="28"/>
      <c r="B728" s="180"/>
      <c r="C728" s="35"/>
      <c r="D728" s="36"/>
      <c r="E728" s="36"/>
    </row>
    <row r="729" spans="1:5" x14ac:dyDescent="0.25">
      <c r="A729" s="28"/>
      <c r="B729" s="180"/>
      <c r="C729" s="35"/>
      <c r="D729" s="36"/>
      <c r="E729" s="36"/>
    </row>
    <row r="730" spans="1:5" x14ac:dyDescent="0.25">
      <c r="A730" s="28"/>
      <c r="B730" s="180"/>
      <c r="C730" s="35"/>
      <c r="D730" s="36"/>
      <c r="E730" s="36"/>
    </row>
    <row r="731" spans="1:5" x14ac:dyDescent="0.25">
      <c r="A731" s="28"/>
      <c r="B731" s="180"/>
      <c r="C731" s="35"/>
      <c r="D731" s="36"/>
      <c r="E731" s="36"/>
    </row>
    <row r="732" spans="1:5" x14ac:dyDescent="0.25">
      <c r="A732" s="28"/>
      <c r="B732" s="180"/>
      <c r="C732" s="35"/>
      <c r="D732" s="36"/>
      <c r="E732" s="36"/>
    </row>
    <row r="733" spans="1:5" x14ac:dyDescent="0.25">
      <c r="A733" s="28"/>
      <c r="B733" s="180"/>
      <c r="C733" s="35"/>
      <c r="D733" s="36"/>
      <c r="E733" s="36"/>
    </row>
    <row r="734" spans="1:5" x14ac:dyDescent="0.25">
      <c r="A734" s="28"/>
      <c r="B734" s="180"/>
      <c r="C734" s="35"/>
      <c r="D734" s="36"/>
      <c r="E734" s="36"/>
    </row>
    <row r="735" spans="1:5" x14ac:dyDescent="0.25">
      <c r="A735" s="28"/>
      <c r="B735" s="180"/>
      <c r="C735" s="35"/>
      <c r="D735" s="36"/>
      <c r="E735" s="36"/>
    </row>
    <row r="736" spans="1:5" x14ac:dyDescent="0.25">
      <c r="A736" s="28"/>
      <c r="B736" s="180"/>
      <c r="C736" s="35"/>
      <c r="D736" s="36"/>
      <c r="E736" s="36"/>
    </row>
    <row r="737" spans="1:10" x14ac:dyDescent="0.25">
      <c r="A737" s="28"/>
      <c r="B737" s="180"/>
      <c r="C737" s="35"/>
      <c r="D737" s="36"/>
      <c r="E737" s="36"/>
    </row>
    <row r="738" spans="1:10" x14ac:dyDescent="0.25">
      <c r="A738" s="28"/>
      <c r="B738" s="180"/>
      <c r="C738" s="35"/>
      <c r="D738" s="36"/>
      <c r="E738" s="36"/>
    </row>
    <row r="739" spans="1:10" x14ac:dyDescent="0.25">
      <c r="A739" s="28"/>
      <c r="B739" s="180"/>
      <c r="C739" s="35"/>
      <c r="D739" s="36"/>
      <c r="E739" s="36"/>
    </row>
    <row r="740" spans="1:10" x14ac:dyDescent="0.25">
      <c r="A740" s="28"/>
      <c r="B740" s="180"/>
      <c r="C740" s="35"/>
      <c r="D740" s="36"/>
      <c r="E740" s="36"/>
    </row>
    <row r="741" spans="1:10" x14ac:dyDescent="0.25">
      <c r="A741" s="28"/>
      <c r="B741" s="180"/>
      <c r="C741" s="35"/>
      <c r="D741" s="36"/>
      <c r="E741" s="36"/>
    </row>
    <row r="742" spans="1:10" x14ac:dyDescent="0.25">
      <c r="A742" s="28"/>
      <c r="B742" s="180"/>
      <c r="C742" s="35"/>
      <c r="D742" s="36"/>
      <c r="E742" s="36"/>
    </row>
    <row r="743" spans="1:10" x14ac:dyDescent="0.25">
      <c r="A743" s="28"/>
      <c r="B743" s="180"/>
      <c r="C743" s="35"/>
      <c r="D743" s="36"/>
      <c r="E743" s="36"/>
    </row>
    <row r="744" spans="1:10" x14ac:dyDescent="0.25">
      <c r="A744" s="28"/>
      <c r="B744" s="180"/>
      <c r="C744" s="35"/>
      <c r="D744" s="36"/>
      <c r="E744" s="36"/>
    </row>
    <row r="745" spans="1:10" x14ac:dyDescent="0.25">
      <c r="A745" s="28"/>
      <c r="B745" s="180"/>
      <c r="C745" s="35"/>
      <c r="D745" s="36"/>
      <c r="E745" s="36"/>
    </row>
    <row r="746" spans="1:10" x14ac:dyDescent="0.25">
      <c r="A746" s="28"/>
      <c r="B746" s="180"/>
      <c r="C746" s="35"/>
      <c r="D746" s="36"/>
      <c r="E746" s="36"/>
    </row>
    <row r="747" spans="1:10" x14ac:dyDescent="0.25">
      <c r="A747" s="28"/>
      <c r="B747" s="180"/>
      <c r="C747" s="35"/>
      <c r="D747" s="36"/>
      <c r="E747" s="36"/>
    </row>
    <row r="748" spans="1:10" x14ac:dyDescent="0.25">
      <c r="A748" s="28"/>
      <c r="B748" s="180"/>
      <c r="C748" s="35"/>
      <c r="D748" s="36"/>
      <c r="E748" s="36"/>
    </row>
    <row r="749" spans="1:10" x14ac:dyDescent="0.25">
      <c r="A749" s="28"/>
      <c r="B749" s="180"/>
      <c r="C749" s="35"/>
      <c r="D749" s="36"/>
      <c r="E749" s="36"/>
    </row>
    <row r="750" spans="1:10" x14ac:dyDescent="0.25">
      <c r="A750" s="28"/>
      <c r="B750" s="180"/>
      <c r="C750" s="35"/>
      <c r="D750" s="36"/>
      <c r="E750" s="36"/>
      <c r="F750" s="142"/>
      <c r="G750" s="142"/>
      <c r="H750" s="142"/>
      <c r="I750" s="142"/>
      <c r="J750" s="142"/>
    </row>
    <row r="751" spans="1:10" x14ac:dyDescent="0.25">
      <c r="A751" s="28"/>
      <c r="B751" s="180"/>
      <c r="C751" s="35"/>
      <c r="D751" s="36"/>
      <c r="E751" s="36"/>
      <c r="F751" s="142"/>
      <c r="G751" s="142"/>
      <c r="H751" s="142"/>
      <c r="I751" s="142"/>
      <c r="J751" s="142"/>
    </row>
    <row r="752" spans="1:10" x14ac:dyDescent="0.25">
      <c r="A752" s="28"/>
      <c r="B752" s="180"/>
      <c r="C752" s="35"/>
      <c r="D752" s="36"/>
      <c r="E752" s="36"/>
      <c r="F752" s="142"/>
      <c r="G752" s="142"/>
      <c r="H752" s="142"/>
      <c r="I752" s="142"/>
      <c r="J752" s="142"/>
    </row>
    <row r="753" spans="1:10" x14ac:dyDescent="0.25">
      <c r="A753" s="28"/>
      <c r="B753" s="180"/>
      <c r="C753" s="35"/>
      <c r="D753" s="36"/>
      <c r="E753" s="36"/>
      <c r="F753" s="142"/>
      <c r="G753" s="142"/>
      <c r="H753" s="142"/>
      <c r="I753" s="142"/>
      <c r="J753" s="142"/>
    </row>
    <row r="754" spans="1:10" x14ac:dyDescent="0.25">
      <c r="A754" s="28"/>
      <c r="B754" s="180"/>
      <c r="C754" s="35"/>
      <c r="D754" s="36"/>
      <c r="E754" s="36"/>
      <c r="F754" s="142"/>
      <c r="G754" s="142"/>
      <c r="H754" s="142"/>
      <c r="I754" s="142"/>
      <c r="J754" s="142"/>
    </row>
    <row r="755" spans="1:10" x14ac:dyDescent="0.25">
      <c r="A755" s="28"/>
      <c r="B755" s="180"/>
      <c r="C755" s="35"/>
      <c r="D755" s="36"/>
      <c r="E755" s="36"/>
      <c r="F755" s="142"/>
      <c r="G755" s="142"/>
      <c r="H755" s="142"/>
      <c r="I755" s="142"/>
      <c r="J755" s="142"/>
    </row>
    <row r="756" spans="1:10" x14ac:dyDescent="0.25">
      <c r="A756" s="28"/>
      <c r="B756" s="180"/>
      <c r="C756" s="35"/>
      <c r="D756" s="36"/>
      <c r="E756" s="36"/>
      <c r="F756" s="142"/>
      <c r="G756" s="142"/>
      <c r="H756" s="142"/>
      <c r="I756" s="142"/>
      <c r="J756" s="142"/>
    </row>
    <row r="757" spans="1:10" x14ac:dyDescent="0.25">
      <c r="A757" s="28"/>
      <c r="B757" s="180"/>
      <c r="C757" s="35"/>
      <c r="D757" s="36"/>
      <c r="E757" s="36"/>
      <c r="F757" s="142"/>
      <c r="G757" s="142"/>
      <c r="H757" s="142"/>
      <c r="I757" s="142"/>
      <c r="J757" s="142"/>
    </row>
    <row r="758" spans="1:10" x14ac:dyDescent="0.25">
      <c r="A758" s="28"/>
      <c r="B758" s="180"/>
      <c r="C758" s="35"/>
      <c r="D758" s="36"/>
      <c r="E758" s="36"/>
      <c r="F758" s="142"/>
      <c r="G758" s="142"/>
      <c r="H758" s="142"/>
      <c r="I758" s="142"/>
      <c r="J758" s="142"/>
    </row>
    <row r="759" spans="1:10" x14ac:dyDescent="0.25">
      <c r="A759" s="28"/>
      <c r="B759" s="180"/>
      <c r="C759" s="35"/>
      <c r="D759" s="36"/>
      <c r="E759" s="36"/>
      <c r="F759" s="142"/>
      <c r="G759" s="142"/>
      <c r="H759" s="142"/>
      <c r="I759" s="142"/>
      <c r="J759" s="142"/>
    </row>
    <row r="760" spans="1:10" x14ac:dyDescent="0.25">
      <c r="A760" s="28"/>
      <c r="B760" s="180"/>
      <c r="C760" s="35"/>
      <c r="D760" s="36"/>
      <c r="E760" s="36"/>
      <c r="F760" s="142"/>
      <c r="G760" s="142"/>
      <c r="H760" s="142"/>
      <c r="I760" s="142"/>
      <c r="J760" s="142"/>
    </row>
    <row r="761" spans="1:10" x14ac:dyDescent="0.25">
      <c r="A761" s="28"/>
      <c r="B761" s="180"/>
      <c r="C761" s="35"/>
      <c r="D761" s="36"/>
      <c r="E761" s="36"/>
      <c r="F761" s="142"/>
      <c r="G761" s="142"/>
      <c r="H761" s="142"/>
      <c r="I761" s="142"/>
      <c r="J761" s="142"/>
    </row>
    <row r="762" spans="1:10" x14ac:dyDescent="0.25">
      <c r="A762" s="28"/>
      <c r="B762" s="180"/>
      <c r="C762" s="35"/>
      <c r="D762" s="36"/>
      <c r="E762" s="36"/>
      <c r="F762" s="142"/>
      <c r="G762" s="142"/>
      <c r="H762" s="142"/>
      <c r="I762" s="142"/>
      <c r="J762" s="142"/>
    </row>
    <row r="763" spans="1:10" x14ac:dyDescent="0.25">
      <c r="A763" s="28"/>
      <c r="B763" s="180"/>
      <c r="C763" s="35"/>
      <c r="D763" s="36"/>
      <c r="E763" s="36"/>
      <c r="F763" s="142"/>
      <c r="G763" s="142"/>
      <c r="H763" s="142"/>
      <c r="I763" s="142"/>
      <c r="J763" s="142"/>
    </row>
    <row r="764" spans="1:10" x14ac:dyDescent="0.25">
      <c r="A764" s="28"/>
      <c r="B764" s="180"/>
      <c r="C764" s="35"/>
      <c r="D764" s="36"/>
      <c r="E764" s="36"/>
      <c r="F764" s="142"/>
      <c r="G764" s="142"/>
      <c r="H764" s="142"/>
      <c r="I764" s="142"/>
      <c r="J764" s="142"/>
    </row>
    <row r="765" spans="1:10" x14ac:dyDescent="0.25">
      <c r="A765" s="28"/>
      <c r="B765" s="180"/>
      <c r="C765" s="35"/>
      <c r="D765" s="36"/>
      <c r="E765" s="36"/>
      <c r="F765" s="142"/>
      <c r="G765" s="142"/>
      <c r="H765" s="142"/>
      <c r="I765" s="142"/>
      <c r="J765" s="142"/>
    </row>
    <row r="766" spans="1:10" x14ac:dyDescent="0.25">
      <c r="A766" s="28"/>
      <c r="B766" s="180"/>
      <c r="C766" s="35"/>
      <c r="D766" s="36"/>
      <c r="E766" s="36"/>
      <c r="F766" s="142"/>
      <c r="G766" s="142"/>
      <c r="H766" s="142"/>
      <c r="I766" s="142"/>
      <c r="J766" s="142"/>
    </row>
    <row r="767" spans="1:10" x14ac:dyDescent="0.25">
      <c r="A767" s="28"/>
      <c r="B767" s="180"/>
      <c r="C767" s="35"/>
      <c r="D767" s="36"/>
      <c r="E767" s="36"/>
      <c r="F767" s="142"/>
      <c r="G767" s="142"/>
      <c r="H767" s="142"/>
      <c r="I767" s="142"/>
      <c r="J767" s="142"/>
    </row>
    <row r="768" spans="1:10" x14ac:dyDescent="0.25">
      <c r="A768" s="28"/>
      <c r="B768" s="180"/>
      <c r="C768" s="35"/>
      <c r="D768" s="36"/>
      <c r="E768" s="36"/>
      <c r="F768" s="142"/>
      <c r="G768" s="142"/>
      <c r="H768" s="142"/>
      <c r="I768" s="142"/>
      <c r="J768" s="142"/>
    </row>
    <row r="769" spans="1:10" x14ac:dyDescent="0.25">
      <c r="A769" s="28"/>
      <c r="B769" s="180"/>
      <c r="C769" s="35"/>
      <c r="D769" s="36"/>
      <c r="E769" s="36"/>
      <c r="F769" s="142"/>
      <c r="G769" s="142"/>
      <c r="H769" s="142"/>
      <c r="I769" s="142"/>
      <c r="J769" s="142"/>
    </row>
    <row r="770" spans="1:10" x14ac:dyDescent="0.25">
      <c r="A770" s="28"/>
      <c r="B770" s="180"/>
      <c r="C770" s="35"/>
      <c r="D770" s="36"/>
      <c r="E770" s="36"/>
      <c r="F770" s="142"/>
      <c r="G770" s="142"/>
      <c r="H770" s="142"/>
      <c r="I770" s="142"/>
      <c r="J770" s="142"/>
    </row>
    <row r="771" spans="1:10" x14ac:dyDescent="0.25">
      <c r="A771" s="28"/>
      <c r="B771" s="180"/>
      <c r="C771" s="35"/>
      <c r="D771" s="36"/>
      <c r="E771" s="36"/>
      <c r="F771" s="142"/>
      <c r="G771" s="142"/>
      <c r="H771" s="142"/>
      <c r="I771" s="142"/>
      <c r="J771" s="142"/>
    </row>
    <row r="772" spans="1:10" x14ac:dyDescent="0.25">
      <c r="A772" s="28"/>
      <c r="B772" s="180"/>
      <c r="C772" s="35"/>
      <c r="D772" s="36"/>
      <c r="E772" s="36"/>
      <c r="F772" s="142"/>
      <c r="G772" s="142"/>
      <c r="H772" s="142"/>
      <c r="I772" s="142"/>
      <c r="J772" s="142"/>
    </row>
    <row r="773" spans="1:10" x14ac:dyDescent="0.25">
      <c r="A773" s="28"/>
      <c r="B773" s="180"/>
      <c r="C773" s="35"/>
      <c r="D773" s="36"/>
      <c r="E773" s="36"/>
      <c r="F773" s="142"/>
      <c r="G773" s="142"/>
      <c r="H773" s="142"/>
      <c r="I773" s="142"/>
      <c r="J773" s="142"/>
    </row>
    <row r="774" spans="1:10" x14ac:dyDescent="0.25">
      <c r="A774" s="28"/>
      <c r="B774" s="180"/>
      <c r="C774" s="35"/>
      <c r="D774" s="36"/>
      <c r="E774" s="36"/>
      <c r="F774" s="142"/>
      <c r="G774" s="142"/>
      <c r="H774" s="142"/>
      <c r="I774" s="142"/>
      <c r="J774" s="142"/>
    </row>
    <row r="775" spans="1:10" x14ac:dyDescent="0.25">
      <c r="A775" s="28"/>
      <c r="B775" s="180"/>
      <c r="C775" s="35"/>
      <c r="D775" s="36"/>
      <c r="E775" s="36"/>
      <c r="F775" s="142"/>
      <c r="G775" s="142"/>
      <c r="H775" s="142"/>
      <c r="I775" s="142"/>
      <c r="J775" s="142"/>
    </row>
    <row r="776" spans="1:10" x14ac:dyDescent="0.25">
      <c r="A776" s="28"/>
      <c r="B776" s="180"/>
      <c r="C776" s="35"/>
      <c r="D776" s="36"/>
      <c r="E776" s="36"/>
      <c r="F776" s="142"/>
      <c r="G776" s="142"/>
      <c r="H776" s="142"/>
      <c r="I776" s="142"/>
      <c r="J776" s="142"/>
    </row>
    <row r="777" spans="1:10" x14ac:dyDescent="0.25">
      <c r="A777" s="28"/>
      <c r="B777" s="180"/>
      <c r="C777" s="35"/>
      <c r="D777" s="36"/>
      <c r="E777" s="36"/>
      <c r="F777" s="142"/>
      <c r="G777" s="142"/>
      <c r="H777" s="142"/>
      <c r="I777" s="142"/>
      <c r="J777" s="142"/>
    </row>
    <row r="778" spans="1:10" x14ac:dyDescent="0.25">
      <c r="A778" s="28"/>
      <c r="B778" s="180"/>
      <c r="C778" s="35"/>
      <c r="D778" s="36"/>
      <c r="E778" s="36"/>
      <c r="F778" s="142"/>
      <c r="G778" s="142"/>
      <c r="H778" s="142"/>
      <c r="I778" s="142"/>
      <c r="J778" s="142"/>
    </row>
    <row r="779" spans="1:10" x14ac:dyDescent="0.25">
      <c r="A779" s="28"/>
      <c r="B779" s="180"/>
      <c r="C779" s="35"/>
      <c r="D779" s="36"/>
      <c r="E779" s="36"/>
      <c r="F779" s="142"/>
      <c r="G779" s="142"/>
      <c r="H779" s="142"/>
      <c r="I779" s="142"/>
      <c r="J779" s="142"/>
    </row>
    <row r="780" spans="1:10" x14ac:dyDescent="0.25">
      <c r="A780" s="28"/>
      <c r="B780" s="180"/>
      <c r="C780" s="35"/>
      <c r="D780" s="36"/>
      <c r="E780" s="36"/>
      <c r="F780" s="142"/>
      <c r="G780" s="142"/>
      <c r="H780" s="142"/>
      <c r="I780" s="142"/>
      <c r="J780" s="142"/>
    </row>
    <row r="781" spans="1:10" x14ac:dyDescent="0.25">
      <c r="A781" s="28"/>
      <c r="B781" s="180"/>
      <c r="C781" s="35"/>
      <c r="D781" s="36"/>
      <c r="E781" s="36"/>
      <c r="F781" s="142"/>
      <c r="G781" s="142"/>
      <c r="H781" s="142"/>
      <c r="I781" s="142"/>
      <c r="J781" s="142"/>
    </row>
    <row r="782" spans="1:10" x14ac:dyDescent="0.25">
      <c r="A782" s="28"/>
      <c r="B782" s="180"/>
      <c r="C782" s="35"/>
      <c r="D782" s="36"/>
      <c r="E782" s="36"/>
      <c r="F782" s="142"/>
      <c r="G782" s="142"/>
      <c r="H782" s="142"/>
      <c r="I782" s="142"/>
      <c r="J782" s="142"/>
    </row>
    <row r="783" spans="1:10" x14ac:dyDescent="0.25">
      <c r="A783" s="28"/>
      <c r="B783" s="180"/>
      <c r="C783" s="35"/>
      <c r="D783" s="36"/>
      <c r="E783" s="36"/>
      <c r="F783" s="142"/>
      <c r="G783" s="142"/>
      <c r="H783" s="142"/>
      <c r="I783" s="142"/>
      <c r="J783" s="142"/>
    </row>
    <row r="784" spans="1:10" x14ac:dyDescent="0.25">
      <c r="A784" s="28"/>
      <c r="B784" s="180"/>
      <c r="C784" s="35"/>
      <c r="D784" s="36"/>
      <c r="E784" s="36"/>
      <c r="F784" s="142"/>
      <c r="G784" s="142"/>
      <c r="H784" s="142"/>
      <c r="I784" s="142"/>
      <c r="J784" s="142"/>
    </row>
    <row r="785" spans="1:10" x14ac:dyDescent="0.25">
      <c r="A785" s="28"/>
      <c r="B785" s="180"/>
      <c r="C785" s="35"/>
      <c r="D785" s="36"/>
      <c r="E785" s="36"/>
      <c r="F785" s="142"/>
      <c r="G785" s="142"/>
      <c r="H785" s="142"/>
      <c r="I785" s="142"/>
      <c r="J785" s="142"/>
    </row>
    <row r="786" spans="1:10" x14ac:dyDescent="0.25">
      <c r="A786" s="28"/>
      <c r="B786" s="180"/>
      <c r="C786" s="35"/>
      <c r="D786" s="36"/>
      <c r="E786" s="36"/>
      <c r="F786" s="142"/>
      <c r="G786" s="142"/>
      <c r="H786" s="142"/>
      <c r="I786" s="142"/>
      <c r="J786" s="142"/>
    </row>
    <row r="787" spans="1:10" x14ac:dyDescent="0.25">
      <c r="A787" s="28"/>
      <c r="B787" s="180"/>
      <c r="C787" s="35"/>
      <c r="D787" s="36"/>
      <c r="E787" s="36"/>
      <c r="F787" s="142"/>
      <c r="G787" s="142"/>
      <c r="H787" s="142"/>
      <c r="I787" s="142"/>
      <c r="J787" s="142"/>
    </row>
    <row r="788" spans="1:10" x14ac:dyDescent="0.25">
      <c r="A788" s="28"/>
      <c r="B788" s="180"/>
      <c r="C788" s="35"/>
      <c r="D788" s="36"/>
      <c r="E788" s="36"/>
      <c r="F788" s="142"/>
      <c r="G788" s="142"/>
      <c r="H788" s="142"/>
      <c r="I788" s="142"/>
      <c r="J788" s="142"/>
    </row>
    <row r="789" spans="1:10" x14ac:dyDescent="0.25">
      <c r="A789" s="28"/>
      <c r="B789" s="180"/>
      <c r="C789" s="35"/>
      <c r="D789" s="36"/>
      <c r="E789" s="36"/>
      <c r="F789" s="142"/>
      <c r="G789" s="142"/>
      <c r="H789" s="142"/>
      <c r="I789" s="142"/>
      <c r="J789" s="142"/>
    </row>
    <row r="790" spans="1:10" x14ac:dyDescent="0.25">
      <c r="A790" s="28"/>
      <c r="B790" s="180"/>
      <c r="C790" s="35"/>
      <c r="D790" s="36"/>
      <c r="E790" s="36"/>
      <c r="F790" s="142"/>
      <c r="G790" s="142"/>
      <c r="H790" s="142"/>
      <c r="I790" s="142"/>
      <c r="J790" s="142"/>
    </row>
    <row r="791" spans="1:10" x14ac:dyDescent="0.25">
      <c r="A791" s="28"/>
      <c r="B791" s="180"/>
      <c r="C791" s="35"/>
      <c r="D791" s="36"/>
      <c r="E791" s="36"/>
      <c r="F791" s="142"/>
      <c r="G791" s="142"/>
      <c r="H791" s="142"/>
      <c r="I791" s="142"/>
      <c r="J791" s="142"/>
    </row>
    <row r="792" spans="1:10" x14ac:dyDescent="0.25">
      <c r="A792" s="28"/>
      <c r="B792" s="180"/>
      <c r="C792" s="35"/>
      <c r="D792" s="36"/>
      <c r="E792" s="36"/>
      <c r="F792" s="142"/>
      <c r="G792" s="142"/>
      <c r="H792" s="142"/>
      <c r="I792" s="142"/>
      <c r="J792" s="142"/>
    </row>
    <row r="793" spans="1:10" x14ac:dyDescent="0.25">
      <c r="A793" s="28"/>
      <c r="B793" s="180"/>
      <c r="C793" s="35"/>
      <c r="D793" s="36"/>
      <c r="E793" s="36"/>
      <c r="F793" s="142"/>
      <c r="G793" s="142"/>
      <c r="H793" s="142"/>
      <c r="I793" s="142"/>
      <c r="J793" s="142"/>
    </row>
    <row r="794" spans="1:10" x14ac:dyDescent="0.25">
      <c r="A794" s="28"/>
      <c r="B794" s="180"/>
      <c r="C794" s="35"/>
      <c r="D794" s="36"/>
      <c r="E794" s="36"/>
      <c r="F794" s="142"/>
      <c r="G794" s="142"/>
      <c r="H794" s="142"/>
      <c r="I794" s="142"/>
      <c r="J794" s="142"/>
    </row>
    <row r="795" spans="1:10" x14ac:dyDescent="0.25">
      <c r="A795" s="28"/>
      <c r="B795" s="180"/>
      <c r="C795" s="35"/>
      <c r="D795" s="36"/>
      <c r="E795" s="36"/>
      <c r="F795" s="142"/>
      <c r="G795" s="142"/>
      <c r="H795" s="142"/>
      <c r="I795" s="142"/>
      <c r="J795" s="142"/>
    </row>
    <row r="796" spans="1:10" x14ac:dyDescent="0.25">
      <c r="A796" s="28"/>
      <c r="B796" s="180"/>
      <c r="C796" s="35"/>
      <c r="D796" s="36"/>
      <c r="E796" s="36"/>
      <c r="F796" s="142"/>
      <c r="G796" s="142"/>
      <c r="H796" s="142"/>
      <c r="I796" s="142"/>
      <c r="J796" s="142"/>
    </row>
    <row r="797" spans="1:10" x14ac:dyDescent="0.25">
      <c r="A797" s="28"/>
      <c r="B797" s="180"/>
      <c r="C797" s="35"/>
      <c r="D797" s="36"/>
      <c r="E797" s="36"/>
      <c r="F797" s="142"/>
      <c r="G797" s="142"/>
      <c r="H797" s="142"/>
      <c r="I797" s="142"/>
      <c r="J797" s="142"/>
    </row>
    <row r="798" spans="1:10" x14ac:dyDescent="0.25">
      <c r="A798" s="28"/>
      <c r="B798" s="180"/>
      <c r="C798" s="35"/>
      <c r="D798" s="36"/>
      <c r="E798" s="36"/>
      <c r="F798" s="142"/>
      <c r="G798" s="142"/>
      <c r="H798" s="142"/>
      <c r="I798" s="142"/>
      <c r="J798" s="142"/>
    </row>
    <row r="799" spans="1:10" x14ac:dyDescent="0.25">
      <c r="A799" s="28"/>
      <c r="B799" s="180"/>
      <c r="C799" s="35"/>
      <c r="D799" s="36"/>
      <c r="E799" s="36"/>
      <c r="F799" s="142"/>
      <c r="G799" s="142"/>
      <c r="H799" s="142"/>
      <c r="I799" s="142"/>
      <c r="J799" s="142"/>
    </row>
    <row r="800" spans="1:10" x14ac:dyDescent="0.25">
      <c r="A800" s="28"/>
      <c r="B800" s="180"/>
      <c r="C800" s="35"/>
      <c r="D800" s="36"/>
      <c r="E800" s="36"/>
      <c r="F800" s="142"/>
      <c r="G800" s="142"/>
      <c r="H800" s="142"/>
      <c r="I800" s="142"/>
      <c r="J800" s="142"/>
    </row>
    <row r="801" spans="1:10" x14ac:dyDescent="0.25">
      <c r="A801" s="28"/>
      <c r="B801" s="180"/>
      <c r="C801" s="35"/>
      <c r="D801" s="36"/>
      <c r="E801" s="36"/>
      <c r="F801" s="142"/>
      <c r="G801" s="142"/>
      <c r="H801" s="142"/>
      <c r="I801" s="142"/>
      <c r="J801" s="142"/>
    </row>
    <row r="802" spans="1:10" x14ac:dyDescent="0.25">
      <c r="A802" s="28"/>
      <c r="B802" s="180"/>
      <c r="C802" s="35"/>
      <c r="D802" s="36"/>
      <c r="E802" s="36"/>
      <c r="F802" s="142"/>
      <c r="G802" s="142"/>
      <c r="H802" s="142"/>
      <c r="I802" s="142"/>
      <c r="J802" s="142"/>
    </row>
    <row r="803" spans="1:10" x14ac:dyDescent="0.25">
      <c r="A803" s="28"/>
      <c r="B803" s="180"/>
      <c r="C803" s="35"/>
      <c r="D803" s="36"/>
      <c r="E803" s="36"/>
      <c r="F803" s="142"/>
      <c r="G803" s="142"/>
      <c r="H803" s="142"/>
      <c r="I803" s="142"/>
      <c r="J803" s="142"/>
    </row>
    <row r="804" spans="1:10" x14ac:dyDescent="0.25">
      <c r="A804" s="28"/>
      <c r="B804" s="180"/>
      <c r="C804" s="35"/>
      <c r="D804" s="36"/>
      <c r="E804" s="36"/>
      <c r="F804" s="142"/>
      <c r="G804" s="142"/>
      <c r="H804" s="142"/>
      <c r="I804" s="142"/>
      <c r="J804" s="142"/>
    </row>
    <row r="805" spans="1:10" x14ac:dyDescent="0.25">
      <c r="A805" s="28"/>
      <c r="B805" s="180"/>
      <c r="C805" s="35"/>
      <c r="D805" s="36"/>
      <c r="E805" s="36"/>
      <c r="F805" s="142"/>
      <c r="G805" s="142"/>
      <c r="H805" s="142"/>
      <c r="I805" s="142"/>
      <c r="J805" s="142"/>
    </row>
    <row r="806" spans="1:10" x14ac:dyDescent="0.25">
      <c r="A806" s="28"/>
      <c r="B806" s="180"/>
      <c r="C806" s="35"/>
      <c r="D806" s="36"/>
      <c r="E806" s="36"/>
      <c r="F806" s="142"/>
      <c r="G806" s="142"/>
      <c r="H806" s="142"/>
      <c r="I806" s="142"/>
      <c r="J806" s="142"/>
    </row>
    <row r="807" spans="1:10" x14ac:dyDescent="0.25">
      <c r="A807" s="28"/>
      <c r="B807" s="180"/>
      <c r="C807" s="35"/>
      <c r="D807" s="36"/>
      <c r="E807" s="36"/>
      <c r="F807" s="142"/>
      <c r="G807" s="142"/>
      <c r="H807" s="142"/>
      <c r="I807" s="142"/>
      <c r="J807" s="142"/>
    </row>
    <row r="808" spans="1:10" x14ac:dyDescent="0.25">
      <c r="A808" s="28"/>
      <c r="B808" s="180"/>
      <c r="C808" s="35"/>
      <c r="D808" s="36"/>
      <c r="E808" s="36"/>
      <c r="F808" s="142"/>
      <c r="G808" s="142"/>
      <c r="H808" s="142"/>
      <c r="I808" s="142"/>
      <c r="J808" s="142"/>
    </row>
    <row r="809" spans="1:10" x14ac:dyDescent="0.25">
      <c r="A809" s="28"/>
      <c r="B809" s="180"/>
      <c r="C809" s="35"/>
      <c r="D809" s="36"/>
      <c r="E809" s="36"/>
      <c r="F809" s="142"/>
      <c r="G809" s="142"/>
      <c r="H809" s="142"/>
      <c r="I809" s="142"/>
      <c r="J809" s="142"/>
    </row>
    <row r="810" spans="1:10" x14ac:dyDescent="0.25">
      <c r="A810" s="28"/>
      <c r="B810" s="180"/>
      <c r="C810" s="35"/>
      <c r="D810" s="36"/>
      <c r="E810" s="36"/>
      <c r="F810" s="142"/>
      <c r="G810" s="142"/>
      <c r="H810" s="142"/>
      <c r="I810" s="142"/>
      <c r="J810" s="142"/>
    </row>
    <row r="811" spans="1:10" x14ac:dyDescent="0.25">
      <c r="A811" s="28"/>
      <c r="B811" s="180"/>
      <c r="C811" s="35"/>
      <c r="D811" s="36"/>
      <c r="E811" s="36"/>
      <c r="F811" s="142"/>
      <c r="G811" s="142"/>
      <c r="H811" s="142"/>
      <c r="I811" s="142"/>
      <c r="J811" s="142"/>
    </row>
    <row r="812" spans="1:10" x14ac:dyDescent="0.25">
      <c r="A812" s="28"/>
      <c r="B812" s="180"/>
      <c r="C812" s="35"/>
      <c r="D812" s="36"/>
      <c r="E812" s="36"/>
      <c r="F812" s="142"/>
      <c r="G812" s="142"/>
      <c r="H812" s="142"/>
      <c r="I812" s="142"/>
      <c r="J812" s="142"/>
    </row>
    <row r="813" spans="1:10" x14ac:dyDescent="0.25">
      <c r="A813" s="28"/>
      <c r="B813" s="180"/>
      <c r="C813" s="35"/>
      <c r="D813" s="36"/>
      <c r="E813" s="36"/>
      <c r="F813" s="142"/>
      <c r="G813" s="142"/>
      <c r="H813" s="142"/>
      <c r="I813" s="142"/>
      <c r="J813" s="142"/>
    </row>
    <row r="814" spans="1:10" x14ac:dyDescent="0.25">
      <c r="A814" s="28"/>
      <c r="B814" s="180"/>
      <c r="C814" s="35"/>
      <c r="D814" s="36"/>
      <c r="E814" s="36"/>
      <c r="F814" s="142"/>
      <c r="G814" s="142"/>
      <c r="H814" s="142"/>
      <c r="I814" s="142"/>
      <c r="J814" s="142"/>
    </row>
    <row r="815" spans="1:10" x14ac:dyDescent="0.25">
      <c r="A815" s="28"/>
      <c r="B815" s="180"/>
      <c r="C815" s="35"/>
      <c r="D815" s="36"/>
      <c r="E815" s="36"/>
      <c r="F815" s="142"/>
      <c r="G815" s="142"/>
      <c r="H815" s="142"/>
      <c r="I815" s="142"/>
      <c r="J815" s="142"/>
    </row>
    <row r="816" spans="1:10" x14ac:dyDescent="0.25">
      <c r="A816" s="28"/>
      <c r="B816" s="180"/>
      <c r="C816" s="35"/>
      <c r="D816" s="36"/>
      <c r="E816" s="36"/>
      <c r="F816" s="142"/>
      <c r="G816" s="142"/>
      <c r="H816" s="142"/>
      <c r="I816" s="142"/>
      <c r="J816" s="142"/>
    </row>
    <row r="817" spans="1:10" x14ac:dyDescent="0.25">
      <c r="A817" s="28"/>
      <c r="B817" s="180"/>
      <c r="C817" s="35"/>
      <c r="D817" s="36"/>
      <c r="E817" s="36"/>
      <c r="F817" s="142"/>
      <c r="G817" s="142"/>
      <c r="H817" s="142"/>
      <c r="I817" s="142"/>
      <c r="J817" s="142"/>
    </row>
    <row r="818" spans="1:10" x14ac:dyDescent="0.25">
      <c r="A818" s="28"/>
      <c r="B818" s="180"/>
      <c r="C818" s="35"/>
      <c r="D818" s="36"/>
      <c r="E818" s="36"/>
      <c r="F818" s="142"/>
      <c r="G818" s="142"/>
      <c r="H818" s="142"/>
      <c r="I818" s="142"/>
      <c r="J818" s="142"/>
    </row>
    <row r="819" spans="1:10" x14ac:dyDescent="0.25">
      <c r="A819" s="28"/>
      <c r="B819" s="180"/>
      <c r="C819" s="35"/>
      <c r="D819" s="36"/>
      <c r="E819" s="36"/>
      <c r="F819" s="142"/>
      <c r="G819" s="142"/>
      <c r="H819" s="142"/>
      <c r="I819" s="142"/>
      <c r="J819" s="142"/>
    </row>
    <row r="820" spans="1:10" x14ac:dyDescent="0.25">
      <c r="A820" s="28"/>
      <c r="B820" s="180"/>
      <c r="C820" s="35"/>
      <c r="D820" s="36"/>
      <c r="E820" s="36"/>
      <c r="F820" s="142"/>
      <c r="G820" s="142"/>
      <c r="H820" s="142"/>
      <c r="I820" s="142"/>
      <c r="J820" s="142"/>
    </row>
    <row r="821" spans="1:10" x14ac:dyDescent="0.25">
      <c r="A821" s="28"/>
      <c r="B821" s="180"/>
      <c r="C821" s="35"/>
      <c r="D821" s="36"/>
      <c r="E821" s="36"/>
      <c r="F821" s="142"/>
      <c r="G821" s="142"/>
      <c r="H821" s="142"/>
      <c r="I821" s="142"/>
      <c r="J821" s="142"/>
    </row>
    <row r="822" spans="1:10" x14ac:dyDescent="0.25">
      <c r="A822" s="28"/>
      <c r="B822" s="180"/>
      <c r="C822" s="35"/>
      <c r="D822" s="36"/>
      <c r="E822" s="36"/>
      <c r="F822" s="142"/>
      <c r="G822" s="142"/>
      <c r="H822" s="142"/>
      <c r="I822" s="142"/>
      <c r="J822" s="142"/>
    </row>
    <row r="823" spans="1:10" x14ac:dyDescent="0.25">
      <c r="A823" s="28"/>
      <c r="B823" s="180"/>
      <c r="C823" s="35"/>
      <c r="D823" s="36"/>
      <c r="E823" s="36"/>
      <c r="F823" s="142"/>
      <c r="G823" s="142"/>
      <c r="H823" s="142"/>
      <c r="I823" s="142"/>
      <c r="J823" s="142"/>
    </row>
    <row r="824" spans="1:10" x14ac:dyDescent="0.25">
      <c r="A824" s="28"/>
      <c r="B824" s="180"/>
      <c r="C824" s="35"/>
      <c r="D824" s="36"/>
      <c r="E824" s="36"/>
      <c r="F824" s="142"/>
      <c r="G824" s="142"/>
      <c r="H824" s="142"/>
      <c r="I824" s="142"/>
      <c r="J824" s="142"/>
    </row>
    <row r="825" spans="1:10" x14ac:dyDescent="0.25">
      <c r="A825" s="28"/>
      <c r="B825" s="180"/>
      <c r="C825" s="35"/>
      <c r="D825" s="36"/>
      <c r="E825" s="36"/>
      <c r="F825" s="142"/>
      <c r="G825" s="142"/>
      <c r="H825" s="142"/>
      <c r="I825" s="142"/>
      <c r="J825" s="142"/>
    </row>
    <row r="826" spans="1:10" x14ac:dyDescent="0.25">
      <c r="A826" s="28"/>
      <c r="B826" s="180"/>
      <c r="C826" s="35"/>
      <c r="D826" s="36"/>
      <c r="E826" s="36"/>
      <c r="F826" s="142"/>
      <c r="G826" s="142"/>
      <c r="H826" s="142"/>
      <c r="I826" s="142"/>
      <c r="J826" s="142"/>
    </row>
    <row r="827" spans="1:10" x14ac:dyDescent="0.25">
      <c r="A827" s="28"/>
      <c r="B827" s="180"/>
      <c r="C827" s="35"/>
      <c r="D827" s="36"/>
      <c r="E827" s="36"/>
      <c r="F827" s="142"/>
      <c r="G827" s="142"/>
      <c r="H827" s="142"/>
      <c r="I827" s="142"/>
      <c r="J827" s="142"/>
    </row>
    <row r="828" spans="1:10" x14ac:dyDescent="0.25">
      <c r="A828" s="28"/>
      <c r="B828" s="180"/>
      <c r="C828" s="35"/>
      <c r="D828" s="36"/>
      <c r="E828" s="36"/>
      <c r="F828" s="142"/>
      <c r="G828" s="142"/>
      <c r="H828" s="142"/>
      <c r="I828" s="142"/>
      <c r="J828" s="142"/>
    </row>
    <row r="829" spans="1:10" x14ac:dyDescent="0.25">
      <c r="A829" s="28"/>
      <c r="B829" s="180"/>
      <c r="C829" s="35"/>
      <c r="D829" s="36"/>
      <c r="E829" s="36"/>
      <c r="F829" s="142"/>
      <c r="G829" s="142"/>
      <c r="H829" s="142"/>
      <c r="I829" s="142"/>
      <c r="J829" s="142"/>
    </row>
    <row r="830" spans="1:10" x14ac:dyDescent="0.25">
      <c r="A830" s="28"/>
      <c r="B830" s="180"/>
      <c r="C830" s="35"/>
      <c r="D830" s="36"/>
      <c r="E830" s="36"/>
      <c r="F830" s="142"/>
      <c r="G830" s="142"/>
      <c r="H830" s="142"/>
      <c r="I830" s="142"/>
      <c r="J830" s="142"/>
    </row>
    <row r="831" spans="1:10" x14ac:dyDescent="0.25">
      <c r="A831" s="28"/>
      <c r="B831" s="180"/>
      <c r="C831" s="35"/>
      <c r="D831" s="36"/>
      <c r="E831" s="36"/>
      <c r="F831" s="142"/>
      <c r="G831" s="142"/>
      <c r="H831" s="142"/>
      <c r="I831" s="142"/>
      <c r="J831" s="142"/>
    </row>
    <row r="832" spans="1:10" x14ac:dyDescent="0.25">
      <c r="A832" s="28"/>
      <c r="B832" s="180"/>
      <c r="C832" s="35"/>
      <c r="D832" s="36"/>
      <c r="E832" s="36"/>
      <c r="F832" s="142"/>
      <c r="G832" s="142"/>
      <c r="H832" s="142"/>
      <c r="I832" s="142"/>
      <c r="J832" s="142"/>
    </row>
    <row r="833" spans="1:10" x14ac:dyDescent="0.25">
      <c r="A833" s="28"/>
      <c r="B833" s="180"/>
      <c r="C833" s="35"/>
      <c r="D833" s="36"/>
      <c r="E833" s="36"/>
      <c r="F833" s="142"/>
      <c r="G833" s="142"/>
      <c r="H833" s="142"/>
      <c r="I833" s="142"/>
      <c r="J833" s="142"/>
    </row>
    <row r="834" spans="1:10" x14ac:dyDescent="0.25">
      <c r="A834" s="28"/>
      <c r="B834" s="180"/>
      <c r="C834" s="35"/>
      <c r="D834" s="36"/>
      <c r="E834" s="36"/>
      <c r="F834" s="142"/>
      <c r="G834" s="142"/>
      <c r="H834" s="142"/>
      <c r="I834" s="142"/>
      <c r="J834" s="142"/>
    </row>
    <row r="835" spans="1:10" x14ac:dyDescent="0.25">
      <c r="A835" s="28"/>
      <c r="B835" s="180"/>
      <c r="C835" s="35"/>
      <c r="D835" s="36"/>
      <c r="E835" s="36"/>
      <c r="F835" s="142"/>
      <c r="G835" s="142"/>
      <c r="H835" s="142"/>
      <c r="I835" s="142"/>
      <c r="J835" s="142"/>
    </row>
    <row r="836" spans="1:10" x14ac:dyDescent="0.25">
      <c r="A836" s="28"/>
      <c r="B836" s="180"/>
      <c r="C836" s="35"/>
      <c r="D836" s="36"/>
      <c r="E836" s="36"/>
      <c r="F836" s="142"/>
      <c r="G836" s="142"/>
      <c r="H836" s="142"/>
      <c r="I836" s="142"/>
      <c r="J836" s="142"/>
    </row>
    <row r="837" spans="1:10" x14ac:dyDescent="0.25">
      <c r="A837" s="28"/>
      <c r="B837" s="180"/>
      <c r="C837" s="35"/>
      <c r="D837" s="36"/>
      <c r="E837" s="36"/>
      <c r="F837" s="142"/>
      <c r="G837" s="142"/>
      <c r="H837" s="142"/>
      <c r="I837" s="142"/>
      <c r="J837" s="142"/>
    </row>
    <row r="838" spans="1:10" x14ac:dyDescent="0.25">
      <c r="A838" s="28"/>
      <c r="B838" s="180"/>
      <c r="C838" s="35"/>
      <c r="D838" s="36"/>
      <c r="E838" s="36"/>
      <c r="F838" s="142"/>
      <c r="G838" s="142"/>
      <c r="H838" s="142"/>
      <c r="I838" s="142"/>
      <c r="J838" s="142"/>
    </row>
    <row r="839" spans="1:10" x14ac:dyDescent="0.25">
      <c r="A839" s="28"/>
      <c r="B839" s="180"/>
      <c r="C839" s="35"/>
      <c r="D839" s="36"/>
      <c r="E839" s="36"/>
      <c r="F839" s="142"/>
      <c r="G839" s="142"/>
      <c r="H839" s="142"/>
      <c r="I839" s="142"/>
      <c r="J839" s="142"/>
    </row>
    <row r="840" spans="1:10" x14ac:dyDescent="0.25">
      <c r="A840" s="28"/>
      <c r="B840" s="180"/>
      <c r="C840" s="35"/>
      <c r="D840" s="36"/>
      <c r="E840" s="36"/>
      <c r="F840" s="142"/>
      <c r="G840" s="142"/>
      <c r="H840" s="142"/>
      <c r="I840" s="142"/>
      <c r="J840" s="142"/>
    </row>
    <row r="841" spans="1:10" x14ac:dyDescent="0.25">
      <c r="A841" s="28"/>
      <c r="B841" s="180"/>
      <c r="C841" s="35"/>
      <c r="D841" s="36"/>
      <c r="E841" s="36"/>
      <c r="F841" s="142"/>
      <c r="G841" s="142"/>
      <c r="H841" s="142"/>
      <c r="I841" s="142"/>
      <c r="J841" s="142"/>
    </row>
    <row r="842" spans="1:10" x14ac:dyDescent="0.25">
      <c r="A842" s="28"/>
      <c r="B842" s="180"/>
      <c r="C842" s="35"/>
      <c r="D842" s="36"/>
      <c r="E842" s="36"/>
      <c r="F842" s="142"/>
      <c r="G842" s="142"/>
      <c r="H842" s="142"/>
      <c r="I842" s="142"/>
      <c r="J842" s="142"/>
    </row>
    <row r="843" spans="1:10" x14ac:dyDescent="0.25">
      <c r="A843" s="28"/>
      <c r="B843" s="180"/>
      <c r="C843" s="35"/>
      <c r="D843" s="36"/>
      <c r="E843" s="36"/>
      <c r="F843" s="142"/>
      <c r="G843" s="142"/>
      <c r="H843" s="142"/>
      <c r="I843" s="142"/>
      <c r="J843" s="142"/>
    </row>
    <row r="844" spans="1:10" x14ac:dyDescent="0.25">
      <c r="A844" s="28"/>
      <c r="B844" s="180"/>
      <c r="C844" s="35"/>
      <c r="D844" s="36"/>
      <c r="E844" s="36"/>
      <c r="F844" s="142"/>
      <c r="G844" s="142"/>
      <c r="H844" s="142"/>
      <c r="I844" s="142"/>
      <c r="J844" s="142"/>
    </row>
    <row r="845" spans="1:10" x14ac:dyDescent="0.25">
      <c r="A845" s="28"/>
      <c r="B845" s="180"/>
      <c r="C845" s="35"/>
      <c r="D845" s="36"/>
      <c r="E845" s="36"/>
      <c r="F845" s="142"/>
      <c r="G845" s="142"/>
      <c r="H845" s="142"/>
      <c r="I845" s="142"/>
      <c r="J845" s="142"/>
    </row>
    <row r="846" spans="1:10" x14ac:dyDescent="0.25">
      <c r="A846" s="28"/>
      <c r="B846" s="180"/>
      <c r="C846" s="35"/>
      <c r="D846" s="36"/>
      <c r="E846" s="36"/>
      <c r="F846" s="142"/>
      <c r="G846" s="142"/>
      <c r="H846" s="142"/>
      <c r="I846" s="142"/>
      <c r="J846" s="142"/>
    </row>
    <row r="847" spans="1:10" x14ac:dyDescent="0.25">
      <c r="A847" s="28"/>
      <c r="B847" s="180"/>
      <c r="C847" s="35"/>
      <c r="D847" s="36"/>
      <c r="E847" s="36"/>
      <c r="F847" s="142"/>
      <c r="G847" s="142"/>
      <c r="H847" s="142"/>
      <c r="I847" s="142"/>
      <c r="J847" s="142"/>
    </row>
    <row r="848" spans="1:10" x14ac:dyDescent="0.25">
      <c r="A848" s="28"/>
      <c r="B848" s="180"/>
      <c r="C848" s="35"/>
      <c r="D848" s="36"/>
      <c r="E848" s="36"/>
      <c r="F848" s="142"/>
      <c r="G848" s="142"/>
      <c r="H848" s="142"/>
      <c r="I848" s="142"/>
      <c r="J848" s="142"/>
    </row>
    <row r="849" spans="1:10" x14ac:dyDescent="0.25">
      <c r="A849" s="28"/>
      <c r="B849" s="180"/>
      <c r="C849" s="35"/>
      <c r="D849" s="36"/>
      <c r="E849" s="36"/>
      <c r="F849" s="142"/>
      <c r="G849" s="142"/>
      <c r="H849" s="142"/>
      <c r="I849" s="142"/>
      <c r="J849" s="142"/>
    </row>
    <row r="850" spans="1:10" x14ac:dyDescent="0.25">
      <c r="A850" s="28"/>
      <c r="B850" s="180"/>
      <c r="C850" s="35"/>
      <c r="D850" s="36"/>
      <c r="E850" s="36"/>
      <c r="F850" s="142"/>
      <c r="G850" s="142"/>
      <c r="H850" s="142"/>
      <c r="I850" s="142"/>
      <c r="J850" s="142"/>
    </row>
    <row r="851" spans="1:10" x14ac:dyDescent="0.25">
      <c r="A851" s="28"/>
      <c r="B851" s="180"/>
      <c r="C851" s="35"/>
      <c r="D851" s="36"/>
      <c r="E851" s="36"/>
      <c r="F851" s="142"/>
      <c r="G851" s="142"/>
      <c r="H851" s="142"/>
      <c r="I851" s="142"/>
      <c r="J851" s="142"/>
    </row>
    <row r="852" spans="1:10" x14ac:dyDescent="0.25">
      <c r="A852" s="28"/>
      <c r="B852" s="180"/>
      <c r="C852" s="35"/>
      <c r="D852" s="36"/>
      <c r="E852" s="36"/>
      <c r="F852" s="142"/>
      <c r="G852" s="142"/>
      <c r="H852" s="142"/>
      <c r="I852" s="142"/>
      <c r="J852" s="142"/>
    </row>
    <row r="853" spans="1:10" x14ac:dyDescent="0.25">
      <c r="A853" s="28"/>
      <c r="B853" s="180"/>
      <c r="C853" s="35"/>
      <c r="D853" s="36"/>
      <c r="E853" s="36"/>
      <c r="F853" s="142"/>
      <c r="G853" s="142"/>
      <c r="H853" s="142"/>
      <c r="I853" s="142"/>
      <c r="J853" s="142"/>
    </row>
    <row r="854" spans="1:10" x14ac:dyDescent="0.25">
      <c r="A854" s="28"/>
      <c r="B854" s="180"/>
      <c r="C854" s="35"/>
      <c r="D854" s="36"/>
      <c r="E854" s="36"/>
      <c r="F854" s="142"/>
      <c r="G854" s="142"/>
      <c r="H854" s="142"/>
      <c r="I854" s="142"/>
      <c r="J854" s="142"/>
    </row>
    <row r="855" spans="1:10" x14ac:dyDescent="0.25">
      <c r="A855" s="28"/>
      <c r="B855" s="180"/>
      <c r="C855" s="35"/>
      <c r="D855" s="36"/>
      <c r="E855" s="36"/>
      <c r="F855" s="142"/>
      <c r="G855" s="142"/>
      <c r="H855" s="142"/>
      <c r="I855" s="142"/>
      <c r="J855" s="142"/>
    </row>
    <row r="856" spans="1:10" x14ac:dyDescent="0.25">
      <c r="A856" s="28"/>
      <c r="B856" s="180"/>
      <c r="C856" s="35"/>
      <c r="D856" s="36"/>
      <c r="E856" s="36"/>
      <c r="F856" s="142"/>
      <c r="G856" s="142"/>
      <c r="H856" s="142"/>
      <c r="I856" s="142"/>
      <c r="J856" s="142"/>
    </row>
    <row r="857" spans="1:10" x14ac:dyDescent="0.25">
      <c r="A857" s="28"/>
      <c r="B857" s="180"/>
      <c r="C857" s="35"/>
      <c r="D857" s="36"/>
      <c r="E857" s="36"/>
      <c r="F857" s="142"/>
      <c r="G857" s="142"/>
      <c r="H857" s="142"/>
      <c r="I857" s="142"/>
      <c r="J857" s="142"/>
    </row>
    <row r="858" spans="1:10" x14ac:dyDescent="0.25">
      <c r="A858" s="28"/>
      <c r="B858" s="180"/>
      <c r="C858" s="35"/>
      <c r="D858" s="36"/>
      <c r="E858" s="36"/>
      <c r="F858" s="142"/>
      <c r="G858" s="142"/>
      <c r="H858" s="142"/>
      <c r="I858" s="142"/>
      <c r="J858" s="142"/>
    </row>
    <row r="859" spans="1:10" x14ac:dyDescent="0.25">
      <c r="A859" s="28"/>
      <c r="B859" s="180"/>
      <c r="C859" s="35"/>
      <c r="D859" s="36"/>
      <c r="E859" s="36"/>
      <c r="F859" s="142"/>
      <c r="G859" s="142"/>
      <c r="H859" s="142"/>
      <c r="I859" s="142"/>
      <c r="J859" s="142"/>
    </row>
    <row r="860" spans="1:10" x14ac:dyDescent="0.25">
      <c r="A860" s="28"/>
      <c r="B860" s="180"/>
      <c r="C860" s="35"/>
      <c r="D860" s="36"/>
      <c r="E860" s="36"/>
      <c r="F860" s="142"/>
      <c r="G860" s="142"/>
      <c r="H860" s="142"/>
      <c r="I860" s="142"/>
      <c r="J860" s="142"/>
    </row>
    <row r="861" spans="1:10" x14ac:dyDescent="0.25">
      <c r="A861" s="28"/>
      <c r="B861" s="180"/>
      <c r="C861" s="35"/>
      <c r="D861" s="36"/>
      <c r="E861" s="36"/>
      <c r="F861" s="142"/>
      <c r="G861" s="142"/>
      <c r="H861" s="142"/>
      <c r="I861" s="142"/>
      <c r="J861" s="142"/>
    </row>
    <row r="862" spans="1:10" x14ac:dyDescent="0.25">
      <c r="A862" s="28"/>
      <c r="B862" s="180"/>
      <c r="C862" s="35"/>
      <c r="D862" s="36"/>
      <c r="E862" s="36"/>
      <c r="F862" s="142"/>
      <c r="G862" s="142"/>
      <c r="H862" s="142"/>
      <c r="I862" s="142"/>
      <c r="J862" s="142"/>
    </row>
    <row r="863" spans="1:10" x14ac:dyDescent="0.25">
      <c r="A863" s="28"/>
      <c r="B863" s="180"/>
      <c r="C863" s="35"/>
      <c r="D863" s="36"/>
      <c r="E863" s="36"/>
      <c r="F863" s="142"/>
      <c r="G863" s="142"/>
      <c r="H863" s="142"/>
      <c r="I863" s="142"/>
      <c r="J863" s="142"/>
    </row>
    <row r="864" spans="1:10" x14ac:dyDescent="0.25">
      <c r="A864" s="28"/>
      <c r="B864" s="180"/>
      <c r="C864" s="35"/>
      <c r="D864" s="36"/>
      <c r="E864" s="36"/>
      <c r="F864" s="142"/>
      <c r="G864" s="142"/>
      <c r="H864" s="142"/>
      <c r="I864" s="142"/>
      <c r="J864" s="142"/>
    </row>
    <row r="865" spans="1:10" x14ac:dyDescent="0.25">
      <c r="A865" s="28"/>
      <c r="B865" s="180"/>
      <c r="C865" s="35"/>
      <c r="D865" s="36"/>
      <c r="E865" s="36"/>
      <c r="F865" s="142"/>
      <c r="G865" s="142"/>
      <c r="H865" s="142"/>
      <c r="I865" s="142"/>
      <c r="J865" s="142"/>
    </row>
    <row r="866" spans="1:10" x14ac:dyDescent="0.25">
      <c r="A866" s="28"/>
      <c r="B866" s="180"/>
      <c r="C866" s="35"/>
      <c r="D866" s="36"/>
      <c r="E866" s="36"/>
      <c r="F866" s="142"/>
      <c r="G866" s="142"/>
      <c r="H866" s="142"/>
      <c r="I866" s="142"/>
      <c r="J866" s="142"/>
    </row>
    <row r="867" spans="1:10" x14ac:dyDescent="0.25">
      <c r="A867" s="28"/>
      <c r="B867" s="180"/>
      <c r="C867" s="35"/>
      <c r="D867" s="36"/>
      <c r="E867" s="36"/>
      <c r="F867" s="142"/>
      <c r="G867" s="142"/>
      <c r="H867" s="142"/>
      <c r="I867" s="142"/>
      <c r="J867" s="142"/>
    </row>
    <row r="868" spans="1:10" x14ac:dyDescent="0.25">
      <c r="A868" s="28"/>
      <c r="B868" s="180"/>
      <c r="C868" s="35"/>
      <c r="D868" s="36"/>
      <c r="E868" s="36"/>
      <c r="F868" s="142"/>
      <c r="G868" s="142"/>
      <c r="H868" s="142"/>
      <c r="I868" s="142"/>
      <c r="J868" s="142"/>
    </row>
    <row r="869" spans="1:10" x14ac:dyDescent="0.25">
      <c r="A869" s="28"/>
      <c r="B869" s="180"/>
      <c r="C869" s="35"/>
      <c r="D869" s="36"/>
      <c r="E869" s="36"/>
      <c r="F869" s="142"/>
      <c r="G869" s="142"/>
      <c r="H869" s="142"/>
      <c r="I869" s="142"/>
      <c r="J869" s="142"/>
    </row>
    <row r="870" spans="1:10" x14ac:dyDescent="0.25">
      <c r="A870" s="28"/>
      <c r="B870" s="180"/>
      <c r="C870" s="35"/>
      <c r="D870" s="36"/>
      <c r="E870" s="36"/>
      <c r="F870" s="142"/>
      <c r="G870" s="142"/>
      <c r="H870" s="142"/>
      <c r="I870" s="142"/>
      <c r="J870" s="142"/>
    </row>
    <row r="871" spans="1:10" x14ac:dyDescent="0.25">
      <c r="A871" s="28"/>
      <c r="B871" s="180"/>
      <c r="C871" s="35"/>
      <c r="D871" s="36"/>
      <c r="E871" s="36"/>
      <c r="F871" s="142"/>
      <c r="G871" s="142"/>
      <c r="H871" s="142"/>
      <c r="I871" s="142"/>
      <c r="J871" s="142"/>
    </row>
    <row r="872" spans="1:10" x14ac:dyDescent="0.25">
      <c r="A872" s="28"/>
      <c r="B872" s="180"/>
      <c r="C872" s="35"/>
      <c r="D872" s="36"/>
      <c r="E872" s="36"/>
      <c r="F872" s="142"/>
      <c r="G872" s="142"/>
      <c r="H872" s="142"/>
      <c r="I872" s="142"/>
      <c r="J872" s="142"/>
    </row>
    <row r="873" spans="1:10" x14ac:dyDescent="0.25">
      <c r="A873" s="28"/>
      <c r="B873" s="180"/>
      <c r="C873" s="35"/>
      <c r="D873" s="36"/>
      <c r="E873" s="36"/>
      <c r="F873" s="142"/>
      <c r="G873" s="142"/>
      <c r="H873" s="142"/>
      <c r="I873" s="142"/>
      <c r="J873" s="142"/>
    </row>
    <row r="874" spans="1:10" x14ac:dyDescent="0.25">
      <c r="A874" s="28"/>
      <c r="B874" s="180"/>
      <c r="C874" s="35"/>
      <c r="D874" s="36"/>
      <c r="E874" s="36"/>
      <c r="F874" s="142"/>
      <c r="G874" s="142"/>
      <c r="H874" s="142"/>
      <c r="I874" s="142"/>
      <c r="J874" s="142"/>
    </row>
    <row r="875" spans="1:10" x14ac:dyDescent="0.25">
      <c r="A875" s="28"/>
      <c r="B875" s="180"/>
      <c r="C875" s="35"/>
      <c r="D875" s="36"/>
      <c r="E875" s="36"/>
      <c r="F875" s="142"/>
      <c r="G875" s="142"/>
      <c r="H875" s="142"/>
      <c r="I875" s="142"/>
      <c r="J875" s="142"/>
    </row>
    <row r="876" spans="1:10" x14ac:dyDescent="0.25">
      <c r="A876" s="28"/>
      <c r="B876" s="180"/>
      <c r="C876" s="35"/>
      <c r="D876" s="36"/>
      <c r="E876" s="36"/>
      <c r="F876" s="142"/>
      <c r="G876" s="142"/>
      <c r="H876" s="142"/>
      <c r="I876" s="142"/>
      <c r="J876" s="142"/>
    </row>
    <row r="877" spans="1:10" x14ac:dyDescent="0.25">
      <c r="A877" s="28"/>
      <c r="B877" s="180"/>
      <c r="C877" s="35"/>
      <c r="D877" s="36"/>
      <c r="E877" s="36"/>
      <c r="F877" s="142"/>
      <c r="G877" s="142"/>
      <c r="H877" s="142"/>
      <c r="I877" s="142"/>
      <c r="J877" s="142"/>
    </row>
    <row r="878" spans="1:10" x14ac:dyDescent="0.25">
      <c r="A878" s="28"/>
      <c r="B878" s="180"/>
      <c r="C878" s="35"/>
      <c r="D878" s="36"/>
      <c r="E878" s="36"/>
      <c r="F878" s="142"/>
      <c r="G878" s="142"/>
      <c r="H878" s="142"/>
      <c r="I878" s="142"/>
      <c r="J878" s="142"/>
    </row>
    <row r="879" spans="1:10" x14ac:dyDescent="0.25">
      <c r="A879" s="28"/>
      <c r="B879" s="180"/>
      <c r="C879" s="35"/>
      <c r="D879" s="36"/>
      <c r="E879" s="36"/>
      <c r="F879" s="142"/>
      <c r="G879" s="142"/>
      <c r="H879" s="142"/>
      <c r="I879" s="142"/>
      <c r="J879" s="142"/>
    </row>
    <row r="880" spans="1:10" x14ac:dyDescent="0.25">
      <c r="A880" s="28"/>
      <c r="B880" s="180"/>
      <c r="C880" s="35"/>
      <c r="D880" s="36"/>
      <c r="E880" s="36"/>
      <c r="F880" s="142"/>
      <c r="G880" s="142"/>
      <c r="H880" s="142"/>
      <c r="I880" s="142"/>
      <c r="J880" s="142"/>
    </row>
    <row r="881" spans="1:10" x14ac:dyDescent="0.25">
      <c r="A881" s="28"/>
      <c r="B881" s="180"/>
      <c r="C881" s="35"/>
      <c r="D881" s="36"/>
      <c r="E881" s="36"/>
      <c r="F881" s="142"/>
      <c r="G881" s="142"/>
      <c r="H881" s="142"/>
      <c r="I881" s="142"/>
      <c r="J881" s="142"/>
    </row>
    <row r="882" spans="1:10" x14ac:dyDescent="0.25">
      <c r="A882" s="28"/>
      <c r="B882" s="180"/>
      <c r="C882" s="35"/>
      <c r="D882" s="36"/>
      <c r="E882" s="36"/>
      <c r="F882" s="142"/>
      <c r="G882" s="142"/>
      <c r="H882" s="142"/>
      <c r="I882" s="142"/>
      <c r="J882" s="142"/>
    </row>
    <row r="883" spans="1:10" x14ac:dyDescent="0.25">
      <c r="A883" s="28"/>
      <c r="B883" s="180"/>
      <c r="C883" s="35"/>
      <c r="D883" s="36"/>
      <c r="E883" s="36"/>
      <c r="F883" s="142"/>
      <c r="G883" s="142"/>
      <c r="H883" s="142"/>
      <c r="I883" s="142"/>
      <c r="J883" s="142"/>
    </row>
    <row r="884" spans="1:10" x14ac:dyDescent="0.25">
      <c r="A884" s="28"/>
      <c r="B884" s="180"/>
      <c r="C884" s="35"/>
      <c r="D884" s="36"/>
      <c r="E884" s="36"/>
      <c r="F884" s="142"/>
      <c r="G884" s="142"/>
      <c r="H884" s="142"/>
      <c r="I884" s="142"/>
      <c r="J884" s="142"/>
    </row>
    <row r="885" spans="1:10" x14ac:dyDescent="0.25">
      <c r="A885" s="28"/>
      <c r="B885" s="180"/>
      <c r="C885" s="35"/>
      <c r="D885" s="36"/>
      <c r="E885" s="36"/>
      <c r="F885" s="142"/>
      <c r="G885" s="142"/>
      <c r="H885" s="142"/>
      <c r="I885" s="142"/>
      <c r="J885" s="142"/>
    </row>
    <row r="886" spans="1:10" x14ac:dyDescent="0.25">
      <c r="A886" s="28"/>
      <c r="B886" s="180"/>
      <c r="C886" s="35"/>
      <c r="D886" s="36"/>
      <c r="E886" s="36"/>
      <c r="F886" s="142"/>
      <c r="G886" s="142"/>
      <c r="H886" s="142"/>
      <c r="I886" s="142"/>
      <c r="J886" s="142"/>
    </row>
    <row r="887" spans="1:10" x14ac:dyDescent="0.25">
      <c r="A887" s="28"/>
      <c r="B887" s="180"/>
      <c r="C887" s="35"/>
      <c r="D887" s="36"/>
      <c r="E887" s="36"/>
      <c r="F887" s="142"/>
      <c r="G887" s="142"/>
      <c r="H887" s="142"/>
      <c r="I887" s="142"/>
      <c r="J887" s="142"/>
    </row>
    <row r="888" spans="1:10" x14ac:dyDescent="0.25">
      <c r="A888" s="28"/>
      <c r="B888" s="180"/>
      <c r="C888" s="35"/>
      <c r="D888" s="36"/>
      <c r="E888" s="36"/>
      <c r="F888" s="142"/>
      <c r="G888" s="142"/>
      <c r="H888" s="142"/>
      <c r="I888" s="142"/>
      <c r="J888" s="142"/>
    </row>
    <row r="889" spans="1:10" x14ac:dyDescent="0.25">
      <c r="A889" s="28"/>
      <c r="B889" s="180"/>
      <c r="C889" s="35"/>
      <c r="D889" s="36"/>
      <c r="E889" s="36"/>
      <c r="F889" s="142"/>
      <c r="G889" s="142"/>
      <c r="H889" s="142"/>
      <c r="I889" s="142"/>
      <c r="J889" s="142"/>
    </row>
    <row r="890" spans="1:10" x14ac:dyDescent="0.25">
      <c r="A890" s="28"/>
      <c r="B890" s="180"/>
      <c r="C890" s="35"/>
      <c r="D890" s="36"/>
      <c r="E890" s="36"/>
      <c r="F890" s="142"/>
      <c r="G890" s="142"/>
      <c r="H890" s="142"/>
      <c r="I890" s="142"/>
      <c r="J890" s="142"/>
    </row>
    <row r="891" spans="1:10" x14ac:dyDescent="0.25">
      <c r="A891" s="28"/>
      <c r="B891" s="180"/>
      <c r="C891" s="35"/>
      <c r="D891" s="36"/>
      <c r="E891" s="36"/>
      <c r="F891" s="142"/>
      <c r="G891" s="142"/>
      <c r="H891" s="142"/>
      <c r="I891" s="142"/>
      <c r="J891" s="142"/>
    </row>
    <row r="892" spans="1:10" x14ac:dyDescent="0.25">
      <c r="A892" s="28"/>
      <c r="B892" s="180"/>
      <c r="C892" s="35"/>
      <c r="D892" s="36"/>
      <c r="E892" s="36"/>
      <c r="F892" s="142"/>
      <c r="G892" s="142"/>
      <c r="H892" s="142"/>
      <c r="I892" s="142"/>
      <c r="J892" s="142"/>
    </row>
    <row r="893" spans="1:10" x14ac:dyDescent="0.25">
      <c r="A893" s="28"/>
      <c r="B893" s="180"/>
      <c r="C893" s="35"/>
      <c r="D893" s="36"/>
      <c r="E893" s="36"/>
      <c r="F893" s="142"/>
      <c r="G893" s="142"/>
      <c r="H893" s="142"/>
      <c r="I893" s="142"/>
      <c r="J893" s="142"/>
    </row>
    <row r="894" spans="1:10" x14ac:dyDescent="0.25">
      <c r="A894" s="28"/>
      <c r="B894" s="180"/>
      <c r="C894" s="35"/>
      <c r="D894" s="36"/>
      <c r="E894" s="36"/>
      <c r="F894" s="142"/>
      <c r="G894" s="142"/>
      <c r="H894" s="142"/>
      <c r="I894" s="142"/>
      <c r="J894" s="142"/>
    </row>
    <row r="895" spans="1:10" x14ac:dyDescent="0.25">
      <c r="A895" s="28"/>
      <c r="B895" s="180"/>
      <c r="C895" s="35"/>
      <c r="D895" s="36"/>
      <c r="E895" s="36"/>
      <c r="F895" s="142"/>
      <c r="G895" s="142"/>
      <c r="H895" s="142"/>
      <c r="I895" s="142"/>
      <c r="J895" s="142"/>
    </row>
    <row r="896" spans="1:10" x14ac:dyDescent="0.25">
      <c r="A896" s="28"/>
      <c r="B896" s="180"/>
      <c r="C896" s="35"/>
      <c r="D896" s="36"/>
      <c r="E896" s="36"/>
      <c r="F896" s="142"/>
      <c r="G896" s="142"/>
      <c r="H896" s="142"/>
      <c r="I896" s="142"/>
      <c r="J896" s="142"/>
    </row>
    <row r="897" spans="1:10" x14ac:dyDescent="0.25">
      <c r="A897" s="28"/>
      <c r="B897" s="180"/>
      <c r="C897" s="35"/>
      <c r="D897" s="36"/>
      <c r="E897" s="36"/>
      <c r="F897" s="142"/>
      <c r="G897" s="142"/>
      <c r="H897" s="142"/>
      <c r="I897" s="142"/>
      <c r="J897" s="142"/>
    </row>
    <row r="898" spans="1:10" x14ac:dyDescent="0.25">
      <c r="A898" s="28"/>
      <c r="B898" s="180"/>
      <c r="C898" s="35"/>
      <c r="D898" s="36"/>
      <c r="E898" s="36"/>
      <c r="F898" s="142"/>
      <c r="G898" s="142"/>
      <c r="H898" s="142"/>
      <c r="I898" s="142"/>
      <c r="J898" s="142"/>
    </row>
    <row r="899" spans="1:10" x14ac:dyDescent="0.25">
      <c r="A899" s="28"/>
      <c r="B899" s="180"/>
      <c r="C899" s="35"/>
      <c r="D899" s="36"/>
      <c r="E899" s="36"/>
      <c r="F899" s="142"/>
      <c r="G899" s="142"/>
      <c r="H899" s="142"/>
      <c r="I899" s="142"/>
      <c r="J899" s="142"/>
    </row>
    <row r="900" spans="1:10" x14ac:dyDescent="0.25">
      <c r="A900" s="28"/>
      <c r="B900" s="180"/>
      <c r="C900" s="35"/>
      <c r="D900" s="36"/>
      <c r="E900" s="36"/>
      <c r="F900" s="142"/>
      <c r="G900" s="142"/>
      <c r="H900" s="142"/>
      <c r="I900" s="142"/>
      <c r="J900" s="142"/>
    </row>
    <row r="901" spans="1:10" x14ac:dyDescent="0.25">
      <c r="A901" s="28"/>
      <c r="B901" s="180"/>
      <c r="C901" s="35"/>
      <c r="D901" s="36"/>
      <c r="E901" s="36"/>
      <c r="F901" s="142"/>
      <c r="G901" s="142"/>
      <c r="H901" s="142"/>
      <c r="I901" s="142"/>
      <c r="J901" s="142"/>
    </row>
    <row r="902" spans="1:10" x14ac:dyDescent="0.25">
      <c r="A902" s="28"/>
      <c r="B902" s="180"/>
      <c r="C902" s="35"/>
      <c r="D902" s="36"/>
      <c r="E902" s="36"/>
      <c r="F902" s="142"/>
      <c r="G902" s="142"/>
      <c r="H902" s="142"/>
      <c r="I902" s="142"/>
      <c r="J902" s="142"/>
    </row>
    <row r="903" spans="1:10" x14ac:dyDescent="0.25">
      <c r="A903" s="28"/>
      <c r="B903" s="180"/>
      <c r="C903" s="35"/>
      <c r="D903" s="36"/>
      <c r="E903" s="36"/>
      <c r="F903" s="142"/>
      <c r="G903" s="142"/>
      <c r="H903" s="142"/>
      <c r="I903" s="142"/>
      <c r="J903" s="142"/>
    </row>
    <row r="904" spans="1:10" x14ac:dyDescent="0.25">
      <c r="A904" s="28"/>
      <c r="B904" s="180"/>
      <c r="C904" s="35"/>
      <c r="D904" s="36"/>
      <c r="E904" s="36"/>
      <c r="F904" s="142"/>
      <c r="G904" s="142"/>
      <c r="H904" s="142"/>
      <c r="I904" s="142"/>
      <c r="J904" s="142"/>
    </row>
    <row r="905" spans="1:10" x14ac:dyDescent="0.25">
      <c r="A905" s="28"/>
      <c r="B905" s="180"/>
      <c r="C905" s="35"/>
      <c r="D905" s="36"/>
      <c r="E905" s="36"/>
      <c r="F905" s="142"/>
      <c r="G905" s="142"/>
      <c r="H905" s="142"/>
      <c r="I905" s="142"/>
      <c r="J905" s="142"/>
    </row>
    <row r="906" spans="1:10" x14ac:dyDescent="0.25">
      <c r="A906" s="28"/>
      <c r="B906" s="180"/>
      <c r="C906" s="35"/>
      <c r="D906" s="36"/>
      <c r="E906" s="36"/>
      <c r="F906" s="142"/>
      <c r="G906" s="142"/>
      <c r="H906" s="142"/>
      <c r="I906" s="142"/>
      <c r="J906" s="142"/>
    </row>
    <row r="907" spans="1:10" x14ac:dyDescent="0.25">
      <c r="A907" s="28"/>
      <c r="B907" s="180"/>
      <c r="C907" s="35"/>
      <c r="D907" s="36"/>
      <c r="E907" s="36"/>
      <c r="F907" s="142"/>
      <c r="G907" s="142"/>
      <c r="H907" s="142"/>
      <c r="I907" s="142"/>
      <c r="J907" s="142"/>
    </row>
    <row r="908" spans="1:10" x14ac:dyDescent="0.25">
      <c r="A908" s="28"/>
      <c r="B908" s="180"/>
      <c r="C908" s="35"/>
      <c r="D908" s="36"/>
      <c r="E908" s="36"/>
      <c r="F908" s="142"/>
      <c r="G908" s="142"/>
      <c r="H908" s="142"/>
      <c r="I908" s="142"/>
      <c r="J908" s="142"/>
    </row>
    <row r="909" spans="1:10" x14ac:dyDescent="0.25">
      <c r="A909" s="28"/>
      <c r="B909" s="180"/>
      <c r="C909" s="35"/>
      <c r="D909" s="36"/>
      <c r="E909" s="36"/>
      <c r="F909" s="142"/>
      <c r="G909" s="142"/>
      <c r="H909" s="142"/>
      <c r="I909" s="142"/>
      <c r="J909" s="142"/>
    </row>
    <row r="910" spans="1:10" x14ac:dyDescent="0.25">
      <c r="A910" s="28"/>
      <c r="B910" s="180"/>
      <c r="C910" s="35"/>
      <c r="D910" s="36"/>
      <c r="E910" s="36"/>
      <c r="F910" s="142"/>
      <c r="G910" s="142"/>
      <c r="H910" s="142"/>
      <c r="I910" s="142"/>
      <c r="J910" s="142"/>
    </row>
    <row r="911" spans="1:10" x14ac:dyDescent="0.25">
      <c r="A911" s="28"/>
      <c r="B911" s="180"/>
      <c r="C911" s="35"/>
      <c r="D911" s="36"/>
      <c r="E911" s="36"/>
      <c r="F911" s="142"/>
      <c r="G911" s="142"/>
      <c r="H911" s="142"/>
      <c r="I911" s="142"/>
      <c r="J911" s="142"/>
    </row>
    <row r="912" spans="1:10" x14ac:dyDescent="0.25">
      <c r="A912" s="28"/>
      <c r="B912" s="180"/>
      <c r="C912" s="35"/>
      <c r="D912" s="36"/>
      <c r="E912" s="36"/>
      <c r="F912" s="142"/>
      <c r="G912" s="142"/>
      <c r="H912" s="142"/>
      <c r="I912" s="142"/>
      <c r="J912" s="142"/>
    </row>
    <row r="913" spans="1:10" x14ac:dyDescent="0.25">
      <c r="A913" s="28"/>
      <c r="B913" s="180"/>
      <c r="C913" s="35"/>
      <c r="D913" s="36"/>
      <c r="E913" s="36"/>
      <c r="F913" s="142"/>
      <c r="G913" s="142"/>
      <c r="H913" s="142"/>
      <c r="I913" s="142"/>
      <c r="J913" s="142"/>
    </row>
    <row r="914" spans="1:10" x14ac:dyDescent="0.25">
      <c r="A914" s="28"/>
      <c r="B914" s="180"/>
      <c r="C914" s="35"/>
      <c r="D914" s="36"/>
      <c r="E914" s="36"/>
      <c r="F914" s="142"/>
      <c r="G914" s="142"/>
      <c r="H914" s="142"/>
      <c r="I914" s="142"/>
      <c r="J914" s="142"/>
    </row>
    <row r="915" spans="1:10" x14ac:dyDescent="0.25">
      <c r="A915" s="28"/>
      <c r="B915" s="180"/>
      <c r="C915" s="35"/>
      <c r="D915" s="36"/>
      <c r="E915" s="36"/>
      <c r="F915" s="142"/>
      <c r="G915" s="142"/>
      <c r="H915" s="142"/>
      <c r="I915" s="142"/>
      <c r="J915" s="142"/>
    </row>
    <row r="916" spans="1:10" x14ac:dyDescent="0.25">
      <c r="A916" s="28"/>
      <c r="B916" s="180"/>
      <c r="C916" s="35"/>
      <c r="D916" s="36"/>
      <c r="E916" s="36"/>
      <c r="F916" s="142"/>
      <c r="G916" s="142"/>
      <c r="H916" s="142"/>
      <c r="I916" s="142"/>
      <c r="J916" s="142"/>
    </row>
    <row r="917" spans="1:10" x14ac:dyDescent="0.25">
      <c r="A917" s="28"/>
      <c r="B917" s="180"/>
      <c r="C917" s="35"/>
      <c r="D917" s="36"/>
      <c r="E917" s="36"/>
      <c r="F917" s="142"/>
      <c r="G917" s="142"/>
      <c r="H917" s="142"/>
      <c r="I917" s="142"/>
      <c r="J917" s="142"/>
    </row>
    <row r="918" spans="1:10" x14ac:dyDescent="0.25">
      <c r="A918" s="28"/>
      <c r="B918" s="180"/>
      <c r="C918" s="35"/>
      <c r="D918" s="36"/>
      <c r="E918" s="36"/>
      <c r="F918" s="142"/>
      <c r="G918" s="142"/>
      <c r="H918" s="142"/>
      <c r="I918" s="142"/>
      <c r="J918" s="142"/>
    </row>
    <row r="919" spans="1:10" x14ac:dyDescent="0.25">
      <c r="A919" s="28"/>
      <c r="B919" s="180"/>
      <c r="C919" s="35"/>
      <c r="D919" s="36"/>
      <c r="E919" s="36"/>
      <c r="F919" s="142"/>
      <c r="G919" s="142"/>
      <c r="H919" s="142"/>
      <c r="I919" s="142"/>
      <c r="J919" s="142"/>
    </row>
    <row r="920" spans="1:10" x14ac:dyDescent="0.25">
      <c r="A920" s="28"/>
      <c r="B920" s="180"/>
      <c r="C920" s="35"/>
      <c r="D920" s="36"/>
      <c r="E920" s="36"/>
      <c r="F920" s="142"/>
      <c r="G920" s="142"/>
      <c r="H920" s="142"/>
      <c r="I920" s="142"/>
      <c r="J920" s="142"/>
    </row>
    <row r="921" spans="1:10" x14ac:dyDescent="0.25">
      <c r="A921" s="28"/>
      <c r="B921" s="180"/>
      <c r="C921" s="35"/>
      <c r="D921" s="36"/>
      <c r="E921" s="36"/>
      <c r="F921" s="142"/>
      <c r="G921" s="142"/>
      <c r="H921" s="142"/>
      <c r="I921" s="142"/>
      <c r="J921" s="142"/>
    </row>
    <row r="922" spans="1:10" x14ac:dyDescent="0.25">
      <c r="A922" s="28"/>
      <c r="B922" s="180"/>
      <c r="C922" s="35"/>
      <c r="D922" s="36"/>
      <c r="E922" s="36"/>
      <c r="F922" s="142"/>
      <c r="G922" s="142"/>
      <c r="H922" s="142"/>
      <c r="I922" s="142"/>
      <c r="J922" s="142"/>
    </row>
    <row r="923" spans="1:10" x14ac:dyDescent="0.25">
      <c r="A923" s="28"/>
      <c r="B923" s="180"/>
      <c r="C923" s="35"/>
      <c r="D923" s="36"/>
      <c r="E923" s="36"/>
      <c r="F923" s="142"/>
      <c r="G923" s="142"/>
      <c r="H923" s="142"/>
      <c r="I923" s="142"/>
      <c r="J923" s="142"/>
    </row>
    <row r="924" spans="1:10" x14ac:dyDescent="0.25">
      <c r="A924" s="28"/>
      <c r="B924" s="180"/>
      <c r="C924" s="35"/>
      <c r="D924" s="36"/>
      <c r="E924" s="36"/>
      <c r="F924" s="142"/>
      <c r="G924" s="142"/>
      <c r="H924" s="142"/>
      <c r="I924" s="142"/>
      <c r="J924" s="142"/>
    </row>
    <row r="925" spans="1:10" x14ac:dyDescent="0.25">
      <c r="A925" s="28"/>
      <c r="B925" s="180"/>
      <c r="C925" s="35"/>
      <c r="D925" s="36"/>
      <c r="E925" s="36"/>
      <c r="F925" s="142"/>
      <c r="G925" s="142"/>
      <c r="H925" s="142"/>
      <c r="I925" s="142"/>
      <c r="J925" s="142"/>
    </row>
    <row r="926" spans="1:10" x14ac:dyDescent="0.25">
      <c r="A926" s="28"/>
      <c r="B926" s="180"/>
      <c r="C926" s="35"/>
      <c r="D926" s="36"/>
      <c r="E926" s="36"/>
      <c r="F926" s="142"/>
      <c r="G926" s="142"/>
      <c r="H926" s="142"/>
      <c r="I926" s="142"/>
      <c r="J926" s="142"/>
    </row>
    <row r="927" spans="1:10" x14ac:dyDescent="0.25">
      <c r="A927" s="28"/>
      <c r="B927" s="180"/>
      <c r="C927" s="35"/>
      <c r="D927" s="36"/>
      <c r="E927" s="36"/>
      <c r="F927" s="142"/>
      <c r="G927" s="142"/>
      <c r="H927" s="142"/>
      <c r="I927" s="142"/>
      <c r="J927" s="142"/>
    </row>
    <row r="928" spans="1:10" x14ac:dyDescent="0.25">
      <c r="A928" s="28"/>
      <c r="B928" s="180"/>
      <c r="C928" s="35"/>
      <c r="D928" s="36"/>
      <c r="E928" s="36"/>
      <c r="F928" s="142"/>
      <c r="G928" s="142"/>
      <c r="H928" s="142"/>
      <c r="I928" s="142"/>
      <c r="J928" s="142"/>
    </row>
    <row r="929" spans="1:10" x14ac:dyDescent="0.25">
      <c r="A929" s="28"/>
      <c r="B929" s="180"/>
      <c r="C929" s="35"/>
      <c r="D929" s="36"/>
      <c r="E929" s="36"/>
      <c r="F929" s="142"/>
      <c r="G929" s="142"/>
      <c r="H929" s="142"/>
      <c r="I929" s="142"/>
      <c r="J929" s="142"/>
    </row>
    <row r="930" spans="1:10" x14ac:dyDescent="0.25">
      <c r="A930" s="28"/>
      <c r="B930" s="180"/>
      <c r="C930" s="35"/>
      <c r="D930" s="36"/>
      <c r="E930" s="36"/>
      <c r="F930" s="142"/>
      <c r="G930" s="142"/>
      <c r="H930" s="142"/>
      <c r="I930" s="142"/>
      <c r="J930" s="142"/>
    </row>
    <row r="931" spans="1:10" x14ac:dyDescent="0.25">
      <c r="A931" s="28"/>
      <c r="B931" s="180"/>
      <c r="C931" s="35"/>
      <c r="D931" s="36"/>
      <c r="E931" s="36"/>
      <c r="F931" s="142"/>
      <c r="G931" s="142"/>
      <c r="H931" s="142"/>
      <c r="I931" s="142"/>
      <c r="J931" s="142"/>
    </row>
    <row r="932" spans="1:10" x14ac:dyDescent="0.25">
      <c r="A932" s="28"/>
      <c r="B932" s="180"/>
      <c r="C932" s="35"/>
      <c r="D932" s="36"/>
      <c r="E932" s="36"/>
      <c r="F932" s="142"/>
      <c r="G932" s="142"/>
      <c r="H932" s="142"/>
      <c r="I932" s="142"/>
      <c r="J932" s="142"/>
    </row>
    <row r="933" spans="1:10" x14ac:dyDescent="0.25">
      <c r="A933" s="28"/>
      <c r="B933" s="180"/>
      <c r="C933" s="35"/>
      <c r="D933" s="36"/>
      <c r="E933" s="36"/>
      <c r="F933" s="142"/>
      <c r="G933" s="142"/>
      <c r="H933" s="142"/>
      <c r="I933" s="142"/>
      <c r="J933" s="142"/>
    </row>
    <row r="934" spans="1:10" x14ac:dyDescent="0.25">
      <c r="A934" s="28"/>
      <c r="B934" s="180"/>
      <c r="C934" s="35"/>
      <c r="D934" s="36"/>
      <c r="E934" s="36"/>
      <c r="F934" s="142"/>
      <c r="G934" s="142"/>
      <c r="H934" s="142"/>
      <c r="I934" s="142"/>
      <c r="J934" s="142"/>
    </row>
    <row r="935" spans="1:10" x14ac:dyDescent="0.25">
      <c r="A935" s="28"/>
      <c r="B935" s="180"/>
      <c r="C935" s="35"/>
      <c r="D935" s="36"/>
      <c r="E935" s="36"/>
      <c r="F935" s="142"/>
      <c r="G935" s="142"/>
      <c r="H935" s="142"/>
      <c r="I935" s="142"/>
      <c r="J935" s="142"/>
    </row>
    <row r="936" spans="1:10" x14ac:dyDescent="0.25">
      <c r="A936" s="28"/>
      <c r="B936" s="180"/>
      <c r="C936" s="35"/>
      <c r="D936" s="36"/>
      <c r="E936" s="36"/>
      <c r="F936" s="142"/>
      <c r="G936" s="142"/>
      <c r="H936" s="142"/>
      <c r="I936" s="142"/>
      <c r="J936" s="142"/>
    </row>
    <row r="937" spans="1:10" x14ac:dyDescent="0.25">
      <c r="A937" s="28"/>
      <c r="B937" s="180"/>
      <c r="C937" s="35"/>
      <c r="D937" s="36"/>
      <c r="E937" s="36"/>
      <c r="F937" s="142"/>
      <c r="G937" s="142"/>
      <c r="H937" s="142"/>
      <c r="I937" s="142"/>
      <c r="J937" s="142"/>
    </row>
    <row r="938" spans="1:10" x14ac:dyDescent="0.25">
      <c r="A938" s="28"/>
      <c r="B938" s="180"/>
      <c r="C938" s="35"/>
      <c r="D938" s="36"/>
      <c r="E938" s="36"/>
      <c r="F938" s="142"/>
      <c r="G938" s="142"/>
      <c r="H938" s="142"/>
      <c r="I938" s="142"/>
      <c r="J938" s="142"/>
    </row>
    <row r="939" spans="1:10" x14ac:dyDescent="0.25">
      <c r="A939" s="28"/>
      <c r="B939" s="180"/>
      <c r="C939" s="35"/>
      <c r="D939" s="36"/>
      <c r="E939" s="36"/>
      <c r="F939" s="142"/>
      <c r="G939" s="142"/>
      <c r="H939" s="142"/>
      <c r="I939" s="142"/>
      <c r="J939" s="142"/>
    </row>
    <row r="940" spans="1:10" x14ac:dyDescent="0.25">
      <c r="A940" s="28"/>
      <c r="B940" s="180"/>
      <c r="C940" s="35"/>
      <c r="D940" s="36"/>
      <c r="E940" s="36"/>
      <c r="F940" s="142"/>
      <c r="G940" s="142"/>
      <c r="H940" s="142"/>
      <c r="I940" s="142"/>
      <c r="J940" s="142"/>
    </row>
    <row r="941" spans="1:10" x14ac:dyDescent="0.25">
      <c r="A941" s="28"/>
      <c r="B941" s="180"/>
      <c r="C941" s="35"/>
      <c r="D941" s="36"/>
      <c r="E941" s="36"/>
      <c r="F941" s="142"/>
      <c r="G941" s="142"/>
      <c r="H941" s="142"/>
      <c r="I941" s="142"/>
      <c r="J941" s="142"/>
    </row>
    <row r="942" spans="1:10" x14ac:dyDescent="0.25">
      <c r="A942" s="28"/>
      <c r="B942" s="180"/>
      <c r="C942" s="35"/>
      <c r="D942" s="36"/>
      <c r="E942" s="36"/>
      <c r="F942" s="142"/>
      <c r="G942" s="142"/>
      <c r="H942" s="142"/>
      <c r="I942" s="142"/>
      <c r="J942" s="142"/>
    </row>
    <row r="943" spans="1:10" x14ac:dyDescent="0.25">
      <c r="A943" s="28"/>
      <c r="B943" s="180"/>
      <c r="C943" s="35"/>
      <c r="D943" s="36"/>
      <c r="E943" s="36"/>
      <c r="F943" s="142"/>
      <c r="G943" s="142"/>
      <c r="H943" s="142"/>
      <c r="I943" s="142"/>
      <c r="J943" s="142"/>
    </row>
    <row r="944" spans="1:10" x14ac:dyDescent="0.25">
      <c r="A944" s="28"/>
      <c r="B944" s="180"/>
      <c r="C944" s="35"/>
      <c r="D944" s="36"/>
      <c r="E944" s="36"/>
      <c r="F944" s="142"/>
      <c r="G944" s="142"/>
      <c r="H944" s="142"/>
      <c r="I944" s="142"/>
      <c r="J944" s="142"/>
    </row>
    <row r="945" spans="1:10" x14ac:dyDescent="0.25">
      <c r="A945" s="28"/>
      <c r="B945" s="180"/>
      <c r="C945" s="35"/>
      <c r="D945" s="36"/>
      <c r="E945" s="36"/>
      <c r="F945" s="142"/>
      <c r="G945" s="142"/>
      <c r="H945" s="142"/>
      <c r="I945" s="142"/>
      <c r="J945" s="142"/>
    </row>
    <row r="946" spans="1:10" x14ac:dyDescent="0.25">
      <c r="A946" s="28"/>
      <c r="B946" s="180"/>
      <c r="C946" s="35"/>
      <c r="D946" s="36"/>
      <c r="E946" s="36"/>
      <c r="F946" s="142"/>
      <c r="G946" s="142"/>
      <c r="H946" s="142"/>
      <c r="I946" s="142"/>
      <c r="J946" s="142"/>
    </row>
    <row r="947" spans="1:10" x14ac:dyDescent="0.25">
      <c r="A947" s="28"/>
      <c r="B947" s="180"/>
      <c r="C947" s="35"/>
      <c r="D947" s="36"/>
      <c r="E947" s="36"/>
      <c r="F947" s="142"/>
      <c r="G947" s="142"/>
      <c r="H947" s="142"/>
      <c r="I947" s="142"/>
      <c r="J947" s="142"/>
    </row>
    <row r="948" spans="1:10" x14ac:dyDescent="0.25">
      <c r="A948" s="28"/>
      <c r="B948" s="180"/>
      <c r="C948" s="35"/>
      <c r="D948" s="36"/>
      <c r="E948" s="36"/>
      <c r="F948" s="142"/>
      <c r="G948" s="142"/>
      <c r="H948" s="142"/>
      <c r="I948" s="142"/>
      <c r="J948" s="142"/>
    </row>
    <row r="949" spans="1:10" x14ac:dyDescent="0.25">
      <c r="A949" s="28"/>
      <c r="B949" s="180"/>
      <c r="C949" s="35"/>
      <c r="D949" s="36"/>
      <c r="E949" s="36"/>
      <c r="F949" s="142"/>
      <c r="G949" s="142"/>
      <c r="H949" s="142"/>
      <c r="I949" s="142"/>
      <c r="J949" s="142"/>
    </row>
    <row r="950" spans="1:10" x14ac:dyDescent="0.25">
      <c r="A950" s="28"/>
      <c r="B950" s="180"/>
      <c r="C950" s="35"/>
      <c r="D950" s="36"/>
      <c r="E950" s="36"/>
      <c r="F950" s="142"/>
      <c r="G950" s="142"/>
      <c r="H950" s="142"/>
      <c r="I950" s="142"/>
      <c r="J950" s="142"/>
    </row>
    <row r="951" spans="1:10" x14ac:dyDescent="0.25">
      <c r="A951" s="28"/>
      <c r="B951" s="180"/>
      <c r="C951" s="35"/>
      <c r="D951" s="36"/>
      <c r="E951" s="36"/>
      <c r="F951" s="142"/>
      <c r="G951" s="142"/>
      <c r="H951" s="142"/>
      <c r="I951" s="142"/>
      <c r="J951" s="142"/>
    </row>
    <row r="952" spans="1:10" x14ac:dyDescent="0.25">
      <c r="A952" s="28"/>
      <c r="B952" s="180"/>
      <c r="C952" s="35"/>
      <c r="D952" s="36"/>
      <c r="E952" s="36"/>
      <c r="F952" s="142"/>
      <c r="G952" s="142"/>
      <c r="H952" s="142"/>
      <c r="I952" s="142"/>
      <c r="J952" s="142"/>
    </row>
    <row r="953" spans="1:10" x14ac:dyDescent="0.25">
      <c r="A953" s="28"/>
      <c r="B953" s="180"/>
      <c r="C953" s="35"/>
      <c r="D953" s="36"/>
      <c r="E953" s="36"/>
      <c r="F953" s="142"/>
      <c r="G953" s="142"/>
      <c r="H953" s="142"/>
      <c r="I953" s="142"/>
      <c r="J953" s="142"/>
    </row>
    <row r="954" spans="1:10" x14ac:dyDescent="0.25">
      <c r="A954" s="28"/>
      <c r="B954" s="180"/>
      <c r="C954" s="35"/>
      <c r="D954" s="36"/>
      <c r="E954" s="36"/>
      <c r="F954" s="142"/>
      <c r="G954" s="142"/>
      <c r="H954" s="142"/>
      <c r="I954" s="142"/>
      <c r="J954" s="142"/>
    </row>
    <row r="955" spans="1:10" x14ac:dyDescent="0.25">
      <c r="A955" s="28"/>
      <c r="B955" s="180"/>
      <c r="C955" s="35"/>
      <c r="D955" s="36"/>
      <c r="E955" s="36"/>
      <c r="F955" s="142"/>
      <c r="G955" s="142"/>
      <c r="H955" s="142"/>
      <c r="I955" s="142"/>
      <c r="J955" s="142"/>
    </row>
    <row r="956" spans="1:10" x14ac:dyDescent="0.25">
      <c r="A956" s="28"/>
      <c r="B956" s="180"/>
      <c r="C956" s="35"/>
      <c r="D956" s="36"/>
      <c r="E956" s="36"/>
      <c r="F956" s="142"/>
      <c r="G956" s="142"/>
      <c r="H956" s="142"/>
      <c r="I956" s="142"/>
      <c r="J956" s="142"/>
    </row>
    <row r="957" spans="1:10" x14ac:dyDescent="0.25">
      <c r="A957" s="28"/>
      <c r="B957" s="180"/>
      <c r="C957" s="35"/>
      <c r="D957" s="36"/>
      <c r="E957" s="36"/>
      <c r="F957" s="142"/>
      <c r="G957" s="142"/>
      <c r="H957" s="142"/>
      <c r="I957" s="142"/>
      <c r="J957" s="142"/>
    </row>
    <row r="958" spans="1:10" x14ac:dyDescent="0.25">
      <c r="A958" s="28"/>
      <c r="B958" s="180"/>
      <c r="C958" s="35"/>
      <c r="D958" s="36"/>
      <c r="E958" s="36"/>
      <c r="F958" s="142"/>
      <c r="G958" s="142"/>
      <c r="H958" s="142"/>
      <c r="I958" s="142"/>
      <c r="J958" s="142"/>
    </row>
    <row r="959" spans="1:10" x14ac:dyDescent="0.25">
      <c r="A959" s="28"/>
      <c r="B959" s="180"/>
      <c r="C959" s="35"/>
      <c r="D959" s="36"/>
      <c r="E959" s="36"/>
      <c r="F959" s="142"/>
      <c r="G959" s="142"/>
      <c r="H959" s="142"/>
      <c r="I959" s="142"/>
      <c r="J959" s="142"/>
    </row>
    <row r="960" spans="1:10" x14ac:dyDescent="0.25">
      <c r="A960" s="28"/>
      <c r="B960" s="180"/>
      <c r="C960" s="35"/>
      <c r="D960" s="36"/>
      <c r="E960" s="36"/>
      <c r="F960" s="142"/>
      <c r="G960" s="142"/>
      <c r="H960" s="142"/>
      <c r="I960" s="142"/>
      <c r="J960" s="142"/>
    </row>
    <row r="961" spans="1:10" x14ac:dyDescent="0.25">
      <c r="A961" s="28"/>
      <c r="B961" s="180"/>
      <c r="C961" s="35"/>
      <c r="D961" s="36"/>
      <c r="E961" s="36"/>
      <c r="F961" s="142"/>
      <c r="G961" s="142"/>
      <c r="H961" s="142"/>
      <c r="I961" s="142"/>
      <c r="J961" s="142"/>
    </row>
    <row r="962" spans="1:10" x14ac:dyDescent="0.25">
      <c r="A962" s="28"/>
      <c r="B962" s="180"/>
      <c r="C962" s="35"/>
      <c r="D962" s="36"/>
      <c r="E962" s="36"/>
      <c r="F962" s="142"/>
      <c r="G962" s="142"/>
      <c r="H962" s="142"/>
      <c r="I962" s="142"/>
      <c r="J962" s="142"/>
    </row>
    <row r="963" spans="1:10" x14ac:dyDescent="0.25">
      <c r="A963" s="28"/>
      <c r="B963" s="180"/>
      <c r="C963" s="35"/>
      <c r="D963" s="36"/>
      <c r="E963" s="36"/>
      <c r="F963" s="142"/>
      <c r="G963" s="142"/>
      <c r="H963" s="142"/>
      <c r="I963" s="142"/>
      <c r="J963" s="142"/>
    </row>
    <row r="964" spans="1:10" x14ac:dyDescent="0.25">
      <c r="A964" s="28"/>
      <c r="B964" s="180"/>
      <c r="C964" s="35"/>
      <c r="D964" s="36"/>
      <c r="E964" s="36"/>
      <c r="F964" s="142"/>
      <c r="G964" s="142"/>
      <c r="H964" s="142"/>
      <c r="I964" s="142"/>
      <c r="J964" s="142"/>
    </row>
    <row r="965" spans="1:10" x14ac:dyDescent="0.25">
      <c r="A965" s="28"/>
      <c r="B965" s="180"/>
      <c r="C965" s="35"/>
      <c r="D965" s="36"/>
      <c r="E965" s="36"/>
      <c r="F965" s="142"/>
      <c r="G965" s="142"/>
      <c r="H965" s="142"/>
      <c r="I965" s="142"/>
      <c r="J965" s="142"/>
    </row>
    <row r="966" spans="1:10" x14ac:dyDescent="0.25">
      <c r="A966" s="28"/>
      <c r="B966" s="180"/>
      <c r="C966" s="35"/>
      <c r="D966" s="36"/>
      <c r="E966" s="36"/>
      <c r="F966" s="142"/>
      <c r="G966" s="142"/>
      <c r="H966" s="142"/>
      <c r="I966" s="142"/>
      <c r="J966" s="142"/>
    </row>
    <row r="967" spans="1:10" x14ac:dyDescent="0.25">
      <c r="A967" s="28"/>
      <c r="B967" s="180"/>
      <c r="C967" s="35"/>
      <c r="D967" s="36"/>
      <c r="E967" s="36"/>
      <c r="F967" s="142"/>
      <c r="G967" s="142"/>
      <c r="H967" s="142"/>
      <c r="I967" s="142"/>
      <c r="J967" s="142"/>
    </row>
    <row r="968" spans="1:10" x14ac:dyDescent="0.25">
      <c r="A968" s="28"/>
      <c r="B968" s="180"/>
      <c r="C968" s="35"/>
      <c r="D968" s="36"/>
      <c r="E968" s="36"/>
      <c r="F968" s="142"/>
      <c r="G968" s="142"/>
      <c r="H968" s="142"/>
      <c r="I968" s="142"/>
      <c r="J968" s="142"/>
    </row>
    <row r="969" spans="1:10" x14ac:dyDescent="0.25">
      <c r="A969" s="28"/>
      <c r="B969" s="180"/>
      <c r="C969" s="35"/>
      <c r="D969" s="36"/>
      <c r="E969" s="36"/>
      <c r="F969" s="142"/>
      <c r="G969" s="142"/>
      <c r="H969" s="142"/>
      <c r="I969" s="142"/>
      <c r="J969" s="142"/>
    </row>
    <row r="970" spans="1:10" x14ac:dyDescent="0.25">
      <c r="A970" s="28"/>
      <c r="B970" s="180"/>
      <c r="C970" s="35"/>
      <c r="D970" s="36"/>
      <c r="E970" s="36"/>
      <c r="F970" s="142"/>
      <c r="G970" s="142"/>
      <c r="H970" s="142"/>
      <c r="I970" s="142"/>
      <c r="J970" s="142"/>
    </row>
    <row r="971" spans="1:10" x14ac:dyDescent="0.25">
      <c r="A971" s="28"/>
      <c r="B971" s="180"/>
      <c r="C971" s="35"/>
      <c r="D971" s="36"/>
      <c r="E971" s="36"/>
      <c r="F971" s="142"/>
      <c r="G971" s="142"/>
      <c r="H971" s="142"/>
      <c r="I971" s="142"/>
      <c r="J971" s="142"/>
    </row>
    <row r="972" spans="1:10" x14ac:dyDescent="0.25">
      <c r="A972" s="28"/>
      <c r="B972" s="180"/>
      <c r="C972" s="35"/>
      <c r="D972" s="36"/>
      <c r="E972" s="36"/>
      <c r="F972" s="142"/>
      <c r="G972" s="142"/>
      <c r="H972" s="142"/>
      <c r="I972" s="142"/>
      <c r="J972" s="142"/>
    </row>
    <row r="973" spans="1:10" x14ac:dyDescent="0.25">
      <c r="A973" s="28"/>
      <c r="B973" s="180"/>
      <c r="C973" s="35"/>
      <c r="D973" s="36"/>
      <c r="E973" s="36"/>
      <c r="F973" s="142"/>
      <c r="G973" s="142"/>
      <c r="H973" s="142"/>
      <c r="I973" s="142"/>
      <c r="J973" s="142"/>
    </row>
    <row r="974" spans="1:10" x14ac:dyDescent="0.25">
      <c r="A974" s="28"/>
      <c r="B974" s="180"/>
      <c r="C974" s="35"/>
      <c r="D974" s="36"/>
      <c r="E974" s="36"/>
      <c r="F974" s="142"/>
      <c r="G974" s="142"/>
      <c r="H974" s="142"/>
      <c r="I974" s="142"/>
      <c r="J974" s="142"/>
    </row>
    <row r="975" spans="1:10" x14ac:dyDescent="0.25">
      <c r="A975" s="28"/>
      <c r="B975" s="180"/>
      <c r="C975" s="35"/>
      <c r="D975" s="36"/>
      <c r="E975" s="36"/>
      <c r="F975" s="142"/>
      <c r="G975" s="142"/>
      <c r="H975" s="142"/>
      <c r="I975" s="142"/>
      <c r="J975" s="142"/>
    </row>
    <row r="976" spans="1:10" x14ac:dyDescent="0.25">
      <c r="A976" s="28"/>
      <c r="B976" s="180"/>
      <c r="C976" s="35"/>
      <c r="D976" s="36"/>
      <c r="E976" s="36"/>
      <c r="F976" s="142"/>
      <c r="G976" s="142"/>
      <c r="H976" s="142"/>
      <c r="I976" s="142"/>
      <c r="J976" s="142"/>
    </row>
    <row r="977" spans="1:10" x14ac:dyDescent="0.25">
      <c r="A977" s="28"/>
      <c r="B977" s="180"/>
      <c r="C977" s="35"/>
      <c r="D977" s="36"/>
      <c r="E977" s="36"/>
      <c r="F977" s="142"/>
      <c r="G977" s="142"/>
      <c r="H977" s="142"/>
      <c r="I977" s="142"/>
      <c r="J977" s="142"/>
    </row>
    <row r="978" spans="1:10" x14ac:dyDescent="0.25">
      <c r="A978" s="28"/>
      <c r="B978" s="180"/>
      <c r="C978" s="35"/>
      <c r="D978" s="36"/>
      <c r="E978" s="36"/>
      <c r="F978" s="142"/>
      <c r="G978" s="142"/>
      <c r="H978" s="142"/>
      <c r="I978" s="142"/>
      <c r="J978" s="142"/>
    </row>
    <row r="979" spans="1:10" x14ac:dyDescent="0.25">
      <c r="A979" s="28"/>
      <c r="B979" s="180"/>
      <c r="C979" s="35"/>
      <c r="D979" s="36"/>
      <c r="E979" s="36"/>
      <c r="F979" s="142"/>
      <c r="G979" s="142"/>
      <c r="H979" s="142"/>
      <c r="I979" s="142"/>
      <c r="J979" s="142"/>
    </row>
    <row r="980" spans="1:10" x14ac:dyDescent="0.25">
      <c r="A980" s="28"/>
      <c r="B980" s="180"/>
      <c r="C980" s="35"/>
      <c r="D980" s="36"/>
      <c r="E980" s="36"/>
      <c r="F980" s="142"/>
      <c r="G980" s="142"/>
      <c r="H980" s="142"/>
      <c r="I980" s="142"/>
      <c r="J980" s="142"/>
    </row>
    <row r="981" spans="1:10" x14ac:dyDescent="0.25">
      <c r="A981" s="28"/>
      <c r="B981" s="180"/>
      <c r="C981" s="35"/>
      <c r="D981" s="36"/>
      <c r="E981" s="36"/>
      <c r="F981" s="142"/>
      <c r="G981" s="142"/>
      <c r="H981" s="142"/>
      <c r="I981" s="142"/>
      <c r="J981" s="142"/>
    </row>
    <row r="982" spans="1:10" x14ac:dyDescent="0.25">
      <c r="A982" s="28"/>
      <c r="B982" s="180"/>
      <c r="C982" s="35"/>
      <c r="D982" s="36"/>
      <c r="E982" s="36"/>
      <c r="F982" s="142"/>
      <c r="G982" s="142"/>
      <c r="H982" s="142"/>
      <c r="I982" s="142"/>
      <c r="J982" s="142"/>
    </row>
    <row r="983" spans="1:10" x14ac:dyDescent="0.25">
      <c r="A983" s="28"/>
      <c r="B983" s="180"/>
      <c r="C983" s="35"/>
      <c r="D983" s="36"/>
      <c r="E983" s="36"/>
      <c r="F983" s="142"/>
      <c r="G983" s="142"/>
      <c r="H983" s="142"/>
      <c r="I983" s="142"/>
      <c r="J983" s="142"/>
    </row>
    <row r="984" spans="1:10" x14ac:dyDescent="0.25">
      <c r="A984" s="28"/>
      <c r="B984" s="180"/>
      <c r="C984" s="35"/>
      <c r="D984" s="36"/>
      <c r="E984" s="36"/>
      <c r="F984" s="142"/>
      <c r="G984" s="142"/>
      <c r="H984" s="142"/>
      <c r="I984" s="142"/>
      <c r="J984" s="142"/>
    </row>
    <row r="985" spans="1:10" x14ac:dyDescent="0.25">
      <c r="A985" s="28"/>
      <c r="B985" s="180"/>
      <c r="C985" s="35"/>
      <c r="D985" s="36"/>
      <c r="E985" s="36"/>
      <c r="F985" s="142"/>
      <c r="G985" s="142"/>
      <c r="H985" s="142"/>
      <c r="I985" s="142"/>
      <c r="J985" s="142"/>
    </row>
    <row r="986" spans="1:10" x14ac:dyDescent="0.25">
      <c r="A986" s="28"/>
      <c r="B986" s="180"/>
      <c r="C986" s="35"/>
      <c r="D986" s="36"/>
      <c r="E986" s="36"/>
      <c r="F986" s="142"/>
      <c r="G986" s="142"/>
      <c r="H986" s="142"/>
      <c r="I986" s="142"/>
      <c r="J986" s="142"/>
    </row>
    <row r="987" spans="1:10" x14ac:dyDescent="0.25">
      <c r="A987" s="28"/>
      <c r="B987" s="180"/>
      <c r="C987" s="35"/>
      <c r="D987" s="36"/>
      <c r="E987" s="36"/>
      <c r="F987" s="142"/>
      <c r="G987" s="142"/>
      <c r="H987" s="142"/>
      <c r="I987" s="142"/>
      <c r="J987" s="142"/>
    </row>
    <row r="988" spans="1:10" x14ac:dyDescent="0.25">
      <c r="A988" s="28"/>
      <c r="B988" s="180"/>
      <c r="C988" s="35"/>
      <c r="D988" s="36"/>
      <c r="E988" s="36"/>
      <c r="F988" s="142"/>
      <c r="G988" s="142"/>
      <c r="H988" s="142"/>
      <c r="I988" s="142"/>
      <c r="J988" s="142"/>
    </row>
    <row r="989" spans="1:10" x14ac:dyDescent="0.25">
      <c r="A989" s="28"/>
      <c r="B989" s="180"/>
      <c r="C989" s="35"/>
      <c r="D989" s="36"/>
      <c r="E989" s="36"/>
      <c r="F989" s="142"/>
      <c r="G989" s="142"/>
      <c r="H989" s="142"/>
      <c r="I989" s="142"/>
      <c r="J989" s="142"/>
    </row>
    <row r="990" spans="1:10" x14ac:dyDescent="0.25">
      <c r="A990" s="28"/>
      <c r="B990" s="180"/>
      <c r="C990" s="35"/>
      <c r="D990" s="36"/>
      <c r="E990" s="36"/>
      <c r="F990" s="142"/>
      <c r="G990" s="142"/>
      <c r="H990" s="142"/>
      <c r="I990" s="142"/>
      <c r="J990" s="142"/>
    </row>
    <row r="991" spans="1:10" x14ac:dyDescent="0.25">
      <c r="A991" s="28"/>
      <c r="B991" s="180"/>
      <c r="C991" s="35"/>
      <c r="D991" s="36"/>
      <c r="E991" s="36"/>
      <c r="F991" s="142"/>
      <c r="G991" s="142"/>
      <c r="H991" s="142"/>
      <c r="I991" s="142"/>
      <c r="J991" s="142"/>
    </row>
    <row r="992" spans="1:10" x14ac:dyDescent="0.25">
      <c r="A992" s="28"/>
      <c r="B992" s="180"/>
      <c r="C992" s="35"/>
      <c r="D992" s="36"/>
      <c r="E992" s="36"/>
      <c r="F992" s="142"/>
      <c r="G992" s="142"/>
      <c r="H992" s="142"/>
      <c r="I992" s="142"/>
      <c r="J992" s="142"/>
    </row>
    <row r="993" spans="1:10" x14ac:dyDescent="0.25">
      <c r="A993" s="28"/>
      <c r="B993" s="180"/>
      <c r="C993" s="35"/>
      <c r="D993" s="36"/>
      <c r="E993" s="36"/>
      <c r="F993" s="142"/>
      <c r="G993" s="142"/>
      <c r="H993" s="142"/>
      <c r="I993" s="142"/>
      <c r="J993" s="142"/>
    </row>
    <row r="994" spans="1:10" x14ac:dyDescent="0.25">
      <c r="A994" s="28"/>
      <c r="B994" s="180"/>
      <c r="C994" s="35"/>
      <c r="D994" s="36"/>
      <c r="E994" s="36"/>
      <c r="F994" s="142"/>
      <c r="G994" s="142"/>
      <c r="H994" s="142"/>
      <c r="I994" s="142"/>
      <c r="J994" s="142"/>
    </row>
    <row r="995" spans="1:10" x14ac:dyDescent="0.25">
      <c r="A995" s="28"/>
      <c r="B995" s="180"/>
      <c r="C995" s="35"/>
      <c r="D995" s="36"/>
      <c r="E995" s="36"/>
      <c r="F995" s="142"/>
      <c r="G995" s="142"/>
      <c r="H995" s="142"/>
      <c r="I995" s="142"/>
      <c r="J995" s="142"/>
    </row>
    <row r="996" spans="1:10" x14ac:dyDescent="0.25">
      <c r="A996" s="28"/>
      <c r="B996" s="180"/>
      <c r="C996" s="35"/>
      <c r="D996" s="36"/>
      <c r="E996" s="36"/>
      <c r="F996" s="142"/>
      <c r="G996" s="142"/>
      <c r="H996" s="142"/>
      <c r="I996" s="142"/>
      <c r="J996" s="142"/>
    </row>
    <row r="997" spans="1:10" x14ac:dyDescent="0.25">
      <c r="A997" s="28"/>
      <c r="B997" s="180"/>
      <c r="C997" s="35"/>
      <c r="D997" s="36"/>
      <c r="E997" s="36"/>
      <c r="F997" s="142"/>
      <c r="G997" s="142"/>
      <c r="H997" s="142"/>
      <c r="I997" s="142"/>
      <c r="J997" s="142"/>
    </row>
    <row r="998" spans="1:10" x14ac:dyDescent="0.25">
      <c r="A998" s="28"/>
      <c r="B998" s="180"/>
      <c r="C998" s="35"/>
      <c r="D998" s="36"/>
      <c r="E998" s="36"/>
      <c r="F998" s="142"/>
      <c r="G998" s="142"/>
      <c r="H998" s="142"/>
      <c r="I998" s="142"/>
      <c r="J998" s="142"/>
    </row>
    <row r="999" spans="1:10" x14ac:dyDescent="0.25">
      <c r="A999" s="28"/>
      <c r="B999" s="180"/>
      <c r="C999" s="35"/>
      <c r="D999" s="36"/>
      <c r="E999" s="36"/>
      <c r="F999" s="142"/>
      <c r="G999" s="142"/>
      <c r="H999" s="142"/>
      <c r="I999" s="142"/>
      <c r="J999" s="142"/>
    </row>
    <row r="1000" spans="1:10" x14ac:dyDescent="0.25">
      <c r="A1000" s="28"/>
      <c r="B1000" s="180"/>
      <c r="C1000" s="35"/>
      <c r="D1000" s="36"/>
      <c r="E1000" s="36"/>
      <c r="F1000" s="142"/>
      <c r="G1000" s="142"/>
      <c r="H1000" s="142"/>
      <c r="I1000" s="142"/>
      <c r="J1000" s="142"/>
    </row>
    <row r="1001" spans="1:10" x14ac:dyDescent="0.25">
      <c r="A1001" s="28"/>
      <c r="B1001" s="180"/>
      <c r="C1001" s="35"/>
      <c r="D1001" s="36"/>
      <c r="E1001" s="36"/>
      <c r="F1001" s="142"/>
      <c r="G1001" s="142"/>
      <c r="H1001" s="142"/>
      <c r="I1001" s="142"/>
      <c r="J1001" s="142"/>
    </row>
    <row r="1002" spans="1:10" x14ac:dyDescent="0.25">
      <c r="A1002" s="28"/>
      <c r="B1002" s="180"/>
      <c r="C1002" s="35"/>
      <c r="D1002" s="36"/>
      <c r="E1002" s="36"/>
      <c r="F1002" s="142"/>
      <c r="G1002" s="142"/>
      <c r="H1002" s="142"/>
      <c r="I1002" s="142"/>
      <c r="J1002" s="142"/>
    </row>
    <row r="1003" spans="1:10" x14ac:dyDescent="0.25">
      <c r="A1003" s="28"/>
      <c r="B1003" s="180"/>
      <c r="C1003" s="35"/>
      <c r="D1003" s="36"/>
      <c r="E1003" s="36"/>
      <c r="F1003" s="142"/>
      <c r="G1003" s="142"/>
      <c r="H1003" s="142"/>
      <c r="I1003" s="142"/>
      <c r="J1003" s="142"/>
    </row>
    <row r="1004" spans="1:10" x14ac:dyDescent="0.25">
      <c r="A1004" s="28"/>
      <c r="B1004" s="180"/>
      <c r="C1004" s="35"/>
      <c r="D1004" s="36"/>
      <c r="E1004" s="36"/>
      <c r="F1004" s="142"/>
      <c r="G1004" s="142"/>
      <c r="H1004" s="142"/>
      <c r="I1004" s="142"/>
      <c r="J1004" s="142"/>
    </row>
    <row r="1005" spans="1:10" x14ac:dyDescent="0.25">
      <c r="A1005" s="28"/>
      <c r="B1005" s="180"/>
      <c r="C1005" s="35"/>
      <c r="D1005" s="36"/>
      <c r="E1005" s="36"/>
      <c r="F1005" s="142"/>
      <c r="G1005" s="142"/>
      <c r="H1005" s="142"/>
      <c r="I1005" s="142"/>
      <c r="J1005" s="142"/>
    </row>
    <row r="1006" spans="1:10" x14ac:dyDescent="0.25">
      <c r="A1006" s="28"/>
      <c r="B1006" s="180"/>
      <c r="C1006" s="35"/>
      <c r="D1006" s="36"/>
      <c r="E1006" s="36"/>
      <c r="F1006" s="142"/>
      <c r="G1006" s="142"/>
      <c r="H1006" s="142"/>
      <c r="I1006" s="142"/>
      <c r="J1006" s="142"/>
    </row>
    <row r="1007" spans="1:10" x14ac:dyDescent="0.25">
      <c r="A1007" s="28"/>
      <c r="B1007" s="180"/>
      <c r="C1007" s="35"/>
      <c r="D1007" s="36"/>
      <c r="E1007" s="36"/>
      <c r="F1007" s="142"/>
      <c r="G1007" s="142"/>
      <c r="H1007" s="142"/>
      <c r="I1007" s="142"/>
      <c r="J1007" s="142"/>
    </row>
    <row r="1008" spans="1:10" x14ac:dyDescent="0.25">
      <c r="A1008" s="28"/>
      <c r="B1008" s="180"/>
      <c r="C1008" s="35"/>
      <c r="D1008" s="36"/>
      <c r="E1008" s="36"/>
      <c r="F1008" s="142"/>
      <c r="G1008" s="142"/>
      <c r="H1008" s="142"/>
      <c r="I1008" s="142"/>
      <c r="J1008" s="142"/>
    </row>
    <row r="1009" spans="1:10" x14ac:dyDescent="0.25">
      <c r="A1009" s="28"/>
      <c r="B1009" s="180"/>
      <c r="C1009" s="35"/>
      <c r="D1009" s="36"/>
      <c r="E1009" s="36"/>
      <c r="F1009" s="142"/>
      <c r="G1009" s="142"/>
      <c r="H1009" s="142"/>
      <c r="I1009" s="142"/>
      <c r="J1009" s="142"/>
    </row>
    <row r="1010" spans="1:10" x14ac:dyDescent="0.25">
      <c r="A1010" s="28"/>
      <c r="B1010" s="180"/>
      <c r="C1010" s="35"/>
      <c r="D1010" s="36"/>
      <c r="E1010" s="36"/>
      <c r="F1010" s="142"/>
      <c r="G1010" s="142"/>
      <c r="H1010" s="142"/>
      <c r="I1010" s="142"/>
      <c r="J1010" s="142"/>
    </row>
    <row r="1011" spans="1:10" x14ac:dyDescent="0.25">
      <c r="A1011" s="28"/>
      <c r="B1011" s="180"/>
      <c r="C1011" s="35"/>
      <c r="D1011" s="36"/>
      <c r="E1011" s="36"/>
      <c r="F1011" s="142"/>
      <c r="G1011" s="142"/>
      <c r="H1011" s="142"/>
      <c r="I1011" s="142"/>
      <c r="J1011" s="142"/>
    </row>
    <row r="1012" spans="1:10" x14ac:dyDescent="0.25">
      <c r="A1012" s="28"/>
      <c r="B1012" s="180"/>
      <c r="C1012" s="35"/>
      <c r="D1012" s="36"/>
      <c r="E1012" s="36"/>
      <c r="F1012" s="142"/>
      <c r="G1012" s="142"/>
      <c r="H1012" s="142"/>
      <c r="I1012" s="142"/>
      <c r="J1012" s="142"/>
    </row>
    <row r="1013" spans="1:10" x14ac:dyDescent="0.25">
      <c r="A1013" s="28"/>
      <c r="B1013" s="180"/>
      <c r="C1013" s="35"/>
      <c r="D1013" s="36"/>
      <c r="E1013" s="36"/>
      <c r="F1013" s="142"/>
      <c r="G1013" s="142"/>
      <c r="H1013" s="142"/>
      <c r="I1013" s="142"/>
      <c r="J1013" s="142"/>
    </row>
    <row r="1014" spans="1:10" x14ac:dyDescent="0.25">
      <c r="A1014" s="28"/>
      <c r="B1014" s="180"/>
      <c r="C1014" s="35"/>
      <c r="D1014" s="36"/>
      <c r="E1014" s="36"/>
      <c r="F1014" s="142"/>
      <c r="G1014" s="142"/>
      <c r="H1014" s="142"/>
      <c r="I1014" s="142"/>
      <c r="J1014" s="142"/>
    </row>
    <row r="1015" spans="1:10" x14ac:dyDescent="0.25">
      <c r="A1015" s="28"/>
      <c r="B1015" s="180"/>
      <c r="C1015" s="35"/>
      <c r="D1015" s="36"/>
      <c r="E1015" s="36"/>
      <c r="F1015" s="142"/>
      <c r="G1015" s="142"/>
      <c r="H1015" s="142"/>
      <c r="I1015" s="142"/>
      <c r="J1015" s="142"/>
    </row>
    <row r="1016" spans="1:10" x14ac:dyDescent="0.25">
      <c r="A1016" s="28"/>
      <c r="B1016" s="180"/>
      <c r="C1016" s="35"/>
      <c r="D1016" s="36"/>
      <c r="E1016" s="36"/>
      <c r="F1016" s="142"/>
      <c r="G1016" s="142"/>
      <c r="H1016" s="142"/>
      <c r="I1016" s="142"/>
      <c r="J1016" s="142"/>
    </row>
    <row r="1017" spans="1:10" x14ac:dyDescent="0.25">
      <c r="A1017" s="28"/>
      <c r="B1017" s="180"/>
      <c r="C1017" s="35"/>
      <c r="D1017" s="36"/>
      <c r="E1017" s="36"/>
      <c r="F1017" s="142"/>
      <c r="G1017" s="142"/>
      <c r="H1017" s="142"/>
      <c r="I1017" s="142"/>
      <c r="J1017" s="142"/>
    </row>
    <row r="1018" spans="1:10" x14ac:dyDescent="0.25">
      <c r="A1018" s="28"/>
      <c r="B1018" s="180"/>
      <c r="C1018" s="35"/>
      <c r="D1018" s="36"/>
      <c r="E1018" s="36"/>
      <c r="F1018" s="142"/>
      <c r="G1018" s="142"/>
      <c r="H1018" s="142"/>
      <c r="I1018" s="142"/>
      <c r="J1018" s="142"/>
    </row>
    <row r="1019" spans="1:10" x14ac:dyDescent="0.25">
      <c r="A1019" s="28"/>
      <c r="B1019" s="180"/>
      <c r="C1019" s="35"/>
      <c r="D1019" s="36"/>
      <c r="E1019" s="36"/>
      <c r="F1019" s="142"/>
      <c r="G1019" s="142"/>
      <c r="H1019" s="142"/>
      <c r="I1019" s="142"/>
      <c r="J1019" s="142"/>
    </row>
    <row r="1020" spans="1:10" x14ac:dyDescent="0.25">
      <c r="A1020" s="28"/>
      <c r="B1020" s="180"/>
      <c r="C1020" s="35"/>
      <c r="D1020" s="36"/>
      <c r="E1020" s="36"/>
      <c r="F1020" s="142"/>
      <c r="G1020" s="142"/>
      <c r="H1020" s="142"/>
      <c r="I1020" s="142"/>
      <c r="J1020" s="142"/>
    </row>
    <row r="1021" spans="1:10" x14ac:dyDescent="0.25">
      <c r="A1021" s="28"/>
      <c r="B1021" s="180"/>
      <c r="C1021" s="35"/>
      <c r="D1021" s="36"/>
      <c r="E1021" s="36"/>
      <c r="F1021" s="142"/>
      <c r="G1021" s="142"/>
      <c r="H1021" s="142"/>
      <c r="I1021" s="142"/>
      <c r="J1021" s="142"/>
    </row>
    <row r="1022" spans="1:10" x14ac:dyDescent="0.25">
      <c r="A1022" s="28"/>
      <c r="B1022" s="180"/>
      <c r="C1022" s="35"/>
      <c r="D1022" s="36"/>
      <c r="E1022" s="36"/>
      <c r="F1022" s="142"/>
      <c r="G1022" s="142"/>
      <c r="H1022" s="142"/>
      <c r="I1022" s="142"/>
      <c r="J1022" s="142"/>
    </row>
    <row r="1023" spans="1:10" x14ac:dyDescent="0.25">
      <c r="A1023" s="28"/>
      <c r="B1023" s="180"/>
      <c r="C1023" s="35"/>
      <c r="D1023" s="36"/>
      <c r="E1023" s="36"/>
      <c r="F1023" s="142"/>
      <c r="G1023" s="142"/>
      <c r="H1023" s="142"/>
      <c r="I1023" s="142"/>
      <c r="J1023" s="142"/>
    </row>
    <row r="1024" spans="1:10" x14ac:dyDescent="0.25">
      <c r="A1024" s="28"/>
      <c r="B1024" s="180"/>
      <c r="C1024" s="35"/>
      <c r="D1024" s="36"/>
      <c r="E1024" s="36"/>
      <c r="F1024" s="142"/>
      <c r="G1024" s="142"/>
      <c r="H1024" s="142"/>
      <c r="I1024" s="142"/>
      <c r="J1024" s="142"/>
    </row>
    <row r="1025" spans="1:10" x14ac:dyDescent="0.25">
      <c r="A1025" s="28"/>
      <c r="B1025" s="180"/>
      <c r="C1025" s="35"/>
      <c r="D1025" s="36"/>
      <c r="E1025" s="36"/>
      <c r="F1025" s="142"/>
      <c r="G1025" s="142"/>
      <c r="H1025" s="142"/>
      <c r="I1025" s="142"/>
      <c r="J1025" s="142"/>
    </row>
    <row r="1026" spans="1:10" x14ac:dyDescent="0.25">
      <c r="A1026" s="28"/>
      <c r="B1026" s="180"/>
      <c r="C1026" s="35"/>
      <c r="D1026" s="36"/>
      <c r="E1026" s="36"/>
      <c r="F1026" s="142"/>
      <c r="G1026" s="142"/>
      <c r="H1026" s="142"/>
      <c r="I1026" s="142"/>
      <c r="J1026" s="142"/>
    </row>
    <row r="1027" spans="1:10" x14ac:dyDescent="0.25">
      <c r="A1027" s="28"/>
      <c r="B1027" s="180"/>
      <c r="C1027" s="35"/>
      <c r="D1027" s="36"/>
      <c r="E1027" s="36"/>
      <c r="F1027" s="142"/>
      <c r="G1027" s="142"/>
      <c r="H1027" s="142"/>
      <c r="I1027" s="142"/>
      <c r="J1027" s="142"/>
    </row>
    <row r="1028" spans="1:10" x14ac:dyDescent="0.25">
      <c r="A1028" s="28"/>
      <c r="B1028" s="180"/>
      <c r="C1028" s="35"/>
      <c r="D1028" s="36"/>
      <c r="E1028" s="36"/>
      <c r="F1028" s="142"/>
      <c r="G1028" s="142"/>
      <c r="H1028" s="142"/>
      <c r="I1028" s="142"/>
      <c r="J1028" s="142"/>
    </row>
    <row r="1029" spans="1:10" x14ac:dyDescent="0.25">
      <c r="A1029" s="28"/>
      <c r="B1029" s="180"/>
      <c r="C1029" s="35"/>
      <c r="D1029" s="36"/>
      <c r="E1029" s="36"/>
      <c r="F1029" s="142"/>
      <c r="G1029" s="142"/>
      <c r="H1029" s="142"/>
      <c r="I1029" s="142"/>
      <c r="J1029" s="142"/>
    </row>
    <row r="1030" spans="1:10" x14ac:dyDescent="0.25">
      <c r="A1030" s="28"/>
      <c r="B1030" s="180"/>
      <c r="C1030" s="35"/>
      <c r="D1030" s="36"/>
      <c r="E1030" s="36"/>
      <c r="F1030" s="142"/>
      <c r="G1030" s="142"/>
      <c r="H1030" s="142"/>
      <c r="I1030" s="142"/>
      <c r="J1030" s="142"/>
    </row>
    <row r="1031" spans="1:10" x14ac:dyDescent="0.25">
      <c r="A1031" s="28"/>
      <c r="B1031" s="180"/>
      <c r="C1031" s="35"/>
      <c r="D1031" s="36"/>
      <c r="E1031" s="36"/>
      <c r="F1031" s="142"/>
      <c r="G1031" s="142"/>
      <c r="H1031" s="142"/>
      <c r="I1031" s="142"/>
      <c r="J1031" s="142"/>
    </row>
    <row r="1032" spans="1:10" x14ac:dyDescent="0.25">
      <c r="A1032" s="28"/>
      <c r="B1032" s="180"/>
      <c r="C1032" s="35"/>
      <c r="D1032" s="36"/>
      <c r="E1032" s="36"/>
      <c r="F1032" s="142"/>
      <c r="G1032" s="142"/>
      <c r="H1032" s="142"/>
      <c r="I1032" s="142"/>
      <c r="J1032" s="142"/>
    </row>
    <row r="1033" spans="1:10" x14ac:dyDescent="0.25">
      <c r="A1033" s="28"/>
      <c r="B1033" s="180"/>
      <c r="C1033" s="35"/>
      <c r="D1033" s="36"/>
      <c r="E1033" s="36"/>
      <c r="F1033" s="142"/>
      <c r="G1033" s="142"/>
      <c r="H1033" s="142"/>
      <c r="I1033" s="142"/>
      <c r="J1033" s="142"/>
    </row>
    <row r="1034" spans="1:10" x14ac:dyDescent="0.25">
      <c r="A1034" s="28"/>
      <c r="B1034" s="180"/>
      <c r="C1034" s="35"/>
      <c r="D1034" s="36"/>
      <c r="E1034" s="36"/>
      <c r="F1034" s="142"/>
      <c r="G1034" s="142"/>
      <c r="H1034" s="142"/>
      <c r="I1034" s="142"/>
      <c r="J1034" s="142"/>
    </row>
    <row r="1035" spans="1:10" x14ac:dyDescent="0.25">
      <c r="A1035" s="28"/>
      <c r="B1035" s="180"/>
      <c r="C1035" s="35"/>
      <c r="D1035" s="36"/>
      <c r="E1035" s="36"/>
      <c r="F1035" s="142"/>
      <c r="G1035" s="142"/>
      <c r="H1035" s="142"/>
      <c r="I1035" s="142"/>
      <c r="J1035" s="142"/>
    </row>
    <row r="1036" spans="1:10" x14ac:dyDescent="0.25">
      <c r="A1036" s="28"/>
      <c r="B1036" s="180"/>
      <c r="C1036" s="35"/>
      <c r="D1036" s="36"/>
      <c r="E1036" s="36"/>
      <c r="F1036" s="142"/>
      <c r="G1036" s="142"/>
      <c r="H1036" s="142"/>
      <c r="I1036" s="142"/>
      <c r="J1036" s="142"/>
    </row>
    <row r="1037" spans="1:10" x14ac:dyDescent="0.25">
      <c r="A1037" s="28"/>
      <c r="B1037" s="180"/>
      <c r="C1037" s="35"/>
      <c r="D1037" s="36"/>
      <c r="E1037" s="36"/>
      <c r="F1037" s="142"/>
      <c r="G1037" s="142"/>
      <c r="H1037" s="142"/>
      <c r="I1037" s="142"/>
      <c r="J1037" s="142"/>
    </row>
    <row r="1038" spans="1:10" x14ac:dyDescent="0.25">
      <c r="A1038" s="28"/>
      <c r="B1038" s="180"/>
      <c r="C1038" s="35"/>
      <c r="D1038" s="36"/>
      <c r="E1038" s="36"/>
      <c r="F1038" s="142"/>
      <c r="G1038" s="142"/>
      <c r="H1038" s="142"/>
      <c r="I1038" s="142"/>
      <c r="J1038" s="142"/>
    </row>
    <row r="1039" spans="1:10" x14ac:dyDescent="0.25">
      <c r="A1039" s="28"/>
      <c r="B1039" s="180"/>
      <c r="C1039" s="35"/>
      <c r="D1039" s="36"/>
      <c r="E1039" s="36"/>
      <c r="F1039" s="142"/>
      <c r="G1039" s="142"/>
      <c r="H1039" s="142"/>
      <c r="I1039" s="142"/>
      <c r="J1039" s="142"/>
    </row>
    <row r="1040" spans="1:10" x14ac:dyDescent="0.25">
      <c r="A1040" s="28"/>
      <c r="B1040" s="180"/>
      <c r="C1040" s="35"/>
      <c r="D1040" s="36"/>
      <c r="E1040" s="36"/>
      <c r="F1040" s="142"/>
      <c r="G1040" s="142"/>
      <c r="H1040" s="142"/>
      <c r="I1040" s="142"/>
      <c r="J1040" s="142"/>
    </row>
    <row r="1041" spans="1:10" x14ac:dyDescent="0.25">
      <c r="A1041" s="28"/>
      <c r="B1041" s="180"/>
      <c r="C1041" s="35"/>
      <c r="D1041" s="36"/>
      <c r="E1041" s="36"/>
      <c r="F1041" s="142"/>
      <c r="G1041" s="142"/>
      <c r="H1041" s="142"/>
      <c r="I1041" s="142"/>
      <c r="J1041" s="142"/>
    </row>
    <row r="1042" spans="1:10" x14ac:dyDescent="0.25">
      <c r="A1042" s="28"/>
      <c r="B1042" s="180"/>
      <c r="C1042" s="35"/>
      <c r="D1042" s="36"/>
      <c r="E1042" s="36"/>
      <c r="F1042" s="142"/>
      <c r="G1042" s="142"/>
      <c r="H1042" s="142"/>
      <c r="I1042" s="142"/>
      <c r="J1042" s="142"/>
    </row>
    <row r="1043" spans="1:10" x14ac:dyDescent="0.25">
      <c r="A1043" s="28"/>
      <c r="B1043" s="180"/>
      <c r="C1043" s="35"/>
      <c r="D1043" s="36"/>
      <c r="E1043" s="36"/>
      <c r="F1043" s="142"/>
      <c r="G1043" s="142"/>
      <c r="H1043" s="142"/>
      <c r="I1043" s="142"/>
      <c r="J1043" s="142"/>
    </row>
    <row r="1044" spans="1:10" x14ac:dyDescent="0.25">
      <c r="A1044" s="28"/>
      <c r="B1044" s="180"/>
      <c r="C1044" s="35"/>
      <c r="D1044" s="36"/>
      <c r="E1044" s="36"/>
      <c r="F1044" s="142"/>
      <c r="G1044" s="142"/>
      <c r="H1044" s="142"/>
      <c r="I1044" s="142"/>
      <c r="J1044" s="142"/>
    </row>
    <row r="1045" spans="1:10" x14ac:dyDescent="0.25">
      <c r="A1045" s="28"/>
      <c r="B1045" s="180"/>
      <c r="C1045" s="35"/>
      <c r="D1045" s="36"/>
      <c r="E1045" s="36"/>
      <c r="F1045" s="142"/>
      <c r="G1045" s="142"/>
      <c r="H1045" s="142"/>
      <c r="I1045" s="142"/>
      <c r="J1045" s="142"/>
    </row>
    <row r="1046" spans="1:10" x14ac:dyDescent="0.25">
      <c r="A1046" s="28"/>
      <c r="B1046" s="180"/>
      <c r="C1046" s="35"/>
      <c r="D1046" s="36"/>
      <c r="E1046" s="36"/>
      <c r="F1046" s="142"/>
      <c r="G1046" s="142"/>
      <c r="H1046" s="142"/>
      <c r="I1046" s="142"/>
      <c r="J1046" s="142"/>
    </row>
    <row r="1047" spans="1:10" x14ac:dyDescent="0.25">
      <c r="A1047" s="28"/>
      <c r="B1047" s="180"/>
      <c r="C1047" s="35"/>
      <c r="D1047" s="36"/>
      <c r="E1047" s="36"/>
      <c r="F1047" s="142"/>
      <c r="G1047" s="142"/>
      <c r="H1047" s="142"/>
      <c r="I1047" s="142"/>
      <c r="J1047" s="142"/>
    </row>
    <row r="1048" spans="1:10" x14ac:dyDescent="0.25">
      <c r="A1048" s="28"/>
      <c r="B1048" s="180"/>
      <c r="C1048" s="35"/>
      <c r="D1048" s="36"/>
      <c r="E1048" s="36"/>
      <c r="F1048" s="142"/>
      <c r="G1048" s="142"/>
      <c r="H1048" s="142"/>
      <c r="I1048" s="142"/>
      <c r="J1048" s="142"/>
    </row>
    <row r="1049" spans="1:10" x14ac:dyDescent="0.25">
      <c r="A1049" s="28"/>
      <c r="B1049" s="180"/>
      <c r="C1049" s="35"/>
      <c r="D1049" s="36"/>
      <c r="E1049" s="36"/>
      <c r="F1049" s="142"/>
      <c r="G1049" s="142"/>
      <c r="H1049" s="142"/>
      <c r="I1049" s="142"/>
      <c r="J1049" s="142"/>
    </row>
    <row r="1050" spans="1:10" x14ac:dyDescent="0.25">
      <c r="A1050" s="28"/>
      <c r="B1050" s="180"/>
      <c r="C1050" s="35"/>
      <c r="D1050" s="36"/>
      <c r="E1050" s="36"/>
      <c r="F1050" s="142"/>
      <c r="G1050" s="142"/>
      <c r="H1050" s="142"/>
      <c r="I1050" s="142"/>
      <c r="J1050" s="142"/>
    </row>
    <row r="1051" spans="1:10" x14ac:dyDescent="0.25">
      <c r="A1051" s="28"/>
      <c r="B1051" s="180"/>
      <c r="C1051" s="35"/>
      <c r="D1051" s="36"/>
      <c r="E1051" s="36"/>
      <c r="F1051" s="142"/>
      <c r="G1051" s="142"/>
      <c r="H1051" s="142"/>
      <c r="I1051" s="142"/>
      <c r="J1051" s="142"/>
    </row>
    <row r="1052" spans="1:10" x14ac:dyDescent="0.25">
      <c r="A1052" s="28"/>
      <c r="B1052" s="180"/>
      <c r="C1052" s="35"/>
      <c r="D1052" s="36"/>
      <c r="E1052" s="36"/>
      <c r="F1052" s="142"/>
      <c r="G1052" s="142"/>
      <c r="H1052" s="142"/>
      <c r="I1052" s="142"/>
      <c r="J1052" s="142"/>
    </row>
    <row r="1053" spans="1:10" x14ac:dyDescent="0.25">
      <c r="A1053" s="28"/>
      <c r="B1053" s="180"/>
      <c r="C1053" s="35"/>
      <c r="D1053" s="36"/>
      <c r="E1053" s="36"/>
      <c r="F1053" s="142"/>
      <c r="G1053" s="142"/>
      <c r="H1053" s="142"/>
      <c r="I1053" s="142"/>
      <c r="J1053" s="142"/>
    </row>
    <row r="1054" spans="1:10" x14ac:dyDescent="0.25">
      <c r="A1054" s="28"/>
      <c r="B1054" s="180"/>
      <c r="C1054" s="35"/>
      <c r="D1054" s="36"/>
      <c r="E1054" s="36"/>
      <c r="F1054" s="142"/>
      <c r="G1054" s="142"/>
      <c r="H1054" s="142"/>
      <c r="I1054" s="142"/>
      <c r="J1054" s="142"/>
    </row>
    <row r="1055" spans="1:10" x14ac:dyDescent="0.25">
      <c r="A1055" s="28"/>
      <c r="B1055" s="180"/>
      <c r="C1055" s="35"/>
      <c r="D1055" s="36"/>
      <c r="E1055" s="36"/>
      <c r="F1055" s="142"/>
      <c r="G1055" s="142"/>
      <c r="H1055" s="142"/>
      <c r="I1055" s="142"/>
      <c r="J1055" s="142"/>
    </row>
    <row r="1056" spans="1:10" x14ac:dyDescent="0.25">
      <c r="A1056" s="28"/>
      <c r="B1056" s="180"/>
      <c r="C1056" s="35"/>
      <c r="D1056" s="36"/>
      <c r="E1056" s="36"/>
      <c r="F1056" s="142"/>
      <c r="G1056" s="142"/>
      <c r="H1056" s="142"/>
      <c r="I1056" s="142"/>
      <c r="J1056" s="142"/>
    </row>
    <row r="1057" spans="1:10" x14ac:dyDescent="0.25">
      <c r="A1057" s="28"/>
      <c r="B1057" s="180"/>
      <c r="C1057" s="35"/>
      <c r="D1057" s="36"/>
      <c r="E1057" s="36"/>
      <c r="F1057" s="142"/>
      <c r="G1057" s="142"/>
      <c r="H1057" s="142"/>
      <c r="I1057" s="142"/>
      <c r="J1057" s="142"/>
    </row>
    <row r="1058" spans="1:10" x14ac:dyDescent="0.25">
      <c r="A1058" s="28"/>
      <c r="B1058" s="180"/>
      <c r="C1058" s="35"/>
      <c r="D1058" s="36"/>
      <c r="E1058" s="36"/>
      <c r="F1058" s="142"/>
      <c r="G1058" s="142"/>
      <c r="H1058" s="142"/>
      <c r="I1058" s="142"/>
      <c r="J1058" s="142"/>
    </row>
    <row r="1059" spans="1:10" x14ac:dyDescent="0.25">
      <c r="A1059" s="28"/>
      <c r="B1059" s="180"/>
      <c r="C1059" s="35"/>
      <c r="D1059" s="36"/>
      <c r="E1059" s="36"/>
      <c r="F1059" s="142"/>
      <c r="G1059" s="142"/>
      <c r="H1059" s="142"/>
      <c r="I1059" s="142"/>
      <c r="J1059" s="142"/>
    </row>
    <row r="1060" spans="1:10" x14ac:dyDescent="0.25">
      <c r="A1060" s="28"/>
      <c r="B1060" s="180"/>
      <c r="C1060" s="35"/>
      <c r="D1060" s="36"/>
      <c r="E1060" s="36"/>
      <c r="F1060" s="142"/>
      <c r="G1060" s="142"/>
      <c r="H1060" s="142"/>
      <c r="I1060" s="142"/>
      <c r="J1060" s="142"/>
    </row>
    <row r="1061" spans="1:10" x14ac:dyDescent="0.25">
      <c r="A1061" s="28"/>
      <c r="B1061" s="180"/>
      <c r="C1061" s="35"/>
      <c r="D1061" s="36"/>
      <c r="E1061" s="36"/>
      <c r="F1061" s="142"/>
      <c r="G1061" s="142"/>
      <c r="H1061" s="142"/>
      <c r="I1061" s="142"/>
      <c r="J1061" s="142"/>
    </row>
    <row r="1062" spans="1:10" x14ac:dyDescent="0.25">
      <c r="A1062" s="28"/>
      <c r="B1062" s="180"/>
      <c r="C1062" s="35"/>
      <c r="D1062" s="36"/>
      <c r="E1062" s="36"/>
      <c r="F1062" s="142"/>
      <c r="G1062" s="142"/>
      <c r="H1062" s="142"/>
      <c r="I1062" s="142"/>
      <c r="J1062" s="142"/>
    </row>
    <row r="1063" spans="1:10" x14ac:dyDescent="0.25">
      <c r="A1063" s="28"/>
      <c r="B1063" s="180"/>
      <c r="C1063" s="35"/>
      <c r="D1063" s="36"/>
      <c r="E1063" s="36"/>
      <c r="F1063" s="142"/>
      <c r="G1063" s="142"/>
      <c r="H1063" s="142"/>
      <c r="I1063" s="142"/>
      <c r="J1063" s="142"/>
    </row>
    <row r="1064" spans="1:10" x14ac:dyDescent="0.25">
      <c r="A1064" s="28"/>
      <c r="B1064" s="180"/>
      <c r="C1064" s="35"/>
      <c r="D1064" s="36"/>
      <c r="E1064" s="36"/>
      <c r="F1064" s="142"/>
      <c r="G1064" s="142"/>
      <c r="H1064" s="142"/>
      <c r="I1064" s="142"/>
      <c r="J1064" s="142"/>
    </row>
    <row r="1065" spans="1:10" x14ac:dyDescent="0.25">
      <c r="A1065" s="28"/>
      <c r="B1065" s="180"/>
      <c r="C1065" s="35"/>
      <c r="D1065" s="36"/>
      <c r="E1065" s="36"/>
      <c r="F1065" s="142"/>
      <c r="G1065" s="142"/>
      <c r="H1065" s="142"/>
      <c r="I1065" s="142"/>
      <c r="J1065" s="142"/>
    </row>
    <row r="1066" spans="1:10" x14ac:dyDescent="0.25">
      <c r="A1066" s="28"/>
      <c r="B1066" s="180"/>
      <c r="C1066" s="35"/>
      <c r="D1066" s="36"/>
      <c r="E1066" s="36"/>
      <c r="F1066" s="142"/>
      <c r="G1066" s="142"/>
      <c r="H1066" s="142"/>
      <c r="I1066" s="142"/>
      <c r="J1066" s="142"/>
    </row>
    <row r="1067" spans="1:10" x14ac:dyDescent="0.25">
      <c r="A1067" s="28"/>
      <c r="B1067" s="180"/>
      <c r="C1067" s="35"/>
      <c r="D1067" s="36"/>
      <c r="E1067" s="36"/>
      <c r="F1067" s="142"/>
      <c r="G1067" s="142"/>
      <c r="H1067" s="142"/>
      <c r="I1067" s="142"/>
      <c r="J1067" s="142"/>
    </row>
    <row r="1068" spans="1:10" x14ac:dyDescent="0.25">
      <c r="A1068" s="28"/>
      <c r="B1068" s="180"/>
      <c r="C1068" s="35"/>
      <c r="D1068" s="36"/>
      <c r="E1068" s="36"/>
      <c r="F1068" s="142"/>
      <c r="G1068" s="142"/>
      <c r="H1068" s="142"/>
      <c r="I1068" s="142"/>
      <c r="J1068" s="142"/>
    </row>
    <row r="1069" spans="1:10" x14ac:dyDescent="0.25">
      <c r="A1069" s="28"/>
      <c r="B1069" s="180"/>
      <c r="C1069" s="35"/>
      <c r="D1069" s="36"/>
      <c r="E1069" s="36"/>
      <c r="F1069" s="142"/>
      <c r="G1069" s="142"/>
      <c r="H1069" s="142"/>
      <c r="I1069" s="142"/>
      <c r="J1069" s="142"/>
    </row>
    <row r="1070" spans="1:10" x14ac:dyDescent="0.25">
      <c r="A1070" s="28"/>
      <c r="B1070" s="180"/>
      <c r="C1070" s="35"/>
      <c r="D1070" s="36"/>
      <c r="E1070" s="36"/>
      <c r="F1070" s="142"/>
      <c r="G1070" s="142"/>
      <c r="H1070" s="142"/>
      <c r="I1070" s="142"/>
      <c r="J1070" s="142"/>
    </row>
    <row r="1071" spans="1:10" x14ac:dyDescent="0.25">
      <c r="A1071" s="28"/>
      <c r="B1071" s="180"/>
      <c r="C1071" s="35"/>
      <c r="D1071" s="36"/>
      <c r="E1071" s="36"/>
      <c r="F1071" s="142"/>
      <c r="G1071" s="142"/>
      <c r="H1071" s="142"/>
      <c r="I1071" s="142"/>
      <c r="J1071" s="142"/>
    </row>
    <row r="1072" spans="1:10" x14ac:dyDescent="0.25">
      <c r="A1072" s="28"/>
      <c r="B1072" s="180"/>
      <c r="C1072" s="35"/>
      <c r="D1072" s="36"/>
      <c r="E1072" s="36"/>
      <c r="F1072" s="142"/>
      <c r="G1072" s="142"/>
      <c r="H1072" s="142"/>
      <c r="I1072" s="142"/>
      <c r="J1072" s="142"/>
    </row>
    <row r="1073" spans="1:10" x14ac:dyDescent="0.25">
      <c r="A1073" s="28"/>
      <c r="B1073" s="180"/>
      <c r="C1073" s="35"/>
      <c r="D1073" s="36"/>
      <c r="E1073" s="36"/>
      <c r="F1073" s="142"/>
      <c r="G1073" s="142"/>
      <c r="H1073" s="142"/>
      <c r="I1073" s="142"/>
      <c r="J1073" s="142"/>
    </row>
    <row r="1074" spans="1:10" x14ac:dyDescent="0.25">
      <c r="A1074" s="28"/>
      <c r="B1074" s="180"/>
      <c r="C1074" s="35"/>
      <c r="D1074" s="36"/>
      <c r="E1074" s="36"/>
      <c r="F1074" s="142"/>
      <c r="G1074" s="142"/>
      <c r="H1074" s="142"/>
      <c r="I1074" s="142"/>
      <c r="J1074" s="142"/>
    </row>
    <row r="1075" spans="1:10" x14ac:dyDescent="0.25">
      <c r="A1075" s="28"/>
      <c r="B1075" s="180"/>
      <c r="C1075" s="35"/>
      <c r="D1075" s="36"/>
      <c r="E1075" s="36"/>
      <c r="F1075" s="142"/>
      <c r="G1075" s="142"/>
      <c r="H1075" s="142"/>
      <c r="I1075" s="142"/>
      <c r="J1075" s="142"/>
    </row>
    <row r="1076" spans="1:10" x14ac:dyDescent="0.25">
      <c r="A1076" s="28"/>
      <c r="B1076" s="180"/>
      <c r="C1076" s="35"/>
      <c r="D1076" s="36"/>
      <c r="E1076" s="36"/>
      <c r="F1076" s="142"/>
      <c r="G1076" s="142"/>
      <c r="H1076" s="142"/>
      <c r="I1076" s="142"/>
      <c r="J1076" s="142"/>
    </row>
    <row r="1077" spans="1:10" x14ac:dyDescent="0.25">
      <c r="A1077" s="28"/>
      <c r="B1077" s="180"/>
      <c r="C1077" s="35"/>
      <c r="D1077" s="36"/>
      <c r="E1077" s="36"/>
      <c r="F1077" s="142"/>
      <c r="G1077" s="142"/>
      <c r="H1077" s="142"/>
      <c r="I1077" s="142"/>
      <c r="J1077" s="142"/>
    </row>
    <row r="1078" spans="1:10" x14ac:dyDescent="0.25">
      <c r="A1078" s="28"/>
      <c r="B1078" s="180"/>
      <c r="C1078" s="35"/>
      <c r="D1078" s="36"/>
      <c r="E1078" s="36"/>
      <c r="F1078" s="142"/>
      <c r="G1078" s="142"/>
      <c r="H1078" s="142"/>
      <c r="I1078" s="142"/>
      <c r="J1078" s="142"/>
    </row>
    <row r="1079" spans="1:10" x14ac:dyDescent="0.25">
      <c r="A1079" s="28"/>
      <c r="B1079" s="180"/>
      <c r="C1079" s="35"/>
      <c r="D1079" s="36"/>
      <c r="E1079" s="36"/>
      <c r="F1079" s="142"/>
      <c r="G1079" s="142"/>
      <c r="H1079" s="142"/>
      <c r="I1079" s="142"/>
      <c r="J1079" s="142"/>
    </row>
    <row r="1080" spans="1:10" x14ac:dyDescent="0.25">
      <c r="A1080" s="28"/>
      <c r="B1080" s="180"/>
      <c r="C1080" s="35"/>
      <c r="D1080" s="36"/>
      <c r="E1080" s="36"/>
      <c r="F1080" s="142"/>
      <c r="G1080" s="142"/>
      <c r="H1080" s="142"/>
      <c r="I1080" s="142"/>
      <c r="J1080" s="142"/>
    </row>
    <row r="1081" spans="1:10" x14ac:dyDescent="0.25">
      <c r="A1081" s="28"/>
      <c r="B1081" s="180"/>
      <c r="C1081" s="35"/>
      <c r="D1081" s="36"/>
      <c r="E1081" s="36"/>
      <c r="F1081" s="142"/>
      <c r="G1081" s="142"/>
      <c r="H1081" s="142"/>
      <c r="I1081" s="142"/>
      <c r="J1081" s="142"/>
    </row>
    <row r="1082" spans="1:10" x14ac:dyDescent="0.25">
      <c r="A1082" s="28"/>
      <c r="B1082" s="180"/>
      <c r="C1082" s="35"/>
      <c r="D1082" s="36"/>
      <c r="E1082" s="36"/>
      <c r="F1082" s="142"/>
      <c r="G1082" s="142"/>
      <c r="H1082" s="142"/>
      <c r="I1082" s="142"/>
      <c r="J1082" s="142"/>
    </row>
    <row r="1083" spans="1:10" x14ac:dyDescent="0.25">
      <c r="A1083" s="28"/>
      <c r="B1083" s="180"/>
      <c r="C1083" s="35"/>
      <c r="D1083" s="36"/>
      <c r="E1083" s="36"/>
      <c r="F1083" s="142"/>
      <c r="G1083" s="142"/>
      <c r="H1083" s="142"/>
      <c r="I1083" s="142"/>
      <c r="J1083" s="142"/>
    </row>
    <row r="1084" spans="1:10" x14ac:dyDescent="0.25">
      <c r="A1084" s="28"/>
      <c r="B1084" s="180"/>
      <c r="C1084" s="35"/>
      <c r="D1084" s="36"/>
      <c r="E1084" s="36"/>
      <c r="F1084" s="142"/>
      <c r="G1084" s="142"/>
      <c r="H1084" s="142"/>
      <c r="I1084" s="142"/>
      <c r="J1084" s="142"/>
    </row>
    <row r="1085" spans="1:10" x14ac:dyDescent="0.25">
      <c r="A1085" s="28"/>
      <c r="B1085" s="180"/>
      <c r="C1085" s="35"/>
      <c r="D1085" s="36"/>
      <c r="E1085" s="36"/>
      <c r="F1085" s="142"/>
      <c r="G1085" s="142"/>
      <c r="H1085" s="142"/>
      <c r="I1085" s="142"/>
      <c r="J1085" s="142"/>
    </row>
    <row r="1086" spans="1:10" x14ac:dyDescent="0.25">
      <c r="A1086" s="28"/>
      <c r="B1086" s="180"/>
      <c r="C1086" s="35"/>
      <c r="D1086" s="36"/>
      <c r="E1086" s="36"/>
      <c r="F1086" s="142"/>
      <c r="G1086" s="142"/>
      <c r="H1086" s="142"/>
      <c r="I1086" s="142"/>
      <c r="J1086" s="142"/>
    </row>
    <row r="1087" spans="1:10" x14ac:dyDescent="0.25">
      <c r="A1087" s="28"/>
      <c r="B1087" s="180"/>
      <c r="C1087" s="35"/>
      <c r="D1087" s="36"/>
      <c r="E1087" s="36"/>
      <c r="F1087" s="142"/>
      <c r="G1087" s="142"/>
      <c r="H1087" s="142"/>
      <c r="I1087" s="142"/>
      <c r="J1087" s="142"/>
    </row>
    <row r="1088" spans="1:10" x14ac:dyDescent="0.25">
      <c r="A1088" s="28"/>
      <c r="B1088" s="180"/>
      <c r="C1088" s="35"/>
      <c r="D1088" s="36"/>
      <c r="E1088" s="36"/>
      <c r="F1088" s="142"/>
      <c r="G1088" s="142"/>
      <c r="H1088" s="142"/>
      <c r="I1088" s="142"/>
      <c r="J1088" s="142"/>
    </row>
    <row r="1089" spans="1:10" x14ac:dyDescent="0.25">
      <c r="A1089" s="28"/>
      <c r="B1089" s="180"/>
      <c r="C1089" s="35"/>
      <c r="D1089" s="36"/>
      <c r="E1089" s="36"/>
      <c r="F1089" s="142"/>
      <c r="G1089" s="142"/>
      <c r="H1089" s="142"/>
      <c r="I1089" s="142"/>
      <c r="J1089" s="142"/>
    </row>
    <row r="1090" spans="1:10" x14ac:dyDescent="0.25">
      <c r="A1090" s="28"/>
      <c r="B1090" s="180"/>
      <c r="C1090" s="35"/>
      <c r="D1090" s="36"/>
      <c r="E1090" s="36"/>
      <c r="F1090" s="142"/>
      <c r="G1090" s="142"/>
      <c r="H1090" s="142"/>
      <c r="I1090" s="142"/>
      <c r="J1090" s="142"/>
    </row>
    <row r="1091" spans="1:10" x14ac:dyDescent="0.25">
      <c r="A1091" s="28"/>
      <c r="B1091" s="180"/>
      <c r="C1091" s="35"/>
      <c r="D1091" s="36"/>
      <c r="E1091" s="36"/>
      <c r="F1091" s="142"/>
      <c r="G1091" s="142"/>
      <c r="H1091" s="142"/>
      <c r="I1091" s="142"/>
      <c r="J1091" s="142"/>
    </row>
    <row r="1092" spans="1:10" x14ac:dyDescent="0.25">
      <c r="A1092" s="28"/>
      <c r="B1092" s="180"/>
      <c r="C1092" s="35"/>
      <c r="D1092" s="36"/>
      <c r="E1092" s="36"/>
      <c r="F1092" s="142"/>
      <c r="G1092" s="142"/>
      <c r="H1092" s="142"/>
      <c r="I1092" s="142"/>
      <c r="J1092" s="142"/>
    </row>
    <row r="1093" spans="1:10" x14ac:dyDescent="0.25">
      <c r="A1093" s="28"/>
      <c r="B1093" s="180"/>
      <c r="C1093" s="35"/>
      <c r="D1093" s="36"/>
      <c r="E1093" s="36"/>
      <c r="F1093" s="142"/>
      <c r="G1093" s="142"/>
      <c r="H1093" s="142"/>
      <c r="I1093" s="142"/>
      <c r="J1093" s="142"/>
    </row>
    <row r="1094" spans="1:10" x14ac:dyDescent="0.25">
      <c r="A1094" s="28"/>
      <c r="B1094" s="180"/>
      <c r="C1094" s="35"/>
      <c r="D1094" s="36"/>
      <c r="E1094" s="36"/>
      <c r="F1094" s="142"/>
      <c r="G1094" s="142"/>
      <c r="H1094" s="142"/>
      <c r="I1094" s="142"/>
      <c r="J1094" s="142"/>
    </row>
    <row r="1095" spans="1:10" x14ac:dyDescent="0.25">
      <c r="A1095" s="28"/>
      <c r="B1095" s="180"/>
      <c r="C1095" s="35"/>
      <c r="D1095" s="36"/>
      <c r="E1095" s="36"/>
      <c r="F1095" s="142"/>
      <c r="G1095" s="142"/>
      <c r="H1095" s="142"/>
      <c r="I1095" s="142"/>
      <c r="J1095" s="142"/>
    </row>
    <row r="1096" spans="1:10" x14ac:dyDescent="0.25">
      <c r="A1096" s="28"/>
      <c r="B1096" s="180"/>
      <c r="C1096" s="35"/>
      <c r="D1096" s="36"/>
      <c r="E1096" s="36"/>
      <c r="F1096" s="142"/>
      <c r="G1096" s="142"/>
      <c r="H1096" s="142"/>
      <c r="I1096" s="142"/>
      <c r="J1096" s="142"/>
    </row>
    <row r="1097" spans="1:10" x14ac:dyDescent="0.25">
      <c r="A1097" s="28"/>
      <c r="B1097" s="180"/>
      <c r="C1097" s="35"/>
      <c r="D1097" s="36"/>
      <c r="E1097" s="36"/>
      <c r="F1097" s="142"/>
      <c r="G1097" s="142"/>
      <c r="H1097" s="142"/>
      <c r="I1097" s="142"/>
      <c r="J1097" s="142"/>
    </row>
    <row r="1098" spans="1:10" x14ac:dyDescent="0.25">
      <c r="A1098" s="28"/>
      <c r="B1098" s="180"/>
      <c r="C1098" s="35"/>
      <c r="D1098" s="36"/>
      <c r="E1098" s="36"/>
      <c r="F1098" s="142"/>
      <c r="G1098" s="142"/>
      <c r="H1098" s="142"/>
      <c r="I1098" s="142"/>
      <c r="J1098" s="142"/>
    </row>
    <row r="1099" spans="1:10" x14ac:dyDescent="0.25">
      <c r="A1099" s="28"/>
      <c r="B1099" s="180"/>
      <c r="C1099" s="35"/>
      <c r="D1099" s="36"/>
      <c r="E1099" s="36"/>
      <c r="F1099" s="142"/>
      <c r="G1099" s="142"/>
      <c r="H1099" s="142"/>
      <c r="I1099" s="142"/>
      <c r="J1099" s="142"/>
    </row>
    <row r="1100" spans="1:10" x14ac:dyDescent="0.25">
      <c r="A1100" s="28"/>
      <c r="B1100" s="180"/>
      <c r="C1100" s="35"/>
      <c r="D1100" s="36"/>
      <c r="E1100" s="36"/>
      <c r="F1100" s="142"/>
      <c r="G1100" s="142"/>
      <c r="H1100" s="142"/>
      <c r="I1100" s="142"/>
      <c r="J1100" s="142"/>
    </row>
    <row r="1101" spans="1:10" x14ac:dyDescent="0.25">
      <c r="A1101" s="28"/>
      <c r="B1101" s="180"/>
      <c r="C1101" s="35"/>
      <c r="D1101" s="36"/>
      <c r="E1101" s="36"/>
      <c r="F1101" s="142"/>
      <c r="G1101" s="142"/>
      <c r="H1101" s="142"/>
      <c r="I1101" s="142"/>
      <c r="J1101" s="142"/>
    </row>
    <row r="1102" spans="1:10" x14ac:dyDescent="0.25">
      <c r="A1102" s="28"/>
      <c r="B1102" s="180"/>
      <c r="C1102" s="35"/>
      <c r="D1102" s="36"/>
      <c r="E1102" s="36"/>
      <c r="F1102" s="142"/>
      <c r="G1102" s="142"/>
      <c r="H1102" s="142"/>
      <c r="I1102" s="142"/>
      <c r="J1102" s="142"/>
    </row>
    <row r="1103" spans="1:10" x14ac:dyDescent="0.25">
      <c r="A1103" s="28"/>
      <c r="B1103" s="180"/>
      <c r="C1103" s="35"/>
      <c r="D1103" s="36"/>
      <c r="E1103" s="36"/>
      <c r="F1103" s="142"/>
      <c r="G1103" s="142"/>
      <c r="H1103" s="142"/>
      <c r="I1103" s="142"/>
      <c r="J1103" s="142"/>
    </row>
    <row r="1104" spans="1:10" x14ac:dyDescent="0.25">
      <c r="A1104" s="28"/>
      <c r="B1104" s="180"/>
      <c r="C1104" s="35"/>
      <c r="D1104" s="36"/>
      <c r="E1104" s="36"/>
      <c r="F1104" s="142"/>
      <c r="G1104" s="142"/>
      <c r="H1104" s="142"/>
      <c r="I1104" s="142"/>
      <c r="J1104" s="142"/>
    </row>
    <row r="1105" spans="1:10" x14ac:dyDescent="0.25">
      <c r="A1105" s="28"/>
      <c r="B1105" s="180"/>
      <c r="C1105" s="35"/>
      <c r="D1105" s="36"/>
      <c r="E1105" s="36"/>
      <c r="F1105" s="142"/>
      <c r="G1105" s="142"/>
      <c r="H1105" s="142"/>
      <c r="I1105" s="142"/>
      <c r="J1105" s="142"/>
    </row>
    <row r="1106" spans="1:10" x14ac:dyDescent="0.25">
      <c r="A1106" s="28"/>
      <c r="B1106" s="180"/>
      <c r="C1106" s="35"/>
      <c r="D1106" s="36"/>
      <c r="E1106" s="36"/>
      <c r="F1106" s="142"/>
      <c r="G1106" s="142"/>
      <c r="H1106" s="142"/>
      <c r="I1106" s="142"/>
      <c r="J1106" s="142"/>
    </row>
    <row r="1107" spans="1:10" x14ac:dyDescent="0.25">
      <c r="A1107" s="28"/>
      <c r="B1107" s="180"/>
      <c r="C1107" s="35"/>
      <c r="D1107" s="36"/>
      <c r="E1107" s="36"/>
      <c r="F1107" s="142"/>
      <c r="G1107" s="142"/>
      <c r="H1107" s="142"/>
      <c r="I1107" s="142"/>
      <c r="J1107" s="142"/>
    </row>
    <row r="1108" spans="1:10" x14ac:dyDescent="0.25">
      <c r="A1108" s="28"/>
      <c r="B1108" s="180"/>
      <c r="C1108" s="35"/>
      <c r="D1108" s="36"/>
      <c r="E1108" s="36"/>
      <c r="F1108" s="142"/>
      <c r="G1108" s="142"/>
      <c r="H1108" s="142"/>
      <c r="I1108" s="142"/>
      <c r="J1108" s="142"/>
    </row>
    <row r="1109" spans="1:10" x14ac:dyDescent="0.25">
      <c r="A1109" s="28"/>
      <c r="B1109" s="180"/>
      <c r="C1109" s="35"/>
      <c r="D1109" s="36"/>
      <c r="E1109" s="36"/>
      <c r="F1109" s="142"/>
      <c r="G1109" s="142"/>
      <c r="H1109" s="142"/>
      <c r="I1109" s="142"/>
      <c r="J1109" s="142"/>
    </row>
    <row r="1110" spans="1:10" x14ac:dyDescent="0.25">
      <c r="A1110" s="28"/>
      <c r="B1110" s="180"/>
      <c r="C1110" s="35"/>
      <c r="D1110" s="36"/>
      <c r="E1110" s="36"/>
      <c r="F1110" s="142"/>
      <c r="G1110" s="142"/>
      <c r="H1110" s="142"/>
      <c r="I1110" s="142"/>
      <c r="J1110" s="142"/>
    </row>
    <row r="1111" spans="1:10" x14ac:dyDescent="0.25">
      <c r="A1111" s="28"/>
      <c r="B1111" s="180"/>
      <c r="C1111" s="35"/>
      <c r="D1111" s="36"/>
      <c r="E1111" s="36"/>
      <c r="F1111" s="142"/>
      <c r="G1111" s="142"/>
      <c r="H1111" s="142"/>
      <c r="I1111" s="142"/>
      <c r="J1111" s="142"/>
    </row>
    <row r="1112" spans="1:10" x14ac:dyDescent="0.25">
      <c r="A1112" s="28"/>
      <c r="B1112" s="180"/>
      <c r="C1112" s="35"/>
      <c r="D1112" s="36"/>
      <c r="E1112" s="36"/>
      <c r="F1112" s="142"/>
      <c r="G1112" s="142"/>
      <c r="H1112" s="142"/>
      <c r="I1112" s="142"/>
      <c r="J1112" s="142"/>
    </row>
    <row r="1113" spans="1:10" x14ac:dyDescent="0.25">
      <c r="A1113" s="28"/>
      <c r="B1113" s="180"/>
      <c r="C1113" s="35"/>
      <c r="D1113" s="36"/>
      <c r="E1113" s="36"/>
      <c r="F1113" s="142"/>
      <c r="G1113" s="142"/>
      <c r="H1113" s="142"/>
      <c r="I1113" s="142"/>
      <c r="J1113" s="142"/>
    </row>
    <row r="1114" spans="1:10" x14ac:dyDescent="0.25">
      <c r="A1114" s="28"/>
      <c r="B1114" s="180"/>
      <c r="C1114" s="35"/>
      <c r="D1114" s="36"/>
      <c r="E1114" s="36"/>
      <c r="F1114" s="142"/>
      <c r="G1114" s="142"/>
      <c r="H1114" s="142"/>
      <c r="I1114" s="142"/>
      <c r="J1114" s="142"/>
    </row>
    <row r="1115" spans="1:10" x14ac:dyDescent="0.25">
      <c r="A1115" s="28"/>
      <c r="B1115" s="180"/>
      <c r="C1115" s="35"/>
      <c r="D1115" s="36"/>
      <c r="E1115" s="36"/>
      <c r="F1115" s="142"/>
      <c r="G1115" s="142"/>
      <c r="H1115" s="142"/>
      <c r="I1115" s="142"/>
      <c r="J1115" s="142"/>
    </row>
    <row r="1116" spans="1:10" x14ac:dyDescent="0.25">
      <c r="A1116" s="28"/>
      <c r="B1116" s="180"/>
      <c r="C1116" s="35"/>
      <c r="D1116" s="36"/>
      <c r="E1116" s="36"/>
      <c r="F1116" s="142"/>
      <c r="G1116" s="142"/>
      <c r="H1116" s="142"/>
      <c r="I1116" s="142"/>
      <c r="J1116" s="142"/>
    </row>
    <row r="1117" spans="1:10" x14ac:dyDescent="0.25">
      <c r="A1117" s="28"/>
      <c r="B1117" s="180"/>
      <c r="C1117" s="35"/>
      <c r="D1117" s="36"/>
      <c r="E1117" s="36"/>
      <c r="F1117" s="142"/>
      <c r="G1117" s="142"/>
      <c r="H1117" s="142"/>
      <c r="I1117" s="142"/>
      <c r="J1117" s="142"/>
    </row>
    <row r="1118" spans="1:10" x14ac:dyDescent="0.25">
      <c r="A1118" s="28"/>
      <c r="B1118" s="180"/>
      <c r="C1118" s="35"/>
      <c r="D1118" s="36"/>
      <c r="E1118" s="36"/>
      <c r="F1118" s="142"/>
      <c r="G1118" s="142"/>
      <c r="H1118" s="142"/>
      <c r="I1118" s="142"/>
      <c r="J1118" s="142"/>
    </row>
    <row r="1119" spans="1:10" x14ac:dyDescent="0.25">
      <c r="A1119" s="28"/>
      <c r="B1119" s="180"/>
      <c r="C1119" s="35"/>
      <c r="D1119" s="36"/>
      <c r="E1119" s="36"/>
      <c r="F1119" s="142"/>
      <c r="G1119" s="142"/>
      <c r="H1119" s="142"/>
      <c r="I1119" s="142"/>
      <c r="J1119" s="142"/>
    </row>
    <row r="1120" spans="1:10" x14ac:dyDescent="0.25">
      <c r="A1120" s="28"/>
      <c r="B1120" s="180"/>
      <c r="C1120" s="35"/>
      <c r="D1120" s="36"/>
      <c r="E1120" s="36"/>
      <c r="F1120" s="142"/>
      <c r="G1120" s="142"/>
      <c r="H1120" s="142"/>
      <c r="I1120" s="142"/>
      <c r="J1120" s="142"/>
    </row>
    <row r="1121" spans="1:10" x14ac:dyDescent="0.25">
      <c r="A1121" s="28"/>
      <c r="B1121" s="180"/>
      <c r="C1121" s="35"/>
      <c r="D1121" s="36"/>
      <c r="E1121" s="36"/>
      <c r="F1121" s="142"/>
      <c r="G1121" s="142"/>
      <c r="H1121" s="142"/>
      <c r="I1121" s="142"/>
      <c r="J1121" s="142"/>
    </row>
    <row r="1122" spans="1:10" x14ac:dyDescent="0.25">
      <c r="A1122" s="28"/>
      <c r="B1122" s="180"/>
      <c r="C1122" s="35"/>
      <c r="D1122" s="36"/>
      <c r="E1122" s="36"/>
      <c r="F1122" s="142"/>
      <c r="G1122" s="142"/>
      <c r="H1122" s="142"/>
      <c r="I1122" s="142"/>
      <c r="J1122" s="142"/>
    </row>
    <row r="1123" spans="1:10" x14ac:dyDescent="0.25">
      <c r="A1123" s="28"/>
      <c r="B1123" s="180"/>
      <c r="C1123" s="35"/>
      <c r="D1123" s="36"/>
      <c r="E1123" s="36"/>
      <c r="F1123" s="142"/>
      <c r="G1123" s="142"/>
      <c r="H1123" s="142"/>
      <c r="I1123" s="142"/>
      <c r="J1123" s="142"/>
    </row>
    <row r="1124" spans="1:10" x14ac:dyDescent="0.25">
      <c r="A1124" s="28"/>
      <c r="B1124" s="180"/>
      <c r="C1124" s="35"/>
      <c r="D1124" s="36"/>
      <c r="E1124" s="36"/>
      <c r="F1124" s="142"/>
      <c r="G1124" s="142"/>
      <c r="H1124" s="142"/>
      <c r="I1124" s="142"/>
      <c r="J1124" s="142"/>
    </row>
    <row r="1125" spans="1:10" x14ac:dyDescent="0.25">
      <c r="A1125" s="28"/>
      <c r="B1125" s="180"/>
      <c r="C1125" s="35"/>
      <c r="D1125" s="36"/>
      <c r="E1125" s="36"/>
      <c r="F1125" s="142"/>
      <c r="G1125" s="142"/>
      <c r="H1125" s="142"/>
      <c r="I1125" s="142"/>
      <c r="J1125" s="142"/>
    </row>
    <row r="1126" spans="1:10" x14ac:dyDescent="0.25">
      <c r="A1126" s="28"/>
      <c r="B1126" s="180"/>
      <c r="C1126" s="35"/>
      <c r="D1126" s="36"/>
      <c r="E1126" s="36"/>
      <c r="F1126" s="142"/>
      <c r="G1126" s="142"/>
      <c r="H1126" s="142"/>
      <c r="I1126" s="142"/>
      <c r="J1126" s="142"/>
    </row>
    <row r="1127" spans="1:10" x14ac:dyDescent="0.25">
      <c r="A1127" s="28"/>
      <c r="B1127" s="180"/>
      <c r="C1127" s="35"/>
      <c r="D1127" s="36"/>
      <c r="E1127" s="36"/>
      <c r="F1127" s="142"/>
      <c r="G1127" s="142"/>
      <c r="H1127" s="142"/>
      <c r="I1127" s="142"/>
      <c r="J1127" s="142"/>
    </row>
    <row r="1128" spans="1:10" x14ac:dyDescent="0.25">
      <c r="A1128" s="28"/>
      <c r="B1128" s="180"/>
      <c r="C1128" s="35"/>
      <c r="D1128" s="36"/>
      <c r="E1128" s="36"/>
      <c r="F1128" s="142"/>
      <c r="G1128" s="142"/>
      <c r="H1128" s="142"/>
      <c r="I1128" s="142"/>
      <c r="J1128" s="142"/>
    </row>
    <row r="1129" spans="1:10" x14ac:dyDescent="0.25">
      <c r="A1129" s="28"/>
      <c r="B1129" s="180"/>
      <c r="C1129" s="35"/>
      <c r="D1129" s="36"/>
      <c r="E1129" s="36"/>
      <c r="F1129" s="142"/>
      <c r="G1129" s="142"/>
      <c r="H1129" s="142"/>
      <c r="I1129" s="142"/>
      <c r="J1129" s="142"/>
    </row>
    <row r="1130" spans="1:10" x14ac:dyDescent="0.25">
      <c r="A1130" s="28"/>
      <c r="B1130" s="180"/>
      <c r="C1130" s="35"/>
      <c r="D1130" s="36"/>
      <c r="E1130" s="36"/>
      <c r="F1130" s="142"/>
      <c r="G1130" s="142"/>
      <c r="H1130" s="142"/>
      <c r="I1130" s="142"/>
      <c r="J1130" s="142"/>
    </row>
    <row r="1131" spans="1:10" x14ac:dyDescent="0.25">
      <c r="A1131" s="28"/>
      <c r="B1131" s="180"/>
      <c r="C1131" s="35"/>
      <c r="D1131" s="36"/>
      <c r="E1131" s="36"/>
      <c r="F1131" s="142"/>
      <c r="G1131" s="142"/>
      <c r="H1131" s="142"/>
      <c r="I1131" s="142"/>
      <c r="J1131" s="142"/>
    </row>
    <row r="1132" spans="1:10" x14ac:dyDescent="0.25">
      <c r="A1132" s="28"/>
      <c r="B1132" s="180"/>
      <c r="C1132" s="35"/>
      <c r="D1132" s="36"/>
      <c r="E1132" s="36"/>
      <c r="F1132" s="142"/>
      <c r="G1132" s="142"/>
      <c r="H1132" s="142"/>
      <c r="I1132" s="142"/>
      <c r="J1132" s="142"/>
    </row>
    <row r="1133" spans="1:10" x14ac:dyDescent="0.25">
      <c r="A1133" s="28"/>
      <c r="B1133" s="180"/>
      <c r="C1133" s="35"/>
      <c r="D1133" s="36"/>
      <c r="E1133" s="36"/>
      <c r="F1133" s="142"/>
      <c r="G1133" s="142"/>
      <c r="H1133" s="142"/>
      <c r="I1133" s="142"/>
      <c r="J1133" s="142"/>
    </row>
    <row r="1134" spans="1:10" x14ac:dyDescent="0.25">
      <c r="A1134" s="28"/>
      <c r="B1134" s="180"/>
      <c r="C1134" s="35"/>
      <c r="D1134" s="36"/>
      <c r="E1134" s="36"/>
      <c r="F1134" s="142"/>
      <c r="G1134" s="142"/>
      <c r="H1134" s="142"/>
      <c r="I1134" s="142"/>
      <c r="J1134" s="142"/>
    </row>
    <row r="1135" spans="1:10" x14ac:dyDescent="0.25">
      <c r="A1135" s="28"/>
      <c r="B1135" s="180"/>
      <c r="C1135" s="35"/>
      <c r="D1135" s="36"/>
      <c r="E1135" s="36"/>
      <c r="F1135" s="142"/>
      <c r="G1135" s="142"/>
      <c r="H1135" s="142"/>
      <c r="I1135" s="142"/>
      <c r="J1135" s="142"/>
    </row>
    <row r="1136" spans="1:10" x14ac:dyDescent="0.25">
      <c r="A1136" s="28"/>
      <c r="B1136" s="180"/>
      <c r="C1136" s="35"/>
      <c r="D1136" s="36"/>
      <c r="E1136" s="36"/>
      <c r="F1136" s="142"/>
      <c r="G1136" s="142"/>
      <c r="H1136" s="142"/>
      <c r="I1136" s="142"/>
      <c r="J1136" s="142"/>
    </row>
    <row r="1137" spans="1:10" x14ac:dyDescent="0.25">
      <c r="A1137" s="28"/>
      <c r="B1137" s="180"/>
      <c r="C1137" s="35"/>
      <c r="D1137" s="36"/>
      <c r="E1137" s="36"/>
      <c r="F1137" s="142"/>
      <c r="G1137" s="142"/>
      <c r="H1137" s="142"/>
      <c r="I1137" s="142"/>
      <c r="J1137" s="142"/>
    </row>
    <row r="1138" spans="1:10" x14ac:dyDescent="0.25">
      <c r="A1138" s="28"/>
      <c r="B1138" s="180"/>
      <c r="C1138" s="35"/>
      <c r="D1138" s="36"/>
      <c r="E1138" s="36"/>
      <c r="F1138" s="142"/>
      <c r="G1138" s="142"/>
      <c r="H1138" s="142"/>
      <c r="I1138" s="142"/>
      <c r="J1138" s="142"/>
    </row>
    <row r="1139" spans="1:10" x14ac:dyDescent="0.25">
      <c r="A1139" s="28"/>
      <c r="B1139" s="180"/>
      <c r="C1139" s="35"/>
      <c r="D1139" s="36"/>
      <c r="E1139" s="36"/>
      <c r="F1139" s="142"/>
      <c r="G1139" s="142"/>
      <c r="H1139" s="142"/>
      <c r="I1139" s="142"/>
      <c r="J1139" s="142"/>
    </row>
    <row r="1140" spans="1:10" x14ac:dyDescent="0.25">
      <c r="A1140" s="28"/>
      <c r="B1140" s="180"/>
      <c r="C1140" s="35"/>
      <c r="D1140" s="36"/>
      <c r="E1140" s="36"/>
      <c r="F1140" s="142"/>
      <c r="G1140" s="142"/>
      <c r="H1140" s="142"/>
      <c r="I1140" s="142"/>
      <c r="J1140" s="142"/>
    </row>
    <row r="1141" spans="1:10" x14ac:dyDescent="0.25">
      <c r="A1141" s="28"/>
      <c r="B1141" s="180"/>
      <c r="C1141" s="35"/>
      <c r="D1141" s="36"/>
      <c r="E1141" s="36"/>
      <c r="F1141" s="142"/>
      <c r="G1141" s="142"/>
      <c r="H1141" s="142"/>
      <c r="I1141" s="142"/>
      <c r="J1141" s="142"/>
    </row>
    <row r="1142" spans="1:10" x14ac:dyDescent="0.25">
      <c r="A1142" s="28"/>
      <c r="B1142" s="180"/>
      <c r="C1142" s="35"/>
      <c r="D1142" s="36"/>
      <c r="E1142" s="36"/>
      <c r="F1142" s="142"/>
      <c r="G1142" s="142"/>
      <c r="H1142" s="142"/>
      <c r="I1142" s="142"/>
      <c r="J1142" s="142"/>
    </row>
    <row r="1143" spans="1:10" x14ac:dyDescent="0.25">
      <c r="A1143" s="28"/>
      <c r="B1143" s="180"/>
      <c r="C1143" s="35"/>
      <c r="D1143" s="36"/>
      <c r="E1143" s="36"/>
      <c r="F1143" s="142"/>
      <c r="G1143" s="142"/>
      <c r="H1143" s="142"/>
      <c r="I1143" s="142"/>
      <c r="J1143" s="142"/>
    </row>
    <row r="1144" spans="1:10" x14ac:dyDescent="0.25">
      <c r="A1144" s="28"/>
      <c r="B1144" s="180"/>
      <c r="C1144" s="35"/>
      <c r="D1144" s="36"/>
      <c r="E1144" s="36"/>
      <c r="F1144" s="142"/>
      <c r="G1144" s="142"/>
      <c r="H1144" s="142"/>
      <c r="I1144" s="142"/>
      <c r="J1144" s="142"/>
    </row>
    <row r="1145" spans="1:10" x14ac:dyDescent="0.25">
      <c r="A1145" s="28"/>
      <c r="B1145" s="180"/>
      <c r="C1145" s="35"/>
      <c r="D1145" s="36"/>
      <c r="E1145" s="36"/>
      <c r="F1145" s="142"/>
      <c r="G1145" s="142"/>
      <c r="H1145" s="142"/>
      <c r="I1145" s="142"/>
      <c r="J1145" s="142"/>
    </row>
    <row r="1146" spans="1:10" x14ac:dyDescent="0.25">
      <c r="A1146" s="28"/>
      <c r="B1146" s="180"/>
      <c r="C1146" s="35"/>
      <c r="D1146" s="36"/>
      <c r="E1146" s="36"/>
      <c r="F1146" s="142"/>
      <c r="G1146" s="142"/>
      <c r="H1146" s="142"/>
      <c r="I1146" s="142"/>
      <c r="J1146" s="142"/>
    </row>
    <row r="1147" spans="1:10" x14ac:dyDescent="0.25">
      <c r="A1147" s="28"/>
      <c r="B1147" s="180"/>
      <c r="C1147" s="35"/>
      <c r="D1147" s="36"/>
      <c r="E1147" s="36"/>
      <c r="F1147" s="142"/>
      <c r="G1147" s="142"/>
      <c r="H1147" s="142"/>
      <c r="I1147" s="142"/>
      <c r="J1147" s="142"/>
    </row>
    <row r="1148" spans="1:10" x14ac:dyDescent="0.25">
      <c r="A1148" s="28"/>
      <c r="B1148" s="180"/>
      <c r="C1148" s="35"/>
      <c r="D1148" s="36"/>
      <c r="E1148" s="36"/>
      <c r="F1148" s="142"/>
      <c r="G1148" s="142"/>
      <c r="H1148" s="142"/>
      <c r="I1148" s="142"/>
      <c r="J1148" s="142"/>
    </row>
    <row r="1149" spans="1:10" x14ac:dyDescent="0.25">
      <c r="A1149" s="28"/>
      <c r="B1149" s="180"/>
      <c r="C1149" s="35"/>
      <c r="D1149" s="36"/>
      <c r="E1149" s="36"/>
      <c r="F1149" s="142"/>
      <c r="G1149" s="142"/>
      <c r="H1149" s="142"/>
      <c r="I1149" s="142"/>
      <c r="J1149" s="142"/>
    </row>
    <row r="1150" spans="1:10" x14ac:dyDescent="0.25">
      <c r="A1150" s="28"/>
      <c r="B1150" s="180"/>
      <c r="C1150" s="35"/>
      <c r="D1150" s="36"/>
      <c r="E1150" s="36"/>
      <c r="F1150" s="142"/>
      <c r="G1150" s="142"/>
      <c r="H1150" s="142"/>
      <c r="I1150" s="142"/>
      <c r="J1150" s="142"/>
    </row>
    <row r="1151" spans="1:10" x14ac:dyDescent="0.25">
      <c r="A1151" s="28"/>
      <c r="B1151" s="180"/>
      <c r="C1151" s="35"/>
      <c r="D1151" s="36"/>
      <c r="E1151" s="36"/>
      <c r="F1151" s="142"/>
      <c r="G1151" s="142"/>
      <c r="H1151" s="142"/>
      <c r="I1151" s="142"/>
      <c r="J1151" s="142"/>
    </row>
    <row r="1152" spans="1:10" x14ac:dyDescent="0.25">
      <c r="A1152" s="28"/>
      <c r="B1152" s="180"/>
      <c r="C1152" s="35"/>
      <c r="D1152" s="36"/>
      <c r="E1152" s="36"/>
      <c r="F1152" s="142"/>
      <c r="G1152" s="142"/>
      <c r="H1152" s="142"/>
      <c r="I1152" s="142"/>
      <c r="J1152" s="142"/>
    </row>
    <row r="1153" spans="1:10" x14ac:dyDescent="0.25">
      <c r="A1153" s="28"/>
      <c r="B1153" s="180"/>
      <c r="C1153" s="35"/>
      <c r="D1153" s="36"/>
      <c r="E1153" s="36"/>
      <c r="F1153" s="142"/>
      <c r="G1153" s="142"/>
      <c r="H1153" s="142"/>
      <c r="I1153" s="142"/>
      <c r="J1153" s="142"/>
    </row>
    <row r="1154" spans="1:10" x14ac:dyDescent="0.25">
      <c r="A1154" s="28"/>
      <c r="B1154" s="180"/>
      <c r="C1154" s="35"/>
      <c r="D1154" s="36"/>
      <c r="E1154" s="36"/>
      <c r="F1154" s="142"/>
      <c r="G1154" s="142"/>
      <c r="H1154" s="142"/>
      <c r="I1154" s="142"/>
      <c r="J1154" s="142"/>
    </row>
    <row r="1155" spans="1:10" x14ac:dyDescent="0.25">
      <c r="A1155" s="28"/>
      <c r="B1155" s="180"/>
      <c r="C1155" s="35"/>
      <c r="D1155" s="36"/>
      <c r="E1155" s="36"/>
      <c r="F1155" s="142"/>
      <c r="G1155" s="142"/>
      <c r="H1155" s="142"/>
      <c r="I1155" s="142"/>
      <c r="J1155" s="142"/>
    </row>
    <row r="1156" spans="1:10" x14ac:dyDescent="0.25">
      <c r="A1156" s="28"/>
      <c r="B1156" s="180"/>
      <c r="C1156" s="35"/>
      <c r="D1156" s="36"/>
      <c r="E1156" s="36"/>
      <c r="F1156" s="142"/>
      <c r="G1156" s="142"/>
      <c r="H1156" s="142"/>
      <c r="I1156" s="142"/>
      <c r="J1156" s="142"/>
    </row>
    <row r="1157" spans="1:10" x14ac:dyDescent="0.25">
      <c r="A1157" s="28"/>
      <c r="B1157" s="180"/>
      <c r="C1157" s="35"/>
      <c r="D1157" s="36"/>
      <c r="E1157" s="36"/>
      <c r="F1157" s="142"/>
      <c r="G1157" s="142"/>
      <c r="H1157" s="142"/>
      <c r="I1157" s="142"/>
      <c r="J1157" s="142"/>
    </row>
    <row r="1158" spans="1:10" x14ac:dyDescent="0.25">
      <c r="A1158" s="28"/>
      <c r="B1158" s="180"/>
      <c r="C1158" s="35"/>
      <c r="D1158" s="36"/>
      <c r="E1158" s="36"/>
      <c r="F1158" s="142"/>
      <c r="G1158" s="142"/>
      <c r="H1158" s="142"/>
      <c r="I1158" s="142"/>
      <c r="J1158" s="142"/>
    </row>
    <row r="1159" spans="1:10" x14ac:dyDescent="0.25">
      <c r="A1159" s="28"/>
      <c r="B1159" s="180"/>
      <c r="C1159" s="35"/>
      <c r="D1159" s="36"/>
      <c r="E1159" s="36"/>
      <c r="F1159" s="142"/>
      <c r="G1159" s="142"/>
      <c r="H1159" s="142"/>
      <c r="I1159" s="142"/>
      <c r="J1159" s="142"/>
    </row>
    <row r="1160" spans="1:10" x14ac:dyDescent="0.25">
      <c r="A1160" s="28"/>
      <c r="B1160" s="180"/>
      <c r="C1160" s="35"/>
      <c r="D1160" s="36"/>
      <c r="E1160" s="36"/>
      <c r="F1160" s="142"/>
      <c r="G1160" s="142"/>
      <c r="H1160" s="142"/>
      <c r="I1160" s="142"/>
      <c r="J1160" s="142"/>
    </row>
    <row r="1161" spans="1:10" x14ac:dyDescent="0.25">
      <c r="A1161" s="28"/>
      <c r="B1161" s="180"/>
      <c r="C1161" s="35"/>
      <c r="D1161" s="36"/>
      <c r="E1161" s="36"/>
      <c r="F1161" s="142"/>
      <c r="G1161" s="142"/>
      <c r="H1161" s="142"/>
      <c r="I1161" s="142"/>
      <c r="J1161" s="142"/>
    </row>
    <row r="1162" spans="1:10" x14ac:dyDescent="0.25">
      <c r="A1162" s="28"/>
      <c r="B1162" s="180"/>
      <c r="C1162" s="35"/>
      <c r="D1162" s="36"/>
      <c r="E1162" s="36"/>
      <c r="F1162" s="142"/>
      <c r="G1162" s="142"/>
      <c r="H1162" s="142"/>
      <c r="I1162" s="142"/>
      <c r="J1162" s="142"/>
    </row>
    <row r="1163" spans="1:10" x14ac:dyDescent="0.25">
      <c r="A1163" s="28"/>
      <c r="B1163" s="180"/>
      <c r="C1163" s="35"/>
      <c r="D1163" s="36"/>
      <c r="E1163" s="36"/>
      <c r="F1163" s="142"/>
      <c r="G1163" s="142"/>
      <c r="H1163" s="142"/>
      <c r="I1163" s="142"/>
      <c r="J1163" s="142"/>
    </row>
    <row r="1164" spans="1:10" x14ac:dyDescent="0.25">
      <c r="A1164" s="28"/>
      <c r="B1164" s="180"/>
      <c r="C1164" s="35"/>
      <c r="D1164" s="36"/>
      <c r="E1164" s="36"/>
      <c r="F1164" s="142"/>
      <c r="G1164" s="142"/>
      <c r="H1164" s="142"/>
      <c r="I1164" s="142"/>
      <c r="J1164" s="142"/>
    </row>
    <row r="1165" spans="1:10" x14ac:dyDescent="0.25">
      <c r="A1165" s="28"/>
      <c r="B1165" s="180"/>
      <c r="C1165" s="35"/>
      <c r="D1165" s="36"/>
      <c r="E1165" s="36"/>
      <c r="F1165" s="142"/>
      <c r="G1165" s="142"/>
      <c r="H1165" s="142"/>
      <c r="I1165" s="142"/>
      <c r="J1165" s="142"/>
    </row>
    <row r="1166" spans="1:10" x14ac:dyDescent="0.25">
      <c r="A1166" s="28"/>
      <c r="B1166" s="180"/>
      <c r="C1166" s="35"/>
      <c r="D1166" s="36"/>
      <c r="E1166" s="36"/>
      <c r="F1166" s="142"/>
      <c r="G1166" s="142"/>
      <c r="H1166" s="142"/>
      <c r="I1166" s="142"/>
      <c r="J1166" s="142"/>
    </row>
    <row r="1167" spans="1:10" x14ac:dyDescent="0.25">
      <c r="A1167" s="28"/>
      <c r="B1167" s="180"/>
      <c r="C1167" s="35"/>
      <c r="D1167" s="36"/>
      <c r="E1167" s="36"/>
      <c r="F1167" s="142"/>
      <c r="G1167" s="142"/>
      <c r="H1167" s="142"/>
      <c r="I1167" s="142"/>
      <c r="J1167" s="142"/>
    </row>
    <row r="1168" spans="1:10" x14ac:dyDescent="0.25">
      <c r="A1168" s="28"/>
      <c r="B1168" s="180"/>
      <c r="C1168" s="35"/>
      <c r="D1168" s="36"/>
      <c r="E1168" s="36"/>
      <c r="F1168" s="142"/>
      <c r="G1168" s="142"/>
      <c r="H1168" s="142"/>
      <c r="I1168" s="142"/>
      <c r="J1168" s="142"/>
    </row>
    <row r="1169" spans="1:10" x14ac:dyDescent="0.25">
      <c r="A1169" s="28"/>
      <c r="B1169" s="180"/>
      <c r="C1169" s="35"/>
      <c r="D1169" s="36"/>
      <c r="E1169" s="36"/>
      <c r="F1169" s="142"/>
      <c r="G1169" s="142"/>
      <c r="H1169" s="142"/>
      <c r="I1169" s="142"/>
      <c r="J1169" s="142"/>
    </row>
    <row r="1170" spans="1:10" x14ac:dyDescent="0.25">
      <c r="A1170" s="28"/>
      <c r="B1170" s="180"/>
      <c r="C1170" s="35"/>
      <c r="D1170" s="36"/>
      <c r="E1170" s="36"/>
      <c r="F1170" s="142"/>
      <c r="G1170" s="142"/>
      <c r="H1170" s="142"/>
      <c r="I1170" s="142"/>
      <c r="J1170" s="142"/>
    </row>
    <row r="1171" spans="1:10" x14ac:dyDescent="0.25">
      <c r="A1171" s="28"/>
      <c r="B1171" s="180"/>
      <c r="C1171" s="35"/>
      <c r="D1171" s="36"/>
      <c r="E1171" s="36"/>
      <c r="F1171" s="142"/>
      <c r="G1171" s="142"/>
      <c r="H1171" s="142"/>
      <c r="I1171" s="142"/>
      <c r="J1171" s="142"/>
    </row>
    <row r="1172" spans="1:10" x14ac:dyDescent="0.25">
      <c r="A1172" s="28"/>
      <c r="B1172" s="180"/>
      <c r="C1172" s="35"/>
      <c r="D1172" s="36"/>
      <c r="E1172" s="36"/>
      <c r="F1172" s="142"/>
      <c r="G1172" s="142"/>
      <c r="H1172" s="142"/>
      <c r="I1172" s="142"/>
      <c r="J1172" s="142"/>
    </row>
    <row r="1173" spans="1:10" x14ac:dyDescent="0.25">
      <c r="A1173" s="28"/>
      <c r="B1173" s="180"/>
      <c r="C1173" s="35"/>
      <c r="D1173" s="36"/>
      <c r="E1173" s="36"/>
      <c r="F1173" s="142"/>
      <c r="G1173" s="142"/>
      <c r="H1173" s="142"/>
      <c r="I1173" s="142"/>
      <c r="J1173" s="142"/>
    </row>
    <row r="1174" spans="1:10" x14ac:dyDescent="0.25">
      <c r="A1174" s="28"/>
      <c r="B1174" s="180"/>
      <c r="C1174" s="35"/>
      <c r="D1174" s="36"/>
      <c r="E1174" s="36"/>
      <c r="F1174" s="142"/>
      <c r="G1174" s="142"/>
      <c r="H1174" s="142"/>
      <c r="I1174" s="142"/>
      <c r="J1174" s="142"/>
    </row>
    <row r="1175" spans="1:10" x14ac:dyDescent="0.25">
      <c r="A1175" s="28"/>
      <c r="B1175" s="180"/>
      <c r="C1175" s="35"/>
      <c r="D1175" s="36"/>
      <c r="E1175" s="36"/>
      <c r="F1175" s="142"/>
      <c r="G1175" s="142"/>
      <c r="H1175" s="142"/>
      <c r="I1175" s="142"/>
      <c r="J1175" s="142"/>
    </row>
    <row r="1176" spans="1:10" x14ac:dyDescent="0.25">
      <c r="A1176" s="28"/>
      <c r="B1176" s="180"/>
      <c r="C1176" s="35"/>
      <c r="D1176" s="36"/>
      <c r="E1176" s="36"/>
      <c r="F1176" s="142"/>
      <c r="G1176" s="142"/>
      <c r="H1176" s="142"/>
      <c r="I1176" s="142"/>
      <c r="J1176" s="142"/>
    </row>
    <row r="1177" spans="1:10" x14ac:dyDescent="0.25">
      <c r="A1177" s="28"/>
      <c r="B1177" s="180"/>
      <c r="C1177" s="35"/>
      <c r="D1177" s="36"/>
      <c r="E1177" s="36"/>
      <c r="F1177" s="142"/>
      <c r="G1177" s="142"/>
      <c r="H1177" s="142"/>
      <c r="I1177" s="142"/>
      <c r="J1177" s="142"/>
    </row>
    <row r="1178" spans="1:10" x14ac:dyDescent="0.25">
      <c r="A1178" s="28"/>
      <c r="B1178" s="180"/>
      <c r="C1178" s="35"/>
      <c r="D1178" s="36"/>
      <c r="E1178" s="36"/>
      <c r="F1178" s="142"/>
      <c r="G1178" s="142"/>
      <c r="H1178" s="142"/>
      <c r="I1178" s="142"/>
      <c r="J1178" s="142"/>
    </row>
    <row r="1179" spans="1:10" x14ac:dyDescent="0.25">
      <c r="A1179" s="28"/>
      <c r="B1179" s="180"/>
      <c r="C1179" s="35"/>
      <c r="D1179" s="36"/>
      <c r="E1179" s="36"/>
      <c r="F1179" s="142"/>
      <c r="G1179" s="142"/>
      <c r="H1179" s="142"/>
      <c r="I1179" s="142"/>
      <c r="J1179" s="142"/>
    </row>
    <row r="1180" spans="1:10" x14ac:dyDescent="0.25">
      <c r="A1180" s="28"/>
      <c r="B1180" s="180"/>
      <c r="C1180" s="35"/>
      <c r="D1180" s="36"/>
      <c r="E1180" s="36"/>
      <c r="F1180" s="142"/>
      <c r="G1180" s="142"/>
      <c r="H1180" s="142"/>
      <c r="I1180" s="142"/>
      <c r="J1180" s="142"/>
    </row>
    <row r="1181" spans="1:10" x14ac:dyDescent="0.25">
      <c r="A1181" s="28"/>
      <c r="B1181" s="180"/>
      <c r="C1181" s="35"/>
      <c r="D1181" s="36"/>
      <c r="E1181" s="36"/>
      <c r="F1181" s="142"/>
      <c r="G1181" s="142"/>
      <c r="H1181" s="142"/>
      <c r="I1181" s="142"/>
      <c r="J1181" s="142"/>
    </row>
    <row r="1182" spans="1:10" x14ac:dyDescent="0.25">
      <c r="A1182" s="28"/>
      <c r="B1182" s="180"/>
      <c r="C1182" s="35"/>
      <c r="D1182" s="36"/>
      <c r="E1182" s="36"/>
      <c r="F1182" s="142"/>
      <c r="G1182" s="142"/>
      <c r="H1182" s="142"/>
      <c r="I1182" s="142"/>
      <c r="J1182" s="142"/>
    </row>
    <row r="1183" spans="1:10" x14ac:dyDescent="0.25">
      <c r="A1183" s="28"/>
      <c r="B1183" s="180"/>
      <c r="C1183" s="35"/>
      <c r="D1183" s="36"/>
      <c r="E1183" s="36"/>
      <c r="F1183" s="142"/>
      <c r="G1183" s="142"/>
      <c r="H1183" s="142"/>
      <c r="I1183" s="142"/>
      <c r="J1183" s="142"/>
    </row>
    <row r="1184" spans="1:10" x14ac:dyDescent="0.25">
      <c r="A1184" s="28"/>
      <c r="B1184" s="180"/>
      <c r="C1184" s="35"/>
      <c r="D1184" s="36"/>
      <c r="E1184" s="36"/>
      <c r="F1184" s="142"/>
      <c r="G1184" s="142"/>
      <c r="H1184" s="142"/>
      <c r="I1184" s="142"/>
      <c r="J1184" s="142"/>
    </row>
    <row r="1185" spans="1:10" x14ac:dyDescent="0.25">
      <c r="A1185" s="28"/>
      <c r="B1185" s="180"/>
      <c r="C1185" s="35"/>
      <c r="D1185" s="36"/>
      <c r="E1185" s="36"/>
      <c r="F1185" s="142"/>
      <c r="G1185" s="142"/>
      <c r="H1185" s="142"/>
      <c r="I1185" s="142"/>
      <c r="J1185" s="142"/>
    </row>
    <row r="1186" spans="1:10" x14ac:dyDescent="0.25">
      <c r="A1186" s="28"/>
      <c r="B1186" s="180"/>
      <c r="C1186" s="35"/>
      <c r="D1186" s="36"/>
      <c r="E1186" s="36"/>
      <c r="F1186" s="142"/>
      <c r="G1186" s="142"/>
      <c r="H1186" s="142"/>
      <c r="I1186" s="142"/>
      <c r="J1186" s="142"/>
    </row>
    <row r="1187" spans="1:10" x14ac:dyDescent="0.25">
      <c r="A1187" s="28"/>
      <c r="B1187" s="180"/>
      <c r="C1187" s="35"/>
      <c r="D1187" s="36"/>
      <c r="E1187" s="36"/>
      <c r="F1187" s="142"/>
      <c r="G1187" s="142"/>
      <c r="H1187" s="142"/>
      <c r="I1187" s="142"/>
      <c r="J1187" s="142"/>
    </row>
    <row r="1188" spans="1:10" x14ac:dyDescent="0.25">
      <c r="A1188" s="28"/>
      <c r="B1188" s="180"/>
      <c r="C1188" s="35"/>
      <c r="D1188" s="36"/>
      <c r="E1188" s="36"/>
      <c r="F1188" s="142"/>
      <c r="G1188" s="142"/>
      <c r="H1188" s="142"/>
      <c r="I1188" s="142"/>
      <c r="J1188" s="142"/>
    </row>
    <row r="1189" spans="1:10" x14ac:dyDescent="0.25">
      <c r="A1189" s="28"/>
      <c r="B1189" s="180"/>
      <c r="C1189" s="35"/>
      <c r="D1189" s="36"/>
      <c r="E1189" s="36"/>
      <c r="F1189" s="142"/>
      <c r="G1189" s="142"/>
      <c r="H1189" s="142"/>
      <c r="I1189" s="142"/>
      <c r="J1189" s="142"/>
    </row>
    <row r="1190" spans="1:10" x14ac:dyDescent="0.25">
      <c r="A1190" s="28"/>
      <c r="B1190" s="180"/>
      <c r="C1190" s="35"/>
      <c r="D1190" s="36"/>
      <c r="E1190" s="36"/>
      <c r="F1190" s="142"/>
      <c r="G1190" s="142"/>
      <c r="H1190" s="142"/>
      <c r="I1190" s="142"/>
      <c r="J1190" s="142"/>
    </row>
    <row r="1191" spans="1:10" x14ac:dyDescent="0.25">
      <c r="A1191" s="28"/>
      <c r="B1191" s="180"/>
      <c r="C1191" s="35"/>
      <c r="D1191" s="36"/>
      <c r="E1191" s="36"/>
      <c r="F1191" s="142"/>
      <c r="G1191" s="142"/>
      <c r="H1191" s="142"/>
      <c r="I1191" s="142"/>
      <c r="J1191" s="142"/>
    </row>
    <row r="1192" spans="1:10" x14ac:dyDescent="0.25">
      <c r="A1192" s="28"/>
      <c r="B1192" s="180"/>
      <c r="C1192" s="35"/>
      <c r="D1192" s="36"/>
      <c r="E1192" s="36"/>
      <c r="F1192" s="142"/>
      <c r="G1192" s="142"/>
      <c r="H1192" s="142"/>
      <c r="I1192" s="142"/>
      <c r="J1192" s="142"/>
    </row>
    <row r="1193" spans="1:10" x14ac:dyDescent="0.25">
      <c r="A1193" s="28"/>
      <c r="B1193" s="180"/>
      <c r="C1193" s="35"/>
      <c r="D1193" s="36"/>
      <c r="E1193" s="36"/>
      <c r="F1193" s="142"/>
      <c r="G1193" s="142"/>
      <c r="H1193" s="142"/>
      <c r="I1193" s="142"/>
      <c r="J1193" s="142"/>
    </row>
    <row r="1194" spans="1:10" x14ac:dyDescent="0.25">
      <c r="A1194" s="28"/>
      <c r="B1194" s="180"/>
      <c r="C1194" s="35"/>
      <c r="D1194" s="36"/>
      <c r="E1194" s="36"/>
      <c r="F1194" s="142"/>
      <c r="G1194" s="142"/>
      <c r="H1194" s="142"/>
      <c r="I1194" s="142"/>
      <c r="J1194" s="142"/>
    </row>
    <row r="1195" spans="1:10" x14ac:dyDescent="0.25">
      <c r="A1195" s="28"/>
      <c r="B1195" s="180"/>
      <c r="C1195" s="35"/>
      <c r="D1195" s="36"/>
      <c r="E1195" s="36"/>
      <c r="F1195" s="142"/>
      <c r="G1195" s="142"/>
      <c r="H1195" s="142"/>
      <c r="I1195" s="142"/>
      <c r="J1195" s="142"/>
    </row>
    <row r="1196" spans="1:10" x14ac:dyDescent="0.25">
      <c r="A1196" s="28"/>
      <c r="B1196" s="180"/>
      <c r="C1196" s="35"/>
      <c r="D1196" s="36"/>
      <c r="E1196" s="36"/>
      <c r="F1196" s="142"/>
      <c r="G1196" s="142"/>
      <c r="H1196" s="142"/>
      <c r="I1196" s="142"/>
      <c r="J1196" s="142"/>
    </row>
    <row r="1197" spans="1:10" x14ac:dyDescent="0.25">
      <c r="A1197" s="28"/>
      <c r="B1197" s="180"/>
      <c r="C1197" s="35"/>
      <c r="D1197" s="36"/>
      <c r="E1197" s="36"/>
      <c r="F1197" s="142"/>
      <c r="G1197" s="142"/>
      <c r="H1197" s="142"/>
      <c r="I1197" s="142"/>
      <c r="J1197" s="142"/>
    </row>
    <row r="1198" spans="1:10" x14ac:dyDescent="0.25">
      <c r="A1198" s="28"/>
      <c r="B1198" s="180"/>
      <c r="C1198" s="35"/>
      <c r="D1198" s="36"/>
      <c r="E1198" s="36"/>
      <c r="F1198" s="142"/>
      <c r="G1198" s="142"/>
      <c r="H1198" s="142"/>
      <c r="I1198" s="142"/>
      <c r="J1198" s="142"/>
    </row>
    <row r="1199" spans="1:10" x14ac:dyDescent="0.25">
      <c r="A1199" s="28"/>
      <c r="B1199" s="180"/>
      <c r="C1199" s="35"/>
      <c r="D1199" s="36"/>
      <c r="E1199" s="36"/>
      <c r="F1199" s="142"/>
      <c r="G1199" s="142"/>
      <c r="H1199" s="142"/>
      <c r="I1199" s="142"/>
      <c r="J1199" s="142"/>
    </row>
    <row r="1200" spans="1:10" x14ac:dyDescent="0.25">
      <c r="A1200" s="28"/>
      <c r="B1200" s="180"/>
      <c r="C1200" s="35"/>
      <c r="D1200" s="36"/>
      <c r="E1200" s="36"/>
      <c r="F1200" s="142"/>
      <c r="G1200" s="142"/>
      <c r="H1200" s="142"/>
      <c r="I1200" s="142"/>
      <c r="J1200" s="142"/>
    </row>
    <row r="1201" spans="1:10" x14ac:dyDescent="0.25">
      <c r="A1201" s="28"/>
      <c r="B1201" s="180"/>
      <c r="C1201" s="35"/>
      <c r="D1201" s="36"/>
      <c r="E1201" s="36"/>
      <c r="F1201" s="142"/>
      <c r="G1201" s="142"/>
      <c r="H1201" s="142"/>
      <c r="I1201" s="142"/>
      <c r="J1201" s="142"/>
    </row>
    <row r="1202" spans="1:10" x14ac:dyDescent="0.25">
      <c r="A1202" s="28"/>
      <c r="B1202" s="180"/>
      <c r="C1202" s="35"/>
      <c r="D1202" s="36"/>
      <c r="E1202" s="36"/>
      <c r="F1202" s="142"/>
      <c r="G1202" s="142"/>
      <c r="H1202" s="142"/>
      <c r="I1202" s="142"/>
      <c r="J1202" s="142"/>
    </row>
    <row r="1203" spans="1:10" x14ac:dyDescent="0.25">
      <c r="A1203" s="28"/>
      <c r="B1203" s="180"/>
      <c r="C1203" s="35"/>
      <c r="D1203" s="36"/>
      <c r="E1203" s="36"/>
      <c r="F1203" s="142"/>
      <c r="G1203" s="142"/>
      <c r="H1203" s="142"/>
      <c r="I1203" s="142"/>
      <c r="J1203" s="142"/>
    </row>
    <row r="1204" spans="1:10" x14ac:dyDescent="0.25">
      <c r="A1204" s="28"/>
      <c r="B1204" s="180"/>
      <c r="C1204" s="35"/>
      <c r="D1204" s="36"/>
      <c r="E1204" s="36"/>
      <c r="F1204" s="142"/>
      <c r="G1204" s="142"/>
      <c r="H1204" s="142"/>
      <c r="I1204" s="142"/>
      <c r="J1204" s="142"/>
    </row>
    <row r="1205" spans="1:10" x14ac:dyDescent="0.25">
      <c r="A1205" s="28"/>
      <c r="B1205" s="180"/>
      <c r="C1205" s="35"/>
      <c r="D1205" s="36"/>
      <c r="E1205" s="36"/>
      <c r="F1205" s="142"/>
      <c r="G1205" s="142"/>
      <c r="H1205" s="142"/>
      <c r="I1205" s="142"/>
      <c r="J1205" s="142"/>
    </row>
    <row r="1206" spans="1:10" x14ac:dyDescent="0.25">
      <c r="A1206" s="28"/>
      <c r="B1206" s="180"/>
      <c r="C1206" s="35"/>
      <c r="D1206" s="36"/>
      <c r="E1206" s="36"/>
      <c r="F1206" s="142"/>
      <c r="G1206" s="142"/>
      <c r="H1206" s="142"/>
      <c r="I1206" s="142"/>
      <c r="J1206" s="142"/>
    </row>
    <row r="1207" spans="1:10" x14ac:dyDescent="0.25">
      <c r="A1207" s="28"/>
      <c r="B1207" s="180"/>
      <c r="C1207" s="35"/>
      <c r="D1207" s="36"/>
      <c r="E1207" s="36"/>
      <c r="F1207" s="142"/>
      <c r="G1207" s="142"/>
      <c r="H1207" s="142"/>
      <c r="I1207" s="142"/>
      <c r="J1207" s="142"/>
    </row>
    <row r="1208" spans="1:10" x14ac:dyDescent="0.25">
      <c r="A1208" s="28"/>
      <c r="B1208" s="180"/>
      <c r="C1208" s="35"/>
      <c r="D1208" s="36"/>
      <c r="E1208" s="36"/>
      <c r="F1208" s="142"/>
      <c r="G1208" s="142"/>
      <c r="H1208" s="142"/>
      <c r="I1208" s="142"/>
      <c r="J1208" s="142"/>
    </row>
    <row r="1209" spans="1:10" x14ac:dyDescent="0.25">
      <c r="A1209" s="28"/>
      <c r="B1209" s="180"/>
      <c r="C1209" s="35"/>
      <c r="D1209" s="36"/>
      <c r="E1209" s="36"/>
      <c r="F1209" s="142"/>
      <c r="G1209" s="142"/>
      <c r="H1209" s="142"/>
      <c r="I1209" s="142"/>
      <c r="J1209" s="142"/>
    </row>
    <row r="1210" spans="1:10" x14ac:dyDescent="0.25">
      <c r="A1210" s="28"/>
      <c r="B1210" s="180"/>
      <c r="C1210" s="35"/>
      <c r="D1210" s="36"/>
      <c r="E1210" s="36"/>
      <c r="F1210" s="142"/>
      <c r="G1210" s="142"/>
      <c r="H1210" s="142"/>
      <c r="I1210" s="142"/>
      <c r="J1210" s="142"/>
    </row>
    <row r="1211" spans="1:10" x14ac:dyDescent="0.25">
      <c r="A1211" s="28"/>
      <c r="B1211" s="180"/>
      <c r="C1211" s="35"/>
      <c r="D1211" s="36"/>
      <c r="E1211" s="36"/>
      <c r="F1211" s="142"/>
      <c r="G1211" s="142"/>
      <c r="H1211" s="142"/>
      <c r="I1211" s="142"/>
      <c r="J1211" s="142"/>
    </row>
    <row r="1212" spans="1:10" x14ac:dyDescent="0.25">
      <c r="A1212" s="28"/>
      <c r="B1212" s="180"/>
      <c r="C1212" s="35"/>
      <c r="D1212" s="36"/>
      <c r="E1212" s="36"/>
      <c r="F1212" s="142"/>
      <c r="G1212" s="142"/>
      <c r="H1212" s="142"/>
      <c r="I1212" s="142"/>
      <c r="J1212" s="142"/>
    </row>
    <row r="1213" spans="1:10" x14ac:dyDescent="0.25">
      <c r="A1213" s="28"/>
      <c r="B1213" s="180"/>
      <c r="C1213" s="35"/>
      <c r="D1213" s="36"/>
      <c r="E1213" s="36"/>
      <c r="F1213" s="142"/>
      <c r="G1213" s="142"/>
      <c r="H1213" s="142"/>
      <c r="I1213" s="142"/>
      <c r="J1213" s="142"/>
    </row>
    <row r="1214" spans="1:10" x14ac:dyDescent="0.25">
      <c r="A1214" s="28"/>
      <c r="B1214" s="180"/>
      <c r="C1214" s="35"/>
      <c r="D1214" s="36"/>
      <c r="E1214" s="36"/>
      <c r="F1214" s="142"/>
      <c r="G1214" s="142"/>
      <c r="H1214" s="142"/>
      <c r="I1214" s="142"/>
      <c r="J1214" s="142"/>
    </row>
    <row r="1215" spans="1:10" x14ac:dyDescent="0.25">
      <c r="A1215" s="28"/>
      <c r="B1215" s="180"/>
      <c r="C1215" s="35"/>
      <c r="D1215" s="36"/>
      <c r="E1215" s="36"/>
      <c r="F1215" s="142"/>
      <c r="G1215" s="142"/>
      <c r="H1215" s="142"/>
      <c r="I1215" s="142"/>
      <c r="J1215" s="142"/>
    </row>
    <row r="1216" spans="1:10" x14ac:dyDescent="0.25">
      <c r="A1216" s="28"/>
      <c r="B1216" s="180"/>
      <c r="C1216" s="35"/>
      <c r="D1216" s="36"/>
      <c r="E1216" s="36"/>
      <c r="F1216" s="142"/>
      <c r="G1216" s="142"/>
      <c r="H1216" s="142"/>
      <c r="I1216" s="142"/>
      <c r="J1216" s="142"/>
    </row>
    <row r="1217" spans="1:10" x14ac:dyDescent="0.25">
      <c r="A1217" s="28"/>
      <c r="B1217" s="180"/>
      <c r="C1217" s="35"/>
      <c r="D1217" s="36"/>
      <c r="E1217" s="36"/>
      <c r="F1217" s="142"/>
      <c r="G1217" s="142"/>
      <c r="H1217" s="142"/>
      <c r="I1217" s="142"/>
      <c r="J1217" s="142"/>
    </row>
    <row r="1218" spans="1:10" x14ac:dyDescent="0.25">
      <c r="A1218" s="28"/>
      <c r="B1218" s="180"/>
      <c r="C1218" s="35"/>
      <c r="D1218" s="36"/>
      <c r="E1218" s="36"/>
      <c r="F1218" s="142"/>
      <c r="G1218" s="142"/>
      <c r="H1218" s="142"/>
      <c r="I1218" s="142"/>
      <c r="J1218" s="142"/>
    </row>
    <row r="1219" spans="1:10" x14ac:dyDescent="0.25">
      <c r="A1219" s="28"/>
      <c r="B1219" s="180"/>
      <c r="C1219" s="35"/>
      <c r="D1219" s="36"/>
      <c r="E1219" s="36"/>
      <c r="F1219" s="142"/>
      <c r="G1219" s="142"/>
      <c r="H1219" s="142"/>
      <c r="I1219" s="142"/>
      <c r="J1219" s="142"/>
    </row>
    <row r="1220" spans="1:10" x14ac:dyDescent="0.25">
      <c r="A1220" s="28"/>
      <c r="B1220" s="180"/>
      <c r="C1220" s="35"/>
      <c r="D1220" s="36"/>
      <c r="E1220" s="36"/>
      <c r="F1220" s="142"/>
      <c r="G1220" s="142"/>
      <c r="H1220" s="142"/>
      <c r="I1220" s="142"/>
      <c r="J1220" s="142"/>
    </row>
    <row r="1221" spans="1:10" x14ac:dyDescent="0.25">
      <c r="A1221" s="28"/>
      <c r="B1221" s="180"/>
      <c r="C1221" s="35"/>
      <c r="D1221" s="36"/>
      <c r="E1221" s="36"/>
      <c r="F1221" s="142"/>
      <c r="G1221" s="142"/>
      <c r="H1221" s="142"/>
      <c r="I1221" s="142"/>
      <c r="J1221" s="142"/>
    </row>
    <row r="1222" spans="1:10" x14ac:dyDescent="0.25">
      <c r="A1222" s="28"/>
      <c r="B1222" s="180"/>
      <c r="C1222" s="35"/>
      <c r="D1222" s="36"/>
      <c r="E1222" s="36"/>
      <c r="F1222" s="142"/>
      <c r="G1222" s="142"/>
      <c r="H1222" s="142"/>
      <c r="I1222" s="142"/>
      <c r="J1222" s="142"/>
    </row>
    <row r="1223" spans="1:10" x14ac:dyDescent="0.25">
      <c r="A1223" s="28"/>
      <c r="B1223" s="180"/>
      <c r="C1223" s="35"/>
      <c r="D1223" s="36"/>
      <c r="E1223" s="36"/>
      <c r="F1223" s="142"/>
      <c r="G1223" s="142"/>
      <c r="H1223" s="142"/>
      <c r="I1223" s="142"/>
      <c r="J1223" s="142"/>
    </row>
    <row r="1224" spans="1:10" x14ac:dyDescent="0.25">
      <c r="A1224" s="28"/>
      <c r="B1224" s="180"/>
      <c r="C1224" s="35"/>
      <c r="D1224" s="36"/>
      <c r="E1224" s="36"/>
      <c r="F1224" s="142"/>
      <c r="G1224" s="142"/>
      <c r="H1224" s="142"/>
      <c r="I1224" s="142"/>
      <c r="J1224" s="142"/>
    </row>
    <row r="1225" spans="1:10" x14ac:dyDescent="0.25">
      <c r="A1225" s="28"/>
      <c r="B1225" s="180"/>
      <c r="C1225" s="35"/>
      <c r="D1225" s="36"/>
      <c r="E1225" s="36"/>
      <c r="F1225" s="142"/>
      <c r="G1225" s="142"/>
      <c r="H1225" s="142"/>
      <c r="I1225" s="142"/>
      <c r="J1225" s="142"/>
    </row>
    <row r="1226" spans="1:10" x14ac:dyDescent="0.25">
      <c r="A1226" s="28"/>
      <c r="B1226" s="180"/>
      <c r="C1226" s="35"/>
      <c r="D1226" s="36"/>
      <c r="E1226" s="36"/>
      <c r="F1226" s="142"/>
      <c r="G1226" s="142"/>
      <c r="H1226" s="142"/>
      <c r="I1226" s="142"/>
      <c r="J1226" s="142"/>
    </row>
    <row r="1227" spans="1:10" x14ac:dyDescent="0.25">
      <c r="A1227" s="28"/>
      <c r="B1227" s="180"/>
      <c r="C1227" s="35"/>
      <c r="D1227" s="36"/>
      <c r="E1227" s="36"/>
      <c r="F1227" s="142"/>
      <c r="G1227" s="142"/>
      <c r="H1227" s="142"/>
      <c r="I1227" s="142"/>
      <c r="J1227" s="142"/>
    </row>
    <row r="1228" spans="1:10" x14ac:dyDescent="0.25">
      <c r="A1228" s="28"/>
      <c r="B1228" s="180"/>
      <c r="C1228" s="35"/>
      <c r="D1228" s="36"/>
      <c r="E1228" s="36"/>
      <c r="F1228" s="142"/>
      <c r="G1228" s="142"/>
      <c r="H1228" s="142"/>
      <c r="I1228" s="142"/>
      <c r="J1228" s="142"/>
    </row>
    <row r="1229" spans="1:10" x14ac:dyDescent="0.25">
      <c r="A1229" s="28"/>
      <c r="B1229" s="180"/>
      <c r="C1229" s="35"/>
      <c r="D1229" s="36"/>
      <c r="E1229" s="36"/>
      <c r="F1229" s="142"/>
      <c r="G1229" s="142"/>
      <c r="H1229" s="142"/>
      <c r="I1229" s="142"/>
      <c r="J1229" s="142"/>
    </row>
    <row r="1230" spans="1:10" x14ac:dyDescent="0.25">
      <c r="A1230" s="28"/>
      <c r="B1230" s="180"/>
      <c r="C1230" s="35"/>
      <c r="D1230" s="36"/>
      <c r="E1230" s="36"/>
      <c r="F1230" s="142"/>
      <c r="G1230" s="142"/>
      <c r="H1230" s="142"/>
      <c r="I1230" s="142"/>
      <c r="J1230" s="142"/>
    </row>
    <row r="1231" spans="1:10" x14ac:dyDescent="0.25">
      <c r="A1231" s="28"/>
      <c r="B1231" s="180"/>
      <c r="C1231" s="35"/>
      <c r="D1231" s="36"/>
      <c r="E1231" s="36"/>
      <c r="F1231" s="142"/>
      <c r="G1231" s="142"/>
      <c r="H1231" s="142"/>
      <c r="I1231" s="142"/>
      <c r="J1231" s="142"/>
    </row>
    <row r="1232" spans="1:10" x14ac:dyDescent="0.25">
      <c r="A1232" s="28"/>
      <c r="B1232" s="180"/>
      <c r="C1232" s="35"/>
      <c r="D1232" s="36"/>
      <c r="E1232" s="36"/>
      <c r="F1232" s="142"/>
      <c r="G1232" s="142"/>
      <c r="H1232" s="142"/>
      <c r="I1232" s="142"/>
      <c r="J1232" s="142"/>
    </row>
    <row r="1233" spans="1:10" x14ac:dyDescent="0.25">
      <c r="A1233" s="28"/>
      <c r="B1233" s="180"/>
      <c r="C1233" s="35"/>
      <c r="D1233" s="36"/>
      <c r="E1233" s="36"/>
      <c r="F1233" s="142"/>
      <c r="G1233" s="142"/>
      <c r="H1233" s="142"/>
      <c r="I1233" s="142"/>
      <c r="J1233" s="142"/>
    </row>
    <row r="1234" spans="1:10" x14ac:dyDescent="0.25">
      <c r="A1234" s="28"/>
      <c r="B1234" s="180"/>
      <c r="C1234" s="35"/>
      <c r="D1234" s="36"/>
      <c r="E1234" s="36"/>
      <c r="F1234" s="142"/>
      <c r="G1234" s="142"/>
      <c r="H1234" s="142"/>
      <c r="I1234" s="142"/>
      <c r="J1234" s="142"/>
    </row>
    <row r="1235" spans="1:10" x14ac:dyDescent="0.25">
      <c r="A1235" s="28"/>
      <c r="B1235" s="180"/>
      <c r="C1235" s="35"/>
      <c r="D1235" s="36"/>
      <c r="E1235" s="36"/>
      <c r="F1235" s="142"/>
      <c r="G1235" s="142"/>
      <c r="H1235" s="142"/>
      <c r="I1235" s="142"/>
      <c r="J1235" s="142"/>
    </row>
    <row r="1236" spans="1:10" x14ac:dyDescent="0.25">
      <c r="A1236" s="28"/>
      <c r="B1236" s="180"/>
      <c r="C1236" s="35"/>
      <c r="D1236" s="36"/>
      <c r="E1236" s="36"/>
      <c r="F1236" s="142"/>
      <c r="G1236" s="142"/>
      <c r="H1236" s="142"/>
      <c r="I1236" s="142"/>
      <c r="J1236" s="142"/>
    </row>
    <row r="1237" spans="1:10" x14ac:dyDescent="0.25">
      <c r="A1237" s="28"/>
      <c r="B1237" s="180"/>
      <c r="C1237" s="35"/>
      <c r="D1237" s="36"/>
      <c r="E1237" s="36"/>
      <c r="F1237" s="142"/>
      <c r="G1237" s="142"/>
      <c r="H1237" s="142"/>
      <c r="I1237" s="142"/>
      <c r="J1237" s="142"/>
    </row>
    <row r="1238" spans="1:10" x14ac:dyDescent="0.25">
      <c r="A1238" s="28"/>
      <c r="B1238" s="180"/>
      <c r="C1238" s="35"/>
      <c r="D1238" s="36"/>
      <c r="E1238" s="36"/>
      <c r="F1238" s="142"/>
      <c r="G1238" s="142"/>
      <c r="H1238" s="142"/>
      <c r="I1238" s="142"/>
      <c r="J1238" s="142"/>
    </row>
    <row r="1239" spans="1:10" x14ac:dyDescent="0.25">
      <c r="A1239" s="28"/>
      <c r="B1239" s="180"/>
      <c r="C1239" s="35"/>
      <c r="D1239" s="36"/>
      <c r="E1239" s="36"/>
      <c r="F1239" s="142"/>
      <c r="G1239" s="142"/>
      <c r="H1239" s="142"/>
      <c r="I1239" s="142"/>
      <c r="J1239" s="142"/>
    </row>
    <row r="1240" spans="1:10" x14ac:dyDescent="0.25">
      <c r="A1240" s="28"/>
      <c r="B1240" s="180"/>
      <c r="C1240" s="35"/>
      <c r="D1240" s="36"/>
      <c r="E1240" s="36"/>
      <c r="F1240" s="142"/>
      <c r="G1240" s="142"/>
      <c r="H1240" s="142"/>
      <c r="I1240" s="142"/>
      <c r="J1240" s="142"/>
    </row>
    <row r="1241" spans="1:10" x14ac:dyDescent="0.25">
      <c r="A1241" s="28"/>
      <c r="B1241" s="180"/>
      <c r="C1241" s="35"/>
      <c r="D1241" s="36"/>
      <c r="E1241" s="36"/>
      <c r="F1241" s="142"/>
      <c r="G1241" s="142"/>
      <c r="H1241" s="142"/>
      <c r="I1241" s="142"/>
      <c r="J1241" s="142"/>
    </row>
    <row r="1242" spans="1:10" x14ac:dyDescent="0.25">
      <c r="A1242" s="28"/>
      <c r="B1242" s="180"/>
      <c r="C1242" s="35"/>
      <c r="D1242" s="36"/>
      <c r="E1242" s="36"/>
      <c r="F1242" s="142"/>
      <c r="G1242" s="142"/>
      <c r="H1242" s="142"/>
      <c r="I1242" s="142"/>
      <c r="J1242" s="142"/>
    </row>
    <row r="1243" spans="1:10" x14ac:dyDescent="0.25">
      <c r="A1243" s="28"/>
      <c r="B1243" s="180"/>
      <c r="C1243" s="35"/>
      <c r="D1243" s="36"/>
      <c r="E1243" s="36"/>
      <c r="F1243" s="142"/>
      <c r="G1243" s="142"/>
      <c r="H1243" s="142"/>
      <c r="I1243" s="142"/>
      <c r="J1243" s="142"/>
    </row>
    <row r="1244" spans="1:10" x14ac:dyDescent="0.25">
      <c r="A1244" s="28"/>
      <c r="B1244" s="180"/>
      <c r="C1244" s="35"/>
      <c r="D1244" s="36"/>
      <c r="E1244" s="36"/>
      <c r="F1244" s="142"/>
      <c r="G1244" s="142"/>
      <c r="H1244" s="142"/>
      <c r="I1244" s="142"/>
      <c r="J1244" s="142"/>
    </row>
    <row r="1245" spans="1:10" x14ac:dyDescent="0.25">
      <c r="A1245" s="28"/>
      <c r="B1245" s="180"/>
      <c r="C1245" s="35"/>
      <c r="D1245" s="36"/>
      <c r="E1245" s="36"/>
      <c r="F1245" s="142"/>
      <c r="G1245" s="142"/>
      <c r="H1245" s="142"/>
      <c r="I1245" s="142"/>
      <c r="J1245" s="142"/>
    </row>
    <row r="1246" spans="1:10" x14ac:dyDescent="0.25">
      <c r="A1246" s="28"/>
      <c r="B1246" s="180"/>
      <c r="C1246" s="35"/>
      <c r="D1246" s="36"/>
      <c r="E1246" s="36"/>
      <c r="F1246" s="142"/>
      <c r="G1246" s="142"/>
      <c r="H1246" s="142"/>
      <c r="I1246" s="142"/>
      <c r="J1246" s="142"/>
    </row>
    <row r="1247" spans="1:10" x14ac:dyDescent="0.25">
      <c r="A1247" s="28"/>
      <c r="B1247" s="180"/>
      <c r="C1247" s="35"/>
      <c r="D1247" s="36"/>
      <c r="E1247" s="36"/>
      <c r="F1247" s="142"/>
      <c r="G1247" s="142"/>
      <c r="H1247" s="142"/>
      <c r="I1247" s="142"/>
      <c r="J1247" s="142"/>
    </row>
    <row r="1248" spans="1:10" x14ac:dyDescent="0.25">
      <c r="A1248" s="28"/>
      <c r="B1248" s="180"/>
      <c r="C1248" s="35"/>
      <c r="D1248" s="36"/>
      <c r="E1248" s="36"/>
      <c r="F1248" s="142"/>
      <c r="G1248" s="142"/>
      <c r="H1248" s="142"/>
      <c r="I1248" s="142"/>
      <c r="J1248" s="142"/>
    </row>
    <row r="1249" spans="1:10" x14ac:dyDescent="0.25">
      <c r="A1249" s="28"/>
      <c r="B1249" s="180"/>
      <c r="C1249" s="35"/>
      <c r="D1249" s="36"/>
      <c r="E1249" s="36"/>
      <c r="F1249" s="142"/>
      <c r="G1249" s="142"/>
      <c r="H1249" s="142"/>
      <c r="I1249" s="142"/>
      <c r="J1249" s="142"/>
    </row>
    <row r="1250" spans="1:10" x14ac:dyDescent="0.25">
      <c r="A1250" s="28"/>
      <c r="B1250" s="180"/>
      <c r="C1250" s="35"/>
      <c r="D1250" s="36"/>
      <c r="E1250" s="36"/>
      <c r="F1250" s="142"/>
      <c r="G1250" s="142"/>
      <c r="H1250" s="142"/>
      <c r="I1250" s="142"/>
      <c r="J1250" s="142"/>
    </row>
    <row r="1251" spans="1:10" x14ac:dyDescent="0.25">
      <c r="A1251" s="28"/>
      <c r="B1251" s="180"/>
      <c r="C1251" s="35"/>
      <c r="D1251" s="36"/>
      <c r="E1251" s="36"/>
      <c r="F1251" s="142"/>
      <c r="G1251" s="142"/>
      <c r="H1251" s="142"/>
      <c r="I1251" s="142"/>
      <c r="J1251" s="142"/>
    </row>
    <row r="1252" spans="1:10" x14ac:dyDescent="0.25">
      <c r="A1252" s="28"/>
      <c r="B1252" s="180"/>
      <c r="C1252" s="35"/>
      <c r="D1252" s="36"/>
      <c r="E1252" s="36"/>
      <c r="F1252" s="142"/>
      <c r="G1252" s="142"/>
      <c r="H1252" s="142"/>
      <c r="I1252" s="142"/>
      <c r="J1252" s="142"/>
    </row>
    <row r="1253" spans="1:10" x14ac:dyDescent="0.25">
      <c r="A1253" s="28"/>
      <c r="B1253" s="180"/>
      <c r="C1253" s="35"/>
      <c r="D1253" s="36"/>
      <c r="E1253" s="36"/>
      <c r="F1253" s="142"/>
      <c r="G1253" s="142"/>
      <c r="H1253" s="142"/>
      <c r="I1253" s="142"/>
      <c r="J1253" s="142"/>
    </row>
    <row r="1254" spans="1:10" x14ac:dyDescent="0.25">
      <c r="A1254" s="28"/>
      <c r="B1254" s="180"/>
      <c r="C1254" s="35"/>
      <c r="D1254" s="36"/>
      <c r="E1254" s="36"/>
      <c r="F1254" s="142"/>
      <c r="G1254" s="142"/>
      <c r="H1254" s="142"/>
      <c r="I1254" s="142"/>
      <c r="J1254" s="142"/>
    </row>
    <row r="1255" spans="1:10" x14ac:dyDescent="0.25">
      <c r="A1255" s="28"/>
      <c r="B1255" s="180"/>
      <c r="C1255" s="35"/>
      <c r="D1255" s="36"/>
      <c r="E1255" s="36"/>
      <c r="F1255" s="142"/>
      <c r="G1255" s="142"/>
      <c r="H1255" s="142"/>
      <c r="I1255" s="142"/>
      <c r="J1255" s="142"/>
    </row>
    <row r="1256" spans="1:10" x14ac:dyDescent="0.25">
      <c r="A1256" s="28"/>
      <c r="B1256" s="180"/>
      <c r="C1256" s="35"/>
      <c r="D1256" s="36"/>
      <c r="E1256" s="36"/>
      <c r="F1256" s="142"/>
      <c r="G1256" s="142"/>
      <c r="H1256" s="142"/>
      <c r="I1256" s="142"/>
      <c r="J1256" s="142"/>
    </row>
    <row r="1257" spans="1:10" x14ac:dyDescent="0.25">
      <c r="A1257" s="28"/>
      <c r="B1257" s="180"/>
      <c r="C1257" s="35"/>
      <c r="D1257" s="36"/>
      <c r="E1257" s="36"/>
      <c r="F1257" s="142"/>
      <c r="G1257" s="142"/>
      <c r="H1257" s="142"/>
      <c r="I1257" s="142"/>
      <c r="J1257" s="142"/>
    </row>
    <row r="1258" spans="1:10" x14ac:dyDescent="0.25">
      <c r="A1258" s="28"/>
      <c r="B1258" s="180"/>
      <c r="C1258" s="35"/>
      <c r="D1258" s="36"/>
      <c r="E1258" s="36"/>
      <c r="F1258" s="142"/>
      <c r="G1258" s="142"/>
      <c r="H1258" s="142"/>
      <c r="I1258" s="142"/>
      <c r="J1258" s="142"/>
    </row>
    <row r="1259" spans="1:10" x14ac:dyDescent="0.25">
      <c r="A1259" s="28"/>
      <c r="B1259" s="180"/>
      <c r="C1259" s="35"/>
      <c r="D1259" s="36"/>
      <c r="E1259" s="36"/>
      <c r="F1259" s="142"/>
      <c r="G1259" s="142"/>
      <c r="H1259" s="142"/>
      <c r="I1259" s="142"/>
      <c r="J1259" s="142"/>
    </row>
    <row r="1260" spans="1:10" x14ac:dyDescent="0.25">
      <c r="A1260" s="28"/>
      <c r="B1260" s="180"/>
      <c r="C1260" s="35"/>
      <c r="D1260" s="36"/>
      <c r="E1260" s="36"/>
      <c r="F1260" s="142"/>
      <c r="G1260" s="142"/>
      <c r="H1260" s="142"/>
      <c r="I1260" s="142"/>
      <c r="J1260" s="142"/>
    </row>
    <row r="1261" spans="1:10" x14ac:dyDescent="0.25">
      <c r="A1261" s="28"/>
      <c r="B1261" s="180"/>
      <c r="C1261" s="35"/>
      <c r="D1261" s="36"/>
      <c r="E1261" s="36"/>
      <c r="F1261" s="142"/>
      <c r="G1261" s="142"/>
      <c r="H1261" s="142"/>
      <c r="I1261" s="142"/>
      <c r="J1261" s="142"/>
    </row>
    <row r="1262" spans="1:10" x14ac:dyDescent="0.25">
      <c r="A1262" s="28"/>
      <c r="B1262" s="180"/>
      <c r="C1262" s="35"/>
      <c r="D1262" s="36"/>
      <c r="E1262" s="36"/>
      <c r="F1262" s="142"/>
      <c r="G1262" s="142"/>
      <c r="H1262" s="142"/>
      <c r="I1262" s="142"/>
      <c r="J1262" s="142"/>
    </row>
    <row r="1263" spans="1:10" x14ac:dyDescent="0.25">
      <c r="A1263" s="28"/>
      <c r="B1263" s="180"/>
      <c r="C1263" s="35"/>
      <c r="D1263" s="36"/>
      <c r="E1263" s="36"/>
      <c r="F1263" s="142"/>
      <c r="G1263" s="142"/>
      <c r="H1263" s="142"/>
      <c r="I1263" s="142"/>
      <c r="J1263" s="142"/>
    </row>
    <row r="1264" spans="1:10" x14ac:dyDescent="0.25">
      <c r="A1264" s="28"/>
      <c r="B1264" s="180"/>
      <c r="C1264" s="35"/>
      <c r="D1264" s="36"/>
      <c r="E1264" s="36"/>
      <c r="F1264" s="142"/>
      <c r="G1264" s="142"/>
      <c r="H1264" s="142"/>
      <c r="I1264" s="142"/>
      <c r="J1264" s="142"/>
    </row>
    <row r="1265" spans="1:10" x14ac:dyDescent="0.25">
      <c r="A1265" s="28"/>
      <c r="B1265" s="180"/>
      <c r="C1265" s="35"/>
      <c r="D1265" s="36"/>
      <c r="E1265" s="36"/>
      <c r="F1265" s="142"/>
      <c r="G1265" s="142"/>
      <c r="H1265" s="142"/>
      <c r="I1265" s="142"/>
      <c r="J1265" s="142"/>
    </row>
    <row r="1266" spans="1:10" x14ac:dyDescent="0.25">
      <c r="A1266" s="28"/>
      <c r="B1266" s="180"/>
      <c r="C1266" s="35"/>
      <c r="D1266" s="36"/>
      <c r="E1266" s="36"/>
      <c r="F1266" s="142"/>
      <c r="G1266" s="142"/>
      <c r="H1266" s="142"/>
      <c r="I1266" s="142"/>
      <c r="J1266" s="142"/>
    </row>
    <row r="1267" spans="1:10" x14ac:dyDescent="0.25">
      <c r="A1267" s="28"/>
      <c r="B1267" s="180"/>
      <c r="C1267" s="35"/>
      <c r="D1267" s="36"/>
      <c r="E1267" s="36"/>
      <c r="F1267" s="142"/>
      <c r="G1267" s="142"/>
      <c r="H1267" s="142"/>
      <c r="I1267" s="142"/>
      <c r="J1267" s="142"/>
    </row>
    <row r="1268" spans="1:10" x14ac:dyDescent="0.25">
      <c r="A1268" s="28"/>
      <c r="B1268" s="180"/>
      <c r="C1268" s="35"/>
      <c r="D1268" s="36"/>
      <c r="E1268" s="36"/>
      <c r="F1268" s="142"/>
      <c r="G1268" s="142"/>
      <c r="H1268" s="142"/>
      <c r="I1268" s="142"/>
      <c r="J1268" s="142"/>
    </row>
    <row r="1269" spans="1:10" x14ac:dyDescent="0.25">
      <c r="A1269" s="28"/>
      <c r="B1269" s="180"/>
      <c r="C1269" s="35"/>
      <c r="D1269" s="36"/>
      <c r="E1269" s="36"/>
      <c r="F1269" s="142"/>
      <c r="G1269" s="142"/>
      <c r="H1269" s="142"/>
      <c r="I1269" s="142"/>
      <c r="J1269" s="142"/>
    </row>
    <row r="1270" spans="1:10" x14ac:dyDescent="0.25">
      <c r="A1270" s="28"/>
      <c r="B1270" s="180"/>
      <c r="C1270" s="35"/>
      <c r="D1270" s="36"/>
      <c r="E1270" s="36"/>
      <c r="F1270" s="142"/>
      <c r="G1270" s="142"/>
      <c r="H1270" s="142"/>
      <c r="I1270" s="142"/>
      <c r="J1270" s="142"/>
    </row>
    <row r="1271" spans="1:10" x14ac:dyDescent="0.25">
      <c r="A1271" s="28"/>
      <c r="B1271" s="180"/>
      <c r="C1271" s="35"/>
      <c r="D1271" s="36"/>
      <c r="E1271" s="36"/>
      <c r="F1271" s="142"/>
      <c r="G1271" s="142"/>
      <c r="H1271" s="142"/>
      <c r="I1271" s="142"/>
      <c r="J1271" s="142"/>
    </row>
    <row r="1272" spans="1:10" x14ac:dyDescent="0.25">
      <c r="A1272" s="28"/>
      <c r="B1272" s="180"/>
      <c r="C1272" s="35"/>
      <c r="D1272" s="36"/>
      <c r="E1272" s="36"/>
      <c r="F1272" s="142"/>
      <c r="G1272" s="142"/>
      <c r="H1272" s="142"/>
      <c r="I1272" s="142"/>
      <c r="J1272" s="142"/>
    </row>
    <row r="1273" spans="1:10" x14ac:dyDescent="0.25">
      <c r="A1273" s="28"/>
      <c r="B1273" s="180"/>
      <c r="C1273" s="35"/>
      <c r="D1273" s="36"/>
      <c r="E1273" s="36"/>
      <c r="F1273" s="142"/>
      <c r="G1273" s="142"/>
      <c r="H1273" s="142"/>
      <c r="I1273" s="142"/>
      <c r="J1273" s="142"/>
    </row>
    <row r="1274" spans="1:10" x14ac:dyDescent="0.25">
      <c r="A1274" s="28"/>
      <c r="B1274" s="180"/>
      <c r="C1274" s="35"/>
      <c r="D1274" s="36"/>
      <c r="E1274" s="36"/>
      <c r="F1274" s="142"/>
      <c r="G1274" s="142"/>
      <c r="H1274" s="142"/>
      <c r="I1274" s="142"/>
      <c r="J1274" s="142"/>
    </row>
    <row r="1275" spans="1:10" x14ac:dyDescent="0.25">
      <c r="A1275" s="28"/>
      <c r="B1275" s="180"/>
      <c r="C1275" s="35"/>
      <c r="D1275" s="36"/>
      <c r="E1275" s="36"/>
      <c r="F1275" s="142"/>
      <c r="G1275" s="142"/>
      <c r="H1275" s="142"/>
      <c r="I1275" s="142"/>
      <c r="J1275" s="142"/>
    </row>
    <row r="1276" spans="1:10" x14ac:dyDescent="0.25">
      <c r="A1276" s="28"/>
      <c r="B1276" s="180"/>
      <c r="C1276" s="35"/>
      <c r="D1276" s="36"/>
      <c r="E1276" s="36"/>
      <c r="F1276" s="142"/>
      <c r="G1276" s="142"/>
      <c r="H1276" s="142"/>
      <c r="I1276" s="142"/>
      <c r="J1276" s="142"/>
    </row>
    <row r="1277" spans="1:10" x14ac:dyDescent="0.25">
      <c r="A1277" s="28"/>
      <c r="B1277" s="180"/>
      <c r="C1277" s="35"/>
      <c r="D1277" s="36"/>
      <c r="E1277" s="36"/>
      <c r="F1277" s="142"/>
      <c r="G1277" s="142"/>
      <c r="H1277" s="142"/>
      <c r="I1277" s="142"/>
      <c r="J1277" s="142"/>
    </row>
    <row r="1278" spans="1:10" x14ac:dyDescent="0.25">
      <c r="A1278" s="28"/>
      <c r="B1278" s="180"/>
      <c r="C1278" s="35"/>
      <c r="D1278" s="36"/>
      <c r="E1278" s="36"/>
      <c r="F1278" s="142"/>
      <c r="G1278" s="142"/>
      <c r="H1278" s="142"/>
      <c r="I1278" s="142"/>
      <c r="J1278" s="142"/>
    </row>
    <row r="1279" spans="1:10" x14ac:dyDescent="0.25">
      <c r="A1279" s="28"/>
      <c r="B1279" s="180"/>
      <c r="C1279" s="35"/>
      <c r="D1279" s="36"/>
      <c r="E1279" s="36"/>
      <c r="F1279" s="142"/>
      <c r="G1279" s="142"/>
      <c r="H1279" s="142"/>
      <c r="I1279" s="142"/>
      <c r="J1279" s="142"/>
    </row>
    <row r="1280" spans="1:10" x14ac:dyDescent="0.25">
      <c r="A1280" s="28"/>
      <c r="B1280" s="180"/>
      <c r="C1280" s="35"/>
      <c r="D1280" s="36"/>
      <c r="E1280" s="36"/>
      <c r="F1280" s="142"/>
      <c r="G1280" s="142"/>
      <c r="H1280" s="142"/>
      <c r="I1280" s="142"/>
      <c r="J1280" s="142"/>
    </row>
    <row r="1281" spans="1:10" x14ac:dyDescent="0.25">
      <c r="A1281" s="28"/>
      <c r="B1281" s="180"/>
      <c r="C1281" s="35"/>
      <c r="D1281" s="36"/>
      <c r="E1281" s="36"/>
      <c r="F1281" s="142"/>
      <c r="G1281" s="142"/>
      <c r="H1281" s="142"/>
      <c r="I1281" s="142"/>
      <c r="J1281" s="142"/>
    </row>
    <row r="1282" spans="1:10" x14ac:dyDescent="0.25">
      <c r="A1282" s="28"/>
      <c r="B1282" s="180"/>
      <c r="C1282" s="35"/>
      <c r="D1282" s="36"/>
      <c r="E1282" s="36"/>
      <c r="F1282" s="142"/>
      <c r="G1282" s="142"/>
      <c r="H1282" s="142"/>
      <c r="I1282" s="142"/>
      <c r="J1282" s="142"/>
    </row>
    <row r="1283" spans="1:10" x14ac:dyDescent="0.25">
      <c r="A1283" s="28"/>
      <c r="B1283" s="180"/>
      <c r="C1283" s="35"/>
      <c r="D1283" s="36"/>
      <c r="E1283" s="36"/>
      <c r="F1283" s="142"/>
      <c r="G1283" s="142"/>
      <c r="H1283" s="142"/>
      <c r="I1283" s="142"/>
      <c r="J1283" s="142"/>
    </row>
    <row r="1284" spans="1:10" x14ac:dyDescent="0.25">
      <c r="A1284" s="28"/>
      <c r="B1284" s="180"/>
      <c r="C1284" s="35"/>
      <c r="D1284" s="36"/>
      <c r="E1284" s="36"/>
      <c r="F1284" s="142"/>
      <c r="G1284" s="142"/>
      <c r="H1284" s="142"/>
      <c r="I1284" s="142"/>
      <c r="J1284" s="142"/>
    </row>
    <row r="1285" spans="1:10" x14ac:dyDescent="0.25">
      <c r="A1285" s="28"/>
      <c r="B1285" s="180"/>
      <c r="C1285" s="35"/>
      <c r="D1285" s="36"/>
      <c r="E1285" s="36"/>
      <c r="F1285" s="142"/>
      <c r="G1285" s="142"/>
      <c r="H1285" s="142"/>
      <c r="I1285" s="142"/>
      <c r="J1285" s="142"/>
    </row>
    <row r="1286" spans="1:10" x14ac:dyDescent="0.25">
      <c r="A1286" s="28"/>
      <c r="B1286" s="180"/>
      <c r="C1286" s="35"/>
      <c r="D1286" s="36"/>
      <c r="E1286" s="36"/>
      <c r="F1286" s="142"/>
      <c r="G1286" s="142"/>
      <c r="H1286" s="142"/>
      <c r="I1286" s="142"/>
      <c r="J1286" s="142"/>
    </row>
    <row r="1287" spans="1:10" x14ac:dyDescent="0.25">
      <c r="A1287" s="28"/>
      <c r="B1287" s="180"/>
      <c r="C1287" s="35"/>
      <c r="D1287" s="36"/>
      <c r="E1287" s="36"/>
      <c r="F1287" s="142"/>
      <c r="G1287" s="142"/>
      <c r="H1287" s="142"/>
      <c r="I1287" s="142"/>
      <c r="J1287" s="142"/>
    </row>
    <row r="1288" spans="1:10" x14ac:dyDescent="0.25">
      <c r="A1288" s="28"/>
      <c r="B1288" s="180"/>
      <c r="C1288" s="35"/>
      <c r="D1288" s="36"/>
      <c r="E1288" s="36"/>
      <c r="F1288" s="142"/>
      <c r="G1288" s="142"/>
      <c r="H1288" s="142"/>
      <c r="I1288" s="142"/>
      <c r="J1288" s="142"/>
    </row>
    <row r="1289" spans="1:10" x14ac:dyDescent="0.25">
      <c r="A1289" s="28"/>
      <c r="B1289" s="180"/>
      <c r="C1289" s="35"/>
      <c r="D1289" s="36"/>
      <c r="E1289" s="36"/>
      <c r="F1289" s="142"/>
      <c r="G1289" s="142"/>
      <c r="H1289" s="142"/>
      <c r="I1289" s="142"/>
      <c r="J1289" s="142"/>
    </row>
    <row r="1290" spans="1:10" x14ac:dyDescent="0.25">
      <c r="A1290" s="28"/>
      <c r="B1290" s="180"/>
      <c r="C1290" s="35"/>
      <c r="D1290" s="36"/>
      <c r="E1290" s="36"/>
      <c r="F1290" s="142"/>
      <c r="G1290" s="142"/>
      <c r="H1290" s="142"/>
      <c r="I1290" s="142"/>
      <c r="J1290" s="142"/>
    </row>
    <row r="1291" spans="1:10" x14ac:dyDescent="0.25">
      <c r="A1291" s="28"/>
      <c r="B1291" s="180"/>
      <c r="C1291" s="35"/>
      <c r="D1291" s="36"/>
      <c r="E1291" s="36"/>
      <c r="F1291" s="142"/>
      <c r="G1291" s="142"/>
      <c r="H1291" s="142"/>
      <c r="I1291" s="142"/>
      <c r="J1291" s="142"/>
    </row>
    <row r="1292" spans="1:10" x14ac:dyDescent="0.25">
      <c r="A1292" s="28"/>
      <c r="B1292" s="180"/>
      <c r="C1292" s="35"/>
      <c r="D1292" s="36"/>
      <c r="E1292" s="36"/>
      <c r="F1292" s="142"/>
      <c r="G1292" s="142"/>
      <c r="H1292" s="142"/>
      <c r="I1292" s="142"/>
      <c r="J1292" s="142"/>
    </row>
    <row r="1293" spans="1:10" x14ac:dyDescent="0.25">
      <c r="A1293" s="28"/>
      <c r="B1293" s="180"/>
      <c r="C1293" s="35"/>
      <c r="D1293" s="36"/>
      <c r="E1293" s="36"/>
      <c r="F1293" s="142"/>
      <c r="G1293" s="142"/>
      <c r="H1293" s="142"/>
      <c r="I1293" s="142"/>
      <c r="J1293" s="142"/>
    </row>
    <row r="1294" spans="1:10" x14ac:dyDescent="0.25">
      <c r="A1294" s="28"/>
      <c r="B1294" s="180"/>
      <c r="C1294" s="35"/>
      <c r="D1294" s="36"/>
      <c r="E1294" s="36"/>
      <c r="F1294" s="142"/>
      <c r="G1294" s="142"/>
      <c r="H1294" s="142"/>
      <c r="I1294" s="142"/>
      <c r="J1294" s="142"/>
    </row>
    <row r="1295" spans="1:10" x14ac:dyDescent="0.25">
      <c r="A1295" s="28"/>
      <c r="B1295" s="180"/>
      <c r="C1295" s="35"/>
      <c r="D1295" s="36"/>
      <c r="E1295" s="36"/>
      <c r="F1295" s="142"/>
      <c r="G1295" s="142"/>
      <c r="H1295" s="142"/>
      <c r="I1295" s="142"/>
      <c r="J1295" s="142"/>
    </row>
    <row r="1296" spans="1:10" x14ac:dyDescent="0.25">
      <c r="A1296" s="28"/>
      <c r="B1296" s="180"/>
      <c r="C1296" s="35"/>
      <c r="D1296" s="36"/>
      <c r="E1296" s="36"/>
      <c r="F1296" s="142"/>
      <c r="G1296" s="142"/>
      <c r="H1296" s="142"/>
      <c r="I1296" s="142"/>
      <c r="J1296" s="142"/>
    </row>
    <row r="1297" spans="1:10" x14ac:dyDescent="0.25">
      <c r="A1297" s="28"/>
      <c r="B1297" s="180"/>
      <c r="C1297" s="35"/>
      <c r="D1297" s="36"/>
      <c r="E1297" s="36"/>
      <c r="F1297" s="142"/>
      <c r="G1297" s="142"/>
      <c r="H1297" s="142"/>
      <c r="I1297" s="142"/>
      <c r="J1297" s="142"/>
    </row>
    <row r="1298" spans="1:10" x14ac:dyDescent="0.25">
      <c r="A1298" s="28"/>
      <c r="B1298" s="180"/>
      <c r="C1298" s="35"/>
      <c r="D1298" s="36"/>
      <c r="E1298" s="36"/>
      <c r="F1298" s="142"/>
      <c r="G1298" s="142"/>
      <c r="H1298" s="142"/>
      <c r="I1298" s="142"/>
      <c r="J1298" s="142"/>
    </row>
    <row r="1299" spans="1:10" x14ac:dyDescent="0.25">
      <c r="A1299" s="28"/>
      <c r="B1299" s="180"/>
      <c r="C1299" s="35"/>
      <c r="D1299" s="36"/>
      <c r="E1299" s="36"/>
      <c r="F1299" s="142"/>
      <c r="G1299" s="142"/>
      <c r="H1299" s="142"/>
      <c r="I1299" s="142"/>
      <c r="J1299" s="142"/>
    </row>
    <row r="1300" spans="1:10" x14ac:dyDescent="0.25">
      <c r="A1300" s="28"/>
      <c r="B1300" s="180"/>
      <c r="C1300" s="35"/>
      <c r="D1300" s="36"/>
      <c r="E1300" s="36"/>
      <c r="F1300" s="142"/>
      <c r="G1300" s="142"/>
      <c r="H1300" s="142"/>
      <c r="I1300" s="142"/>
      <c r="J1300" s="142"/>
    </row>
    <row r="1301" spans="1:10" x14ac:dyDescent="0.25">
      <c r="A1301" s="28"/>
      <c r="B1301" s="180"/>
      <c r="C1301" s="35"/>
      <c r="D1301" s="36"/>
      <c r="E1301" s="36"/>
      <c r="F1301" s="142"/>
      <c r="G1301" s="142"/>
      <c r="H1301" s="142"/>
      <c r="I1301" s="142"/>
      <c r="J1301" s="142"/>
    </row>
    <row r="1302" spans="1:10" x14ac:dyDescent="0.25">
      <c r="A1302" s="28"/>
      <c r="B1302" s="180"/>
      <c r="C1302" s="35"/>
      <c r="D1302" s="36"/>
      <c r="E1302" s="36"/>
      <c r="F1302" s="142"/>
      <c r="G1302" s="142"/>
      <c r="H1302" s="142"/>
      <c r="I1302" s="142"/>
      <c r="J1302" s="142"/>
    </row>
    <row r="1303" spans="1:10" x14ac:dyDescent="0.25">
      <c r="A1303" s="28"/>
      <c r="B1303" s="180"/>
      <c r="C1303" s="35"/>
      <c r="D1303" s="36"/>
      <c r="E1303" s="36"/>
      <c r="F1303" s="142"/>
      <c r="G1303" s="142"/>
      <c r="H1303" s="142"/>
      <c r="I1303" s="142"/>
      <c r="J1303" s="142"/>
    </row>
    <row r="1304" spans="1:10" x14ac:dyDescent="0.25">
      <c r="A1304" s="28"/>
      <c r="B1304" s="180"/>
      <c r="C1304" s="35"/>
      <c r="D1304" s="36"/>
      <c r="E1304" s="36"/>
      <c r="F1304" s="142"/>
      <c r="G1304" s="142"/>
      <c r="H1304" s="142"/>
      <c r="I1304" s="142"/>
      <c r="J1304" s="142"/>
    </row>
    <row r="1305" spans="1:10" x14ac:dyDescent="0.25">
      <c r="A1305" s="28"/>
      <c r="B1305" s="180"/>
      <c r="C1305" s="35"/>
      <c r="D1305" s="36"/>
      <c r="E1305" s="36"/>
      <c r="F1305" s="142"/>
      <c r="G1305" s="142"/>
      <c r="H1305" s="142"/>
      <c r="I1305" s="142"/>
      <c r="J1305" s="142"/>
    </row>
    <row r="1306" spans="1:10" x14ac:dyDescent="0.25">
      <c r="A1306" s="28"/>
      <c r="B1306" s="180"/>
      <c r="C1306" s="35"/>
      <c r="D1306" s="36"/>
      <c r="E1306" s="36"/>
      <c r="F1306" s="142"/>
      <c r="G1306" s="142"/>
      <c r="H1306" s="142"/>
      <c r="I1306" s="142"/>
      <c r="J1306" s="142"/>
    </row>
    <row r="1307" spans="1:10" x14ac:dyDescent="0.25">
      <c r="A1307" s="28"/>
      <c r="B1307" s="180"/>
      <c r="C1307" s="35"/>
      <c r="D1307" s="36"/>
      <c r="E1307" s="36"/>
      <c r="F1307" s="142"/>
      <c r="G1307" s="142"/>
      <c r="H1307" s="142"/>
      <c r="I1307" s="142"/>
      <c r="J1307" s="142"/>
    </row>
    <row r="1308" spans="1:10" x14ac:dyDescent="0.25">
      <c r="A1308" s="28"/>
      <c r="B1308" s="180"/>
      <c r="C1308" s="35"/>
      <c r="D1308" s="36"/>
      <c r="E1308" s="36"/>
      <c r="F1308" s="142"/>
      <c r="G1308" s="142"/>
      <c r="H1308" s="142"/>
      <c r="I1308" s="142"/>
      <c r="J1308" s="142"/>
    </row>
    <row r="1309" spans="1:10" x14ac:dyDescent="0.25">
      <c r="A1309" s="28"/>
      <c r="B1309" s="180"/>
      <c r="C1309" s="35"/>
      <c r="D1309" s="36"/>
      <c r="E1309" s="36"/>
      <c r="F1309" s="142"/>
      <c r="G1309" s="142"/>
      <c r="H1309" s="142"/>
      <c r="I1309" s="142"/>
      <c r="J1309" s="142"/>
    </row>
    <row r="1310" spans="1:10" x14ac:dyDescent="0.25">
      <c r="A1310" s="28"/>
      <c r="B1310" s="180"/>
      <c r="C1310" s="35"/>
      <c r="D1310" s="36"/>
      <c r="E1310" s="36"/>
      <c r="F1310" s="142"/>
      <c r="G1310" s="142"/>
      <c r="H1310" s="142"/>
      <c r="I1310" s="142"/>
      <c r="J1310" s="142"/>
    </row>
    <row r="1311" spans="1:10" x14ac:dyDescent="0.25">
      <c r="A1311" s="28"/>
      <c r="B1311" s="180"/>
      <c r="C1311" s="35"/>
      <c r="D1311" s="36"/>
      <c r="E1311" s="36"/>
      <c r="F1311" s="142"/>
      <c r="G1311" s="142"/>
      <c r="H1311" s="142"/>
      <c r="I1311" s="142"/>
      <c r="J1311" s="142"/>
    </row>
    <row r="1312" spans="1:10" x14ac:dyDescent="0.25">
      <c r="A1312" s="28"/>
      <c r="B1312" s="180"/>
      <c r="C1312" s="35"/>
      <c r="D1312" s="36"/>
      <c r="E1312" s="36"/>
      <c r="F1312" s="142"/>
      <c r="G1312" s="142"/>
      <c r="H1312" s="142"/>
      <c r="I1312" s="142"/>
      <c r="J1312" s="142"/>
    </row>
    <row r="1313" spans="1:10" x14ac:dyDescent="0.25">
      <c r="A1313" s="28"/>
      <c r="B1313" s="180"/>
      <c r="C1313" s="35"/>
      <c r="D1313" s="36"/>
      <c r="E1313" s="36"/>
      <c r="F1313" s="142"/>
      <c r="G1313" s="142"/>
      <c r="H1313" s="142"/>
      <c r="I1313" s="142"/>
      <c r="J1313" s="142"/>
    </row>
    <row r="1314" spans="1:10" x14ac:dyDescent="0.25">
      <c r="A1314" s="28"/>
      <c r="B1314" s="180"/>
      <c r="C1314" s="35"/>
      <c r="D1314" s="36"/>
      <c r="E1314" s="36"/>
      <c r="F1314" s="142"/>
      <c r="G1314" s="142"/>
      <c r="H1314" s="142"/>
      <c r="I1314" s="142"/>
      <c r="J1314" s="142"/>
    </row>
    <row r="1315" spans="1:10" x14ac:dyDescent="0.25">
      <c r="A1315" s="28"/>
      <c r="B1315" s="180"/>
      <c r="C1315" s="35"/>
      <c r="D1315" s="36"/>
      <c r="E1315" s="36"/>
      <c r="F1315" s="142"/>
      <c r="G1315" s="142"/>
      <c r="H1315" s="142"/>
      <c r="I1315" s="142"/>
      <c r="J1315" s="142"/>
    </row>
    <row r="1316" spans="1:10" x14ac:dyDescent="0.25">
      <c r="A1316" s="28"/>
      <c r="B1316" s="180"/>
      <c r="C1316" s="35"/>
      <c r="D1316" s="36"/>
      <c r="E1316" s="36"/>
      <c r="F1316" s="142"/>
      <c r="G1316" s="142"/>
      <c r="H1316" s="142"/>
      <c r="I1316" s="142"/>
      <c r="J1316" s="142"/>
    </row>
    <row r="1317" spans="1:10" x14ac:dyDescent="0.25">
      <c r="A1317" s="28"/>
      <c r="B1317" s="180"/>
      <c r="C1317" s="35"/>
      <c r="D1317" s="36"/>
      <c r="E1317" s="36"/>
      <c r="F1317" s="142"/>
      <c r="G1317" s="142"/>
      <c r="H1317" s="142"/>
      <c r="I1317" s="142"/>
      <c r="J1317" s="142"/>
    </row>
    <row r="1318" spans="1:10" x14ac:dyDescent="0.25">
      <c r="A1318" s="28"/>
      <c r="B1318" s="180"/>
      <c r="C1318" s="35"/>
      <c r="D1318" s="36"/>
      <c r="E1318" s="36"/>
      <c r="F1318" s="142"/>
      <c r="G1318" s="142"/>
      <c r="H1318" s="142"/>
      <c r="I1318" s="142"/>
      <c r="J1318" s="142"/>
    </row>
    <row r="1319" spans="1:10" x14ac:dyDescent="0.25">
      <c r="A1319" s="28"/>
      <c r="B1319" s="180"/>
      <c r="C1319" s="35"/>
      <c r="D1319" s="36"/>
      <c r="E1319" s="36"/>
      <c r="F1319" s="142"/>
      <c r="G1319" s="142"/>
      <c r="H1319" s="142"/>
      <c r="I1319" s="142"/>
      <c r="J1319" s="142"/>
    </row>
    <row r="1320" spans="1:10" x14ac:dyDescent="0.25">
      <c r="A1320" s="28"/>
      <c r="B1320" s="180"/>
      <c r="C1320" s="35"/>
      <c r="D1320" s="36"/>
      <c r="E1320" s="36"/>
      <c r="F1320" s="142"/>
      <c r="G1320" s="142"/>
      <c r="H1320" s="142"/>
      <c r="I1320" s="142"/>
      <c r="J1320" s="142"/>
    </row>
    <row r="1321" spans="1:10" x14ac:dyDescent="0.25">
      <c r="A1321" s="28"/>
      <c r="B1321" s="180"/>
      <c r="C1321" s="35"/>
      <c r="D1321" s="36"/>
      <c r="E1321" s="36"/>
      <c r="F1321" s="142"/>
      <c r="G1321" s="142"/>
      <c r="H1321" s="142"/>
      <c r="I1321" s="142"/>
      <c r="J1321" s="142"/>
    </row>
    <row r="1322" spans="1:10" x14ac:dyDescent="0.25">
      <c r="A1322" s="28"/>
      <c r="B1322" s="180"/>
      <c r="C1322" s="35"/>
      <c r="D1322" s="36"/>
      <c r="E1322" s="36"/>
      <c r="F1322" s="142"/>
      <c r="G1322" s="142"/>
      <c r="H1322" s="142"/>
      <c r="I1322" s="142"/>
      <c r="J1322" s="142"/>
    </row>
    <row r="1323" spans="1:10" x14ac:dyDescent="0.25">
      <c r="A1323" s="28"/>
      <c r="B1323" s="180"/>
      <c r="C1323" s="35"/>
      <c r="D1323" s="36"/>
      <c r="E1323" s="36"/>
      <c r="F1323" s="142"/>
      <c r="G1323" s="142"/>
      <c r="H1323" s="142"/>
      <c r="I1323" s="142"/>
      <c r="J1323" s="142"/>
    </row>
    <row r="1324" spans="1:10" x14ac:dyDescent="0.25">
      <c r="A1324" s="28"/>
      <c r="B1324" s="180"/>
      <c r="C1324" s="35"/>
      <c r="D1324" s="36"/>
      <c r="E1324" s="36"/>
      <c r="F1324" s="142"/>
      <c r="G1324" s="142"/>
      <c r="H1324" s="142"/>
      <c r="I1324" s="142"/>
      <c r="J1324" s="142"/>
    </row>
    <row r="1325" spans="1:10" x14ac:dyDescent="0.25">
      <c r="A1325" s="28"/>
      <c r="B1325" s="180"/>
      <c r="C1325" s="35"/>
      <c r="D1325" s="36"/>
      <c r="E1325" s="36"/>
      <c r="F1325" s="142"/>
      <c r="G1325" s="142"/>
      <c r="H1325" s="142"/>
      <c r="I1325" s="142"/>
      <c r="J1325" s="142"/>
    </row>
    <row r="1326" spans="1:10" x14ac:dyDescent="0.25">
      <c r="A1326" s="28"/>
      <c r="B1326" s="180"/>
      <c r="C1326" s="35"/>
      <c r="D1326" s="36"/>
      <c r="E1326" s="36"/>
      <c r="F1326" s="142"/>
      <c r="G1326" s="142"/>
      <c r="H1326" s="142"/>
      <c r="I1326" s="142"/>
      <c r="J1326" s="142"/>
    </row>
    <row r="1327" spans="1:10" x14ac:dyDescent="0.25">
      <c r="A1327" s="28"/>
      <c r="B1327" s="180"/>
      <c r="C1327" s="35"/>
      <c r="D1327" s="36"/>
      <c r="E1327" s="36"/>
      <c r="F1327" s="142"/>
      <c r="G1327" s="142"/>
      <c r="H1327" s="142"/>
      <c r="I1327" s="142"/>
      <c r="J1327" s="142"/>
    </row>
    <row r="1328" spans="1:10" x14ac:dyDescent="0.25">
      <c r="A1328" s="28"/>
      <c r="B1328" s="180"/>
      <c r="C1328" s="35"/>
      <c r="D1328" s="36"/>
      <c r="E1328" s="36"/>
      <c r="F1328" s="142"/>
      <c r="G1328" s="142"/>
      <c r="H1328" s="142"/>
      <c r="I1328" s="142"/>
      <c r="J1328" s="142"/>
    </row>
    <row r="1329" spans="1:10" x14ac:dyDescent="0.25">
      <c r="A1329" s="28"/>
      <c r="B1329" s="180"/>
      <c r="C1329" s="35"/>
      <c r="D1329" s="36"/>
      <c r="E1329" s="36"/>
      <c r="F1329" s="142"/>
      <c r="G1329" s="142"/>
      <c r="H1329" s="142"/>
      <c r="I1329" s="142"/>
      <c r="J1329" s="142"/>
    </row>
    <row r="1330" spans="1:10" x14ac:dyDescent="0.25">
      <c r="A1330" s="28"/>
      <c r="B1330" s="180"/>
      <c r="C1330" s="35"/>
      <c r="D1330" s="36"/>
      <c r="E1330" s="36"/>
      <c r="F1330" s="142"/>
      <c r="G1330" s="142"/>
      <c r="H1330" s="142"/>
      <c r="I1330" s="142"/>
      <c r="J1330" s="142"/>
    </row>
    <row r="1331" spans="1:10" x14ac:dyDescent="0.25">
      <c r="A1331" s="28"/>
      <c r="B1331" s="180"/>
      <c r="C1331" s="35"/>
      <c r="D1331" s="36"/>
      <c r="E1331" s="36"/>
      <c r="F1331" s="142"/>
      <c r="G1331" s="142"/>
      <c r="H1331" s="142"/>
      <c r="I1331" s="142"/>
      <c r="J1331" s="142"/>
    </row>
    <row r="1332" spans="1:10" x14ac:dyDescent="0.25">
      <c r="A1332" s="28"/>
      <c r="B1332" s="180"/>
      <c r="C1332" s="35"/>
      <c r="D1332" s="36"/>
      <c r="E1332" s="36"/>
      <c r="F1332" s="142"/>
      <c r="G1332" s="142"/>
      <c r="H1332" s="142"/>
      <c r="I1332" s="142"/>
      <c r="J1332" s="142"/>
    </row>
    <row r="1333" spans="1:10" x14ac:dyDescent="0.25">
      <c r="A1333" s="28"/>
      <c r="B1333" s="180"/>
      <c r="C1333" s="35"/>
      <c r="D1333" s="36"/>
      <c r="E1333" s="36"/>
      <c r="F1333" s="142"/>
      <c r="G1333" s="142"/>
      <c r="H1333" s="142"/>
      <c r="I1333" s="142"/>
      <c r="J1333" s="142"/>
    </row>
    <row r="1334" spans="1:10" x14ac:dyDescent="0.25">
      <c r="A1334" s="28"/>
      <c r="B1334" s="180"/>
      <c r="C1334" s="35"/>
      <c r="D1334" s="36"/>
      <c r="E1334" s="36"/>
      <c r="F1334" s="142"/>
      <c r="G1334" s="142"/>
      <c r="H1334" s="142"/>
      <c r="I1334" s="142"/>
      <c r="J1334" s="142"/>
    </row>
    <row r="1335" spans="1:10" x14ac:dyDescent="0.25">
      <c r="A1335" s="28"/>
      <c r="B1335" s="180"/>
      <c r="C1335" s="35"/>
      <c r="D1335" s="36"/>
      <c r="E1335" s="36"/>
      <c r="F1335" s="142"/>
      <c r="G1335" s="142"/>
      <c r="H1335" s="142"/>
      <c r="I1335" s="142"/>
      <c r="J1335" s="142"/>
    </row>
    <row r="1336" spans="1:10" x14ac:dyDescent="0.25">
      <c r="A1336" s="28"/>
      <c r="B1336" s="180"/>
      <c r="C1336" s="35"/>
      <c r="D1336" s="36"/>
      <c r="E1336" s="36"/>
      <c r="F1336" s="142"/>
      <c r="G1336" s="142"/>
      <c r="H1336" s="142"/>
      <c r="I1336" s="142"/>
      <c r="J1336" s="142"/>
    </row>
    <row r="1337" spans="1:10" x14ac:dyDescent="0.25">
      <c r="A1337" s="28"/>
      <c r="B1337" s="180"/>
      <c r="C1337" s="35"/>
      <c r="D1337" s="36"/>
      <c r="E1337" s="36"/>
      <c r="F1337" s="142"/>
      <c r="G1337" s="142"/>
      <c r="H1337" s="142"/>
      <c r="I1337" s="142"/>
      <c r="J1337" s="142"/>
    </row>
    <row r="1338" spans="1:10" x14ac:dyDescent="0.25">
      <c r="A1338" s="28"/>
      <c r="B1338" s="180"/>
      <c r="C1338" s="35"/>
      <c r="D1338" s="36"/>
      <c r="E1338" s="36"/>
      <c r="F1338" s="142"/>
      <c r="G1338" s="142"/>
      <c r="H1338" s="142"/>
      <c r="I1338" s="142"/>
      <c r="J1338" s="142"/>
    </row>
    <row r="1339" spans="1:10" x14ac:dyDescent="0.25">
      <c r="A1339" s="28"/>
      <c r="B1339" s="180"/>
      <c r="C1339" s="35"/>
      <c r="D1339" s="36"/>
      <c r="E1339" s="36"/>
      <c r="F1339" s="142"/>
      <c r="G1339" s="142"/>
      <c r="H1339" s="142"/>
      <c r="I1339" s="142"/>
      <c r="J1339" s="142"/>
    </row>
    <row r="1340" spans="1:10" x14ac:dyDescent="0.25">
      <c r="A1340" s="28"/>
      <c r="B1340" s="180"/>
      <c r="C1340" s="35"/>
      <c r="D1340" s="36"/>
      <c r="E1340" s="36"/>
      <c r="F1340" s="142"/>
      <c r="G1340" s="142"/>
      <c r="H1340" s="142"/>
      <c r="I1340" s="142"/>
      <c r="J1340" s="142"/>
    </row>
    <row r="1341" spans="1:10" x14ac:dyDescent="0.25">
      <c r="A1341" s="28"/>
      <c r="B1341" s="180"/>
      <c r="C1341" s="35"/>
      <c r="D1341" s="36"/>
      <c r="E1341" s="36"/>
      <c r="F1341" s="142"/>
      <c r="G1341" s="142"/>
      <c r="H1341" s="142"/>
      <c r="I1341" s="142"/>
      <c r="J1341" s="142"/>
    </row>
    <row r="1342" spans="1:10" x14ac:dyDescent="0.25">
      <c r="A1342" s="28"/>
      <c r="B1342" s="180"/>
      <c r="C1342" s="35"/>
      <c r="D1342" s="36"/>
      <c r="E1342" s="36"/>
      <c r="F1342" s="142"/>
      <c r="G1342" s="142"/>
      <c r="H1342" s="142"/>
      <c r="I1342" s="142"/>
      <c r="J1342" s="142"/>
    </row>
    <row r="1343" spans="1:10" x14ac:dyDescent="0.25">
      <c r="A1343" s="28"/>
      <c r="B1343" s="180"/>
      <c r="C1343" s="35"/>
      <c r="D1343" s="36"/>
      <c r="E1343" s="36"/>
      <c r="F1343" s="142"/>
      <c r="G1343" s="142"/>
      <c r="H1343" s="142"/>
      <c r="I1343" s="142"/>
      <c r="J1343" s="142"/>
    </row>
    <row r="1344" spans="1:10" x14ac:dyDescent="0.25">
      <c r="A1344" s="28"/>
      <c r="B1344" s="180"/>
      <c r="C1344" s="35"/>
      <c r="D1344" s="36"/>
      <c r="E1344" s="36"/>
      <c r="F1344" s="142"/>
      <c r="G1344" s="142"/>
      <c r="H1344" s="142"/>
      <c r="I1344" s="142"/>
      <c r="J1344" s="142"/>
    </row>
    <row r="1345" spans="1:10" x14ac:dyDescent="0.25">
      <c r="A1345" s="28"/>
      <c r="B1345" s="180"/>
      <c r="C1345" s="35"/>
      <c r="D1345" s="36"/>
      <c r="E1345" s="36"/>
      <c r="F1345" s="142"/>
      <c r="G1345" s="142"/>
      <c r="H1345" s="142"/>
      <c r="I1345" s="142"/>
      <c r="J1345" s="142"/>
    </row>
    <row r="1346" spans="1:10" x14ac:dyDescent="0.25">
      <c r="A1346" s="28"/>
      <c r="B1346" s="180"/>
      <c r="C1346" s="35"/>
      <c r="D1346" s="36"/>
      <c r="E1346" s="36"/>
      <c r="F1346" s="142"/>
      <c r="G1346" s="142"/>
      <c r="H1346" s="142"/>
      <c r="I1346" s="142"/>
      <c r="J1346" s="142"/>
    </row>
    <row r="1347" spans="1:10" x14ac:dyDescent="0.25">
      <c r="A1347" s="28"/>
      <c r="B1347" s="180"/>
      <c r="C1347" s="35"/>
      <c r="D1347" s="36"/>
      <c r="E1347" s="36"/>
      <c r="F1347" s="142"/>
      <c r="G1347" s="142"/>
      <c r="H1347" s="142"/>
      <c r="I1347" s="142"/>
      <c r="J1347" s="142"/>
    </row>
    <row r="1348" spans="1:10" x14ac:dyDescent="0.25">
      <c r="A1348" s="28"/>
      <c r="B1348" s="180"/>
      <c r="C1348" s="35"/>
      <c r="D1348" s="36"/>
      <c r="E1348" s="36"/>
      <c r="F1348" s="142"/>
      <c r="G1348" s="142"/>
      <c r="H1348" s="142"/>
      <c r="I1348" s="142"/>
      <c r="J1348" s="142"/>
    </row>
    <row r="1349" spans="1:10" x14ac:dyDescent="0.25">
      <c r="A1349" s="28"/>
      <c r="B1349" s="180"/>
      <c r="C1349" s="35"/>
      <c r="D1349" s="36"/>
      <c r="E1349" s="36"/>
      <c r="F1349" s="142"/>
      <c r="G1349" s="142"/>
      <c r="H1349" s="142"/>
      <c r="I1349" s="142"/>
      <c r="J1349" s="142"/>
    </row>
    <row r="1350" spans="1:10" x14ac:dyDescent="0.25">
      <c r="A1350" s="28"/>
      <c r="B1350" s="180"/>
      <c r="C1350" s="35"/>
      <c r="D1350" s="36"/>
      <c r="E1350" s="36"/>
      <c r="F1350" s="142"/>
      <c r="G1350" s="142"/>
      <c r="H1350" s="142"/>
      <c r="I1350" s="142"/>
      <c r="J1350" s="142"/>
    </row>
    <row r="1351" spans="1:10" x14ac:dyDescent="0.25">
      <c r="A1351" s="28"/>
      <c r="B1351" s="180"/>
      <c r="C1351" s="35"/>
      <c r="D1351" s="36"/>
      <c r="E1351" s="36"/>
      <c r="F1351" s="142"/>
      <c r="G1351" s="142"/>
      <c r="H1351" s="142"/>
      <c r="I1351" s="142"/>
      <c r="J1351" s="142"/>
    </row>
    <row r="1352" spans="1:10" x14ac:dyDescent="0.25">
      <c r="A1352" s="28"/>
      <c r="B1352" s="180"/>
      <c r="C1352" s="35"/>
      <c r="D1352" s="36"/>
      <c r="E1352" s="36"/>
      <c r="F1352" s="142"/>
      <c r="G1352" s="142"/>
      <c r="H1352" s="142"/>
      <c r="I1352" s="142"/>
      <c r="J1352" s="142"/>
    </row>
    <row r="1353" spans="1:10" x14ac:dyDescent="0.25">
      <c r="A1353" s="28"/>
      <c r="B1353" s="180"/>
      <c r="C1353" s="35"/>
      <c r="D1353" s="36"/>
      <c r="E1353" s="36"/>
      <c r="F1353" s="142"/>
      <c r="G1353" s="142"/>
      <c r="H1353" s="142"/>
      <c r="I1353" s="142"/>
      <c r="J1353" s="142"/>
    </row>
    <row r="1354" spans="1:10" x14ac:dyDescent="0.25">
      <c r="A1354" s="28"/>
      <c r="B1354" s="180"/>
      <c r="C1354" s="35"/>
      <c r="D1354" s="36"/>
      <c r="E1354" s="36"/>
      <c r="F1354" s="142"/>
      <c r="G1354" s="142"/>
      <c r="H1354" s="142"/>
      <c r="I1354" s="142"/>
      <c r="J1354" s="142"/>
    </row>
    <row r="1355" spans="1:10" x14ac:dyDescent="0.25">
      <c r="A1355" s="28"/>
      <c r="B1355" s="180"/>
      <c r="C1355" s="35"/>
      <c r="D1355" s="36"/>
      <c r="E1355" s="36"/>
      <c r="F1355" s="142"/>
      <c r="G1355" s="142"/>
      <c r="H1355" s="142"/>
      <c r="I1355" s="142"/>
      <c r="J1355" s="142"/>
    </row>
    <row r="1356" spans="1:10" x14ac:dyDescent="0.25">
      <c r="A1356" s="28"/>
      <c r="B1356" s="180"/>
      <c r="C1356" s="35"/>
      <c r="D1356" s="36"/>
      <c r="E1356" s="36"/>
      <c r="F1356" s="142"/>
      <c r="G1356" s="142"/>
      <c r="H1356" s="142"/>
      <c r="I1356" s="142"/>
      <c r="J1356" s="142"/>
    </row>
    <row r="1357" spans="1:10" x14ac:dyDescent="0.25">
      <c r="A1357" s="28"/>
      <c r="B1357" s="180"/>
      <c r="C1357" s="35"/>
      <c r="D1357" s="36"/>
      <c r="E1357" s="36"/>
      <c r="F1357" s="142"/>
      <c r="G1357" s="142"/>
      <c r="H1357" s="142"/>
      <c r="I1357" s="142"/>
      <c r="J1357" s="142"/>
    </row>
    <row r="1358" spans="1:10" x14ac:dyDescent="0.25">
      <c r="A1358" s="28"/>
      <c r="B1358" s="180"/>
      <c r="C1358" s="35"/>
      <c r="D1358" s="36"/>
      <c r="E1358" s="36"/>
      <c r="F1358" s="142"/>
      <c r="G1358" s="142"/>
      <c r="H1358" s="142"/>
      <c r="I1358" s="142"/>
      <c r="J1358" s="142"/>
    </row>
    <row r="1359" spans="1:10" x14ac:dyDescent="0.25">
      <c r="A1359" s="28"/>
      <c r="B1359" s="180"/>
      <c r="C1359" s="35"/>
      <c r="D1359" s="36"/>
      <c r="E1359" s="36"/>
      <c r="F1359" s="142"/>
      <c r="G1359" s="142"/>
      <c r="H1359" s="142"/>
      <c r="I1359" s="142"/>
      <c r="J1359" s="142"/>
    </row>
    <row r="1360" spans="1:10" x14ac:dyDescent="0.25">
      <c r="A1360" s="28"/>
      <c r="B1360" s="180"/>
      <c r="C1360" s="35"/>
      <c r="D1360" s="36"/>
      <c r="E1360" s="36"/>
      <c r="F1360" s="142"/>
      <c r="G1360" s="142"/>
      <c r="H1360" s="142"/>
      <c r="I1360" s="142"/>
      <c r="J1360" s="142"/>
    </row>
    <row r="1361" spans="1:10" x14ac:dyDescent="0.25">
      <c r="A1361" s="28"/>
      <c r="B1361" s="180"/>
      <c r="C1361" s="35"/>
      <c r="D1361" s="36"/>
      <c r="E1361" s="36"/>
      <c r="F1361" s="142"/>
      <c r="G1361" s="142"/>
      <c r="H1361" s="142"/>
      <c r="I1361" s="142"/>
      <c r="J1361" s="142"/>
    </row>
    <row r="1362" spans="1:10" x14ac:dyDescent="0.25">
      <c r="A1362" s="28"/>
      <c r="B1362" s="180"/>
      <c r="C1362" s="35"/>
      <c r="D1362" s="36"/>
      <c r="E1362" s="36"/>
      <c r="F1362" s="142"/>
      <c r="G1362" s="142"/>
      <c r="H1362" s="142"/>
      <c r="I1362" s="142"/>
      <c r="J1362" s="142"/>
    </row>
    <row r="1363" spans="1:10" x14ac:dyDescent="0.25">
      <c r="A1363" s="28"/>
      <c r="B1363" s="180"/>
      <c r="C1363" s="35"/>
      <c r="D1363" s="36"/>
      <c r="E1363" s="36"/>
      <c r="F1363" s="142"/>
      <c r="G1363" s="142"/>
      <c r="H1363" s="142"/>
      <c r="I1363" s="142"/>
      <c r="J1363" s="142"/>
    </row>
    <row r="1364" spans="1:10" x14ac:dyDescent="0.25">
      <c r="A1364" s="28"/>
      <c r="B1364" s="180"/>
      <c r="C1364" s="35"/>
      <c r="D1364" s="36"/>
      <c r="E1364" s="36"/>
      <c r="F1364" s="142"/>
      <c r="G1364" s="142"/>
      <c r="H1364" s="142"/>
      <c r="I1364" s="142"/>
      <c r="J1364" s="142"/>
    </row>
    <row r="1365" spans="1:10" x14ac:dyDescent="0.25">
      <c r="A1365" s="28"/>
      <c r="B1365" s="180"/>
      <c r="C1365" s="35"/>
      <c r="D1365" s="36"/>
      <c r="E1365" s="36"/>
      <c r="F1365" s="142"/>
      <c r="G1365" s="142"/>
      <c r="H1365" s="142"/>
      <c r="I1365" s="142"/>
      <c r="J1365" s="142"/>
    </row>
    <row r="1366" spans="1:10" x14ac:dyDescent="0.25">
      <c r="A1366" s="28"/>
      <c r="B1366" s="180"/>
      <c r="C1366" s="35"/>
      <c r="D1366" s="36"/>
      <c r="E1366" s="36"/>
      <c r="F1366" s="142"/>
      <c r="G1366" s="142"/>
      <c r="H1366" s="142"/>
      <c r="I1366" s="142"/>
      <c r="J1366" s="142"/>
    </row>
    <row r="1367" spans="1:10" x14ac:dyDescent="0.25">
      <c r="A1367" s="28"/>
      <c r="B1367" s="180"/>
      <c r="C1367" s="35"/>
      <c r="D1367" s="36"/>
      <c r="E1367" s="36"/>
      <c r="F1367" s="142"/>
      <c r="G1367" s="142"/>
      <c r="H1367" s="142"/>
      <c r="I1367" s="142"/>
      <c r="J1367" s="142"/>
    </row>
    <row r="1368" spans="1:10" x14ac:dyDescent="0.25">
      <c r="A1368" s="28"/>
      <c r="B1368" s="180"/>
      <c r="C1368" s="35"/>
      <c r="D1368" s="36"/>
      <c r="E1368" s="36"/>
      <c r="F1368" s="142"/>
      <c r="G1368" s="142"/>
      <c r="H1368" s="142"/>
      <c r="I1368" s="142"/>
      <c r="J1368" s="142"/>
    </row>
    <row r="1369" spans="1:10" x14ac:dyDescent="0.25">
      <c r="A1369" s="28"/>
      <c r="B1369" s="180"/>
      <c r="C1369" s="35"/>
      <c r="D1369" s="36"/>
      <c r="E1369" s="36"/>
      <c r="F1369" s="142"/>
      <c r="G1369" s="142"/>
      <c r="H1369" s="142"/>
      <c r="I1369" s="142"/>
      <c r="J1369" s="142"/>
    </row>
    <row r="1370" spans="1:10" x14ac:dyDescent="0.25">
      <c r="A1370" s="28"/>
      <c r="B1370" s="180"/>
      <c r="C1370" s="35"/>
      <c r="D1370" s="36"/>
      <c r="E1370" s="36"/>
      <c r="F1370" s="142"/>
      <c r="G1370" s="142"/>
      <c r="H1370" s="142"/>
      <c r="I1370" s="142"/>
      <c r="J1370" s="142"/>
    </row>
    <row r="1371" spans="1:10" x14ac:dyDescent="0.25">
      <c r="A1371" s="28"/>
      <c r="B1371" s="180"/>
      <c r="C1371" s="35"/>
      <c r="D1371" s="36"/>
      <c r="E1371" s="36"/>
      <c r="F1371" s="142"/>
      <c r="G1371" s="142"/>
      <c r="H1371" s="142"/>
      <c r="I1371" s="142"/>
      <c r="J1371" s="142"/>
    </row>
    <row r="1372" spans="1:10" x14ac:dyDescent="0.25">
      <c r="A1372" s="28"/>
      <c r="B1372" s="180"/>
      <c r="C1372" s="35"/>
      <c r="D1372" s="36"/>
      <c r="E1372" s="36"/>
      <c r="F1372" s="142"/>
      <c r="G1372" s="142"/>
      <c r="H1372" s="142"/>
      <c r="I1372" s="142"/>
      <c r="J1372" s="142"/>
    </row>
    <row r="1373" spans="1:10" x14ac:dyDescent="0.25">
      <c r="A1373" s="28"/>
      <c r="B1373" s="180"/>
      <c r="C1373" s="35"/>
      <c r="D1373" s="36"/>
      <c r="E1373" s="36"/>
      <c r="F1373" s="142"/>
      <c r="G1373" s="142"/>
      <c r="H1373" s="142"/>
      <c r="I1373" s="142"/>
      <c r="J1373" s="142"/>
    </row>
    <row r="1374" spans="1:10" x14ac:dyDescent="0.25">
      <c r="A1374" s="28"/>
      <c r="B1374" s="180"/>
      <c r="C1374" s="35"/>
      <c r="D1374" s="36"/>
      <c r="E1374" s="36"/>
      <c r="F1374" s="142"/>
      <c r="G1374" s="142"/>
      <c r="H1374" s="142"/>
      <c r="I1374" s="142"/>
      <c r="J1374" s="142"/>
    </row>
    <row r="1375" spans="1:10" x14ac:dyDescent="0.25">
      <c r="A1375" s="28"/>
      <c r="B1375" s="180"/>
      <c r="C1375" s="35"/>
      <c r="D1375" s="36"/>
      <c r="E1375" s="36"/>
      <c r="F1375" s="142"/>
      <c r="G1375" s="142"/>
      <c r="H1375" s="142"/>
      <c r="I1375" s="142"/>
      <c r="J1375" s="142"/>
    </row>
    <row r="1376" spans="1:10" x14ac:dyDescent="0.25">
      <c r="A1376" s="28"/>
      <c r="B1376" s="180"/>
      <c r="C1376" s="35"/>
      <c r="D1376" s="36"/>
      <c r="E1376" s="36"/>
      <c r="F1376" s="142"/>
      <c r="G1376" s="142"/>
      <c r="H1376" s="142"/>
      <c r="I1376" s="142"/>
      <c r="J1376" s="142"/>
    </row>
    <row r="1377" spans="1:10" x14ac:dyDescent="0.25">
      <c r="A1377" s="28"/>
      <c r="B1377" s="180"/>
      <c r="C1377" s="35"/>
      <c r="D1377" s="36"/>
      <c r="E1377" s="36"/>
      <c r="F1377" s="142"/>
      <c r="G1377" s="142"/>
      <c r="H1377" s="142"/>
      <c r="I1377" s="142"/>
      <c r="J1377" s="142"/>
    </row>
    <row r="1378" spans="1:10" x14ac:dyDescent="0.25">
      <c r="A1378" s="28"/>
      <c r="B1378" s="180"/>
      <c r="C1378" s="35"/>
      <c r="D1378" s="36"/>
      <c r="E1378" s="36"/>
      <c r="F1378" s="142"/>
      <c r="G1378" s="142"/>
      <c r="H1378" s="142"/>
      <c r="I1378" s="142"/>
      <c r="J1378" s="142"/>
    </row>
    <row r="1379" spans="1:10" x14ac:dyDescent="0.25">
      <c r="A1379" s="28"/>
      <c r="B1379" s="180"/>
      <c r="C1379" s="35"/>
      <c r="D1379" s="36"/>
      <c r="E1379" s="36"/>
      <c r="F1379" s="142"/>
      <c r="G1379" s="142"/>
      <c r="H1379" s="142"/>
      <c r="I1379" s="142"/>
      <c r="J1379" s="142"/>
    </row>
    <row r="1380" spans="1:10" x14ac:dyDescent="0.25">
      <c r="A1380" s="28"/>
      <c r="B1380" s="180"/>
      <c r="C1380" s="35"/>
      <c r="D1380" s="36"/>
      <c r="E1380" s="36"/>
      <c r="F1380" s="142"/>
      <c r="G1380" s="142"/>
      <c r="H1380" s="142"/>
      <c r="I1380" s="142"/>
      <c r="J1380" s="142"/>
    </row>
    <row r="1381" spans="1:10" x14ac:dyDescent="0.25">
      <c r="A1381" s="28"/>
      <c r="B1381" s="180"/>
      <c r="C1381" s="35"/>
      <c r="D1381" s="36"/>
      <c r="E1381" s="36"/>
      <c r="F1381" s="142"/>
      <c r="G1381" s="142"/>
      <c r="H1381" s="142"/>
      <c r="I1381" s="142"/>
      <c r="J1381" s="142"/>
    </row>
    <row r="1382" spans="1:10" x14ac:dyDescent="0.25">
      <c r="A1382" s="28"/>
      <c r="B1382" s="180"/>
      <c r="C1382" s="35"/>
      <c r="D1382" s="36"/>
      <c r="E1382" s="36"/>
      <c r="F1382" s="142"/>
      <c r="G1382" s="142"/>
      <c r="H1382" s="142"/>
      <c r="I1382" s="142"/>
      <c r="J1382" s="142"/>
    </row>
    <row r="1383" spans="1:10" x14ac:dyDescent="0.25">
      <c r="A1383" s="28"/>
      <c r="B1383" s="180"/>
      <c r="C1383" s="35"/>
      <c r="D1383" s="36"/>
      <c r="E1383" s="36"/>
      <c r="F1383" s="142"/>
      <c r="G1383" s="142"/>
      <c r="H1383" s="142"/>
      <c r="I1383" s="142"/>
      <c r="J1383" s="142"/>
    </row>
    <row r="1384" spans="1:10" x14ac:dyDescent="0.25">
      <c r="A1384" s="28"/>
      <c r="B1384" s="180"/>
      <c r="C1384" s="35"/>
      <c r="D1384" s="36"/>
      <c r="E1384" s="36"/>
      <c r="F1384" s="142"/>
      <c r="G1384" s="142"/>
      <c r="H1384" s="142"/>
      <c r="I1384" s="142"/>
      <c r="J1384" s="142"/>
    </row>
    <row r="1385" spans="1:10" x14ac:dyDescent="0.25">
      <c r="A1385" s="28"/>
      <c r="B1385" s="180"/>
      <c r="C1385" s="35"/>
      <c r="D1385" s="36"/>
      <c r="E1385" s="36"/>
      <c r="F1385" s="142"/>
      <c r="G1385" s="142"/>
      <c r="H1385" s="142"/>
      <c r="I1385" s="142"/>
      <c r="J1385" s="142"/>
    </row>
    <row r="1386" spans="1:10" x14ac:dyDescent="0.25">
      <c r="A1386" s="28"/>
      <c r="B1386" s="180"/>
      <c r="C1386" s="35"/>
      <c r="D1386" s="36"/>
      <c r="E1386" s="36"/>
      <c r="F1386" s="142"/>
      <c r="G1386" s="142"/>
      <c r="H1386" s="142"/>
      <c r="I1386" s="142"/>
      <c r="J1386" s="142"/>
    </row>
    <row r="1387" spans="1:10" x14ac:dyDescent="0.25">
      <c r="A1387" s="28"/>
      <c r="B1387" s="180"/>
      <c r="C1387" s="35"/>
      <c r="D1387" s="36"/>
      <c r="E1387" s="36"/>
      <c r="F1387" s="142"/>
      <c r="G1387" s="142"/>
      <c r="H1387" s="142"/>
      <c r="I1387" s="142"/>
      <c r="J1387" s="142"/>
    </row>
    <row r="1388" spans="1:10" x14ac:dyDescent="0.25">
      <c r="A1388" s="28"/>
      <c r="B1388" s="180"/>
      <c r="C1388" s="35"/>
      <c r="D1388" s="36"/>
      <c r="E1388" s="36"/>
      <c r="F1388" s="142"/>
      <c r="G1388" s="142"/>
      <c r="H1388" s="142"/>
      <c r="I1388" s="142"/>
      <c r="J1388" s="142"/>
    </row>
    <row r="1389" spans="1:10" x14ac:dyDescent="0.25">
      <c r="A1389" s="28"/>
      <c r="B1389" s="180"/>
      <c r="C1389" s="35"/>
      <c r="D1389" s="36"/>
      <c r="E1389" s="36"/>
      <c r="F1389" s="142"/>
      <c r="G1389" s="142"/>
      <c r="H1389" s="142"/>
      <c r="I1389" s="142"/>
      <c r="J1389" s="142"/>
    </row>
    <row r="1390" spans="1:10" x14ac:dyDescent="0.25">
      <c r="A1390" s="28"/>
      <c r="B1390" s="180"/>
      <c r="C1390" s="35"/>
      <c r="D1390" s="36"/>
      <c r="E1390" s="36"/>
      <c r="F1390" s="142"/>
      <c r="G1390" s="142"/>
      <c r="H1390" s="142"/>
      <c r="I1390" s="142"/>
      <c r="J1390" s="142"/>
    </row>
    <row r="1391" spans="1:10" x14ac:dyDescent="0.25">
      <c r="A1391" s="28"/>
      <c r="B1391" s="180"/>
      <c r="C1391" s="35"/>
      <c r="D1391" s="36"/>
      <c r="E1391" s="36"/>
      <c r="F1391" s="142"/>
      <c r="G1391" s="142"/>
      <c r="H1391" s="142"/>
      <c r="I1391" s="142"/>
      <c r="J1391" s="142"/>
    </row>
    <row r="1392" spans="1:10" x14ac:dyDescent="0.25">
      <c r="A1392" s="28"/>
      <c r="B1392" s="180"/>
      <c r="C1392" s="35"/>
      <c r="D1392" s="36"/>
      <c r="E1392" s="36"/>
      <c r="F1392" s="142"/>
      <c r="G1392" s="142"/>
      <c r="H1392" s="142"/>
      <c r="I1392" s="142"/>
      <c r="J1392" s="142"/>
    </row>
    <row r="1393" spans="1:10" x14ac:dyDescent="0.25">
      <c r="A1393" s="28"/>
      <c r="B1393" s="180"/>
      <c r="C1393" s="35"/>
      <c r="D1393" s="36"/>
      <c r="E1393" s="36"/>
      <c r="F1393" s="142"/>
      <c r="G1393" s="142"/>
      <c r="H1393" s="142"/>
      <c r="I1393" s="142"/>
      <c r="J1393" s="142"/>
    </row>
    <row r="1394" spans="1:10" x14ac:dyDescent="0.25">
      <c r="A1394" s="28"/>
      <c r="B1394" s="180"/>
      <c r="C1394" s="35"/>
      <c r="D1394" s="36"/>
      <c r="E1394" s="36"/>
      <c r="F1394" s="142"/>
      <c r="G1394" s="142"/>
      <c r="H1394" s="142"/>
      <c r="I1394" s="142"/>
      <c r="J1394" s="142"/>
    </row>
    <row r="1395" spans="1:10" x14ac:dyDescent="0.25">
      <c r="A1395" s="28"/>
      <c r="B1395" s="180"/>
      <c r="C1395" s="35"/>
      <c r="D1395" s="36"/>
      <c r="E1395" s="36"/>
      <c r="F1395" s="142"/>
      <c r="G1395" s="142"/>
      <c r="H1395" s="142"/>
      <c r="I1395" s="142"/>
      <c r="J1395" s="142"/>
    </row>
    <row r="1396" spans="1:10" x14ac:dyDescent="0.25">
      <c r="A1396" s="28"/>
      <c r="B1396" s="180"/>
      <c r="C1396" s="35"/>
      <c r="D1396" s="36"/>
      <c r="E1396" s="36"/>
      <c r="F1396" s="142"/>
      <c r="G1396" s="142"/>
      <c r="H1396" s="142"/>
      <c r="I1396" s="142"/>
      <c r="J1396" s="142"/>
    </row>
    <row r="1397" spans="1:10" x14ac:dyDescent="0.25">
      <c r="A1397" s="28"/>
      <c r="B1397" s="180"/>
      <c r="C1397" s="35"/>
      <c r="D1397" s="36"/>
      <c r="E1397" s="36"/>
      <c r="F1397" s="142"/>
      <c r="G1397" s="142"/>
      <c r="H1397" s="142"/>
      <c r="I1397" s="142"/>
      <c r="J1397" s="142"/>
    </row>
    <row r="1398" spans="1:10" x14ac:dyDescent="0.25">
      <c r="A1398" s="28"/>
      <c r="B1398" s="180"/>
      <c r="C1398" s="35"/>
      <c r="D1398" s="36"/>
      <c r="E1398" s="36"/>
      <c r="F1398" s="142"/>
      <c r="G1398" s="142"/>
      <c r="H1398" s="142"/>
      <c r="I1398" s="142"/>
      <c r="J1398" s="142"/>
    </row>
    <row r="1399" spans="1:10" x14ac:dyDescent="0.25">
      <c r="A1399" s="28"/>
      <c r="B1399" s="180"/>
      <c r="C1399" s="35"/>
      <c r="D1399" s="36"/>
      <c r="E1399" s="36"/>
      <c r="F1399" s="142"/>
      <c r="G1399" s="142"/>
      <c r="H1399" s="142"/>
      <c r="I1399" s="142"/>
      <c r="J1399" s="142"/>
    </row>
    <row r="1400" spans="1:10" x14ac:dyDescent="0.25">
      <c r="A1400" s="28"/>
      <c r="B1400" s="180"/>
      <c r="C1400" s="35"/>
      <c r="D1400" s="36"/>
      <c r="E1400" s="36"/>
      <c r="F1400" s="142"/>
      <c r="G1400" s="142"/>
      <c r="H1400" s="142"/>
      <c r="I1400" s="142"/>
      <c r="J1400" s="142"/>
    </row>
    <row r="1401" spans="1:10" x14ac:dyDescent="0.25">
      <c r="A1401" s="28"/>
      <c r="B1401" s="180"/>
      <c r="C1401" s="35"/>
      <c r="D1401" s="36"/>
      <c r="E1401" s="36"/>
      <c r="F1401" s="142"/>
      <c r="G1401" s="142"/>
      <c r="H1401" s="142"/>
      <c r="I1401" s="142"/>
      <c r="J1401" s="142"/>
    </row>
    <row r="1402" spans="1:10" x14ac:dyDescent="0.25">
      <c r="A1402" s="28"/>
      <c r="B1402" s="180"/>
      <c r="C1402" s="35"/>
      <c r="D1402" s="36"/>
      <c r="E1402" s="36"/>
      <c r="F1402" s="142"/>
      <c r="G1402" s="142"/>
      <c r="H1402" s="142"/>
      <c r="I1402" s="142"/>
      <c r="J1402" s="142"/>
    </row>
    <row r="1403" spans="1:10" x14ac:dyDescent="0.25">
      <c r="A1403" s="28"/>
      <c r="B1403" s="180"/>
      <c r="C1403" s="35"/>
      <c r="D1403" s="36"/>
      <c r="E1403" s="36"/>
      <c r="F1403" s="142"/>
      <c r="G1403" s="142"/>
      <c r="H1403" s="142"/>
      <c r="I1403" s="142"/>
      <c r="J1403" s="142"/>
    </row>
    <row r="1404" spans="1:10" x14ac:dyDescent="0.25">
      <c r="A1404" s="28"/>
      <c r="B1404" s="180"/>
      <c r="C1404" s="35"/>
      <c r="D1404" s="36"/>
      <c r="E1404" s="36"/>
      <c r="F1404" s="142"/>
      <c r="G1404" s="142"/>
      <c r="H1404" s="142"/>
      <c r="I1404" s="142"/>
      <c r="J1404" s="142"/>
    </row>
    <row r="1405" spans="1:10" x14ac:dyDescent="0.25">
      <c r="A1405" s="28"/>
      <c r="B1405" s="180"/>
      <c r="C1405" s="35"/>
      <c r="D1405" s="36"/>
      <c r="E1405" s="36"/>
      <c r="F1405" s="142"/>
      <c r="G1405" s="142"/>
      <c r="H1405" s="142"/>
      <c r="I1405" s="142"/>
      <c r="J1405" s="142"/>
    </row>
    <row r="1406" spans="1:10" x14ac:dyDescent="0.25">
      <c r="A1406" s="28"/>
      <c r="B1406" s="180"/>
      <c r="C1406" s="35"/>
      <c r="D1406" s="36"/>
      <c r="E1406" s="36"/>
      <c r="F1406" s="142"/>
      <c r="G1406" s="142"/>
      <c r="H1406" s="142"/>
      <c r="I1406" s="142"/>
      <c r="J1406" s="142"/>
    </row>
    <row r="1407" spans="1:10" x14ac:dyDescent="0.25">
      <c r="A1407" s="28"/>
      <c r="B1407" s="180"/>
      <c r="C1407" s="35"/>
      <c r="D1407" s="36"/>
      <c r="E1407" s="36"/>
      <c r="F1407" s="142"/>
      <c r="G1407" s="142"/>
      <c r="H1407" s="142"/>
      <c r="I1407" s="142"/>
      <c r="J1407" s="142"/>
    </row>
    <row r="1408" spans="1:10" x14ac:dyDescent="0.25">
      <c r="A1408" s="28"/>
      <c r="B1408" s="180"/>
      <c r="C1408" s="35"/>
      <c r="D1408" s="36"/>
      <c r="E1408" s="36"/>
      <c r="F1408" s="142"/>
      <c r="G1408" s="142"/>
      <c r="H1408" s="142"/>
      <c r="I1408" s="142"/>
      <c r="J1408" s="142"/>
    </row>
    <row r="1409" spans="1:10" x14ac:dyDescent="0.25">
      <c r="A1409" s="28"/>
      <c r="B1409" s="180"/>
      <c r="C1409" s="35"/>
      <c r="D1409" s="36"/>
      <c r="E1409" s="36"/>
      <c r="F1409" s="142"/>
      <c r="G1409" s="142"/>
      <c r="H1409" s="142"/>
      <c r="I1409" s="142"/>
      <c r="J1409" s="142"/>
    </row>
    <row r="1410" spans="1:10" x14ac:dyDescent="0.25">
      <c r="A1410" s="28"/>
      <c r="B1410" s="180"/>
      <c r="C1410" s="35"/>
      <c r="D1410" s="36"/>
      <c r="E1410" s="36"/>
      <c r="F1410" s="142"/>
      <c r="G1410" s="142"/>
      <c r="H1410" s="142"/>
      <c r="I1410" s="142"/>
      <c r="J1410" s="142"/>
    </row>
    <row r="1411" spans="1:10" x14ac:dyDescent="0.25">
      <c r="A1411" s="28"/>
      <c r="B1411" s="180"/>
      <c r="C1411" s="35"/>
      <c r="D1411" s="36"/>
      <c r="E1411" s="36"/>
      <c r="F1411" s="142"/>
      <c r="G1411" s="142"/>
      <c r="H1411" s="142"/>
      <c r="I1411" s="142"/>
      <c r="J1411" s="142"/>
    </row>
    <row r="1412" spans="1:10" x14ac:dyDescent="0.25">
      <c r="A1412" s="28"/>
      <c r="B1412" s="180"/>
      <c r="C1412" s="35"/>
      <c r="D1412" s="36"/>
      <c r="E1412" s="36"/>
      <c r="F1412" s="142"/>
      <c r="G1412" s="142"/>
      <c r="H1412" s="142"/>
      <c r="I1412" s="142"/>
      <c r="J1412" s="142"/>
    </row>
    <row r="1413" spans="1:10" x14ac:dyDescent="0.25">
      <c r="A1413" s="28"/>
      <c r="B1413" s="180"/>
      <c r="C1413" s="35"/>
      <c r="D1413" s="36"/>
      <c r="E1413" s="36"/>
      <c r="F1413" s="142"/>
      <c r="G1413" s="142"/>
      <c r="H1413" s="142"/>
      <c r="I1413" s="142"/>
      <c r="J1413" s="142"/>
    </row>
    <row r="1414" spans="1:10" x14ac:dyDescent="0.25">
      <c r="A1414" s="28"/>
      <c r="B1414" s="180"/>
      <c r="C1414" s="35"/>
      <c r="D1414" s="36"/>
      <c r="E1414" s="36"/>
      <c r="F1414" s="142"/>
      <c r="G1414" s="142"/>
      <c r="H1414" s="142"/>
      <c r="I1414" s="142"/>
      <c r="J1414" s="142"/>
    </row>
    <row r="1415" spans="1:10" x14ac:dyDescent="0.25">
      <c r="A1415" s="28"/>
      <c r="B1415" s="180"/>
      <c r="C1415" s="35"/>
      <c r="D1415" s="36"/>
      <c r="E1415" s="36"/>
      <c r="F1415" s="142"/>
      <c r="G1415" s="142"/>
      <c r="H1415" s="142"/>
      <c r="I1415" s="142"/>
      <c r="J1415" s="142"/>
    </row>
    <row r="1416" spans="1:10" x14ac:dyDescent="0.25">
      <c r="A1416" s="28"/>
      <c r="B1416" s="180"/>
      <c r="C1416" s="35"/>
      <c r="D1416" s="36"/>
      <c r="E1416" s="36"/>
      <c r="F1416" s="142"/>
      <c r="G1416" s="142"/>
      <c r="H1416" s="142"/>
      <c r="I1416" s="142"/>
      <c r="J1416" s="142"/>
    </row>
    <row r="1417" spans="1:10" x14ac:dyDescent="0.25">
      <c r="A1417" s="28"/>
      <c r="B1417" s="180"/>
      <c r="C1417" s="35"/>
      <c r="D1417" s="36"/>
      <c r="E1417" s="36"/>
      <c r="F1417" s="142"/>
      <c r="G1417" s="142"/>
      <c r="H1417" s="142"/>
      <c r="I1417" s="142"/>
      <c r="J1417" s="142"/>
    </row>
    <row r="1418" spans="1:10" x14ac:dyDescent="0.25">
      <c r="A1418" s="28"/>
      <c r="B1418" s="180"/>
      <c r="C1418" s="35"/>
      <c r="D1418" s="36"/>
      <c r="E1418" s="36"/>
      <c r="F1418" s="142"/>
      <c r="G1418" s="142"/>
      <c r="H1418" s="142"/>
      <c r="I1418" s="142"/>
      <c r="J1418" s="142"/>
    </row>
    <row r="1419" spans="1:10" x14ac:dyDescent="0.25">
      <c r="A1419" s="28"/>
      <c r="B1419" s="180"/>
      <c r="C1419" s="35"/>
      <c r="D1419" s="36"/>
      <c r="E1419" s="36"/>
      <c r="F1419" s="142"/>
      <c r="G1419" s="142"/>
      <c r="H1419" s="142"/>
      <c r="I1419" s="142"/>
      <c r="J1419" s="142"/>
    </row>
    <row r="1420" spans="1:10" x14ac:dyDescent="0.25">
      <c r="A1420" s="28"/>
      <c r="B1420" s="180"/>
      <c r="C1420" s="35"/>
      <c r="D1420" s="36"/>
      <c r="E1420" s="36"/>
      <c r="F1420" s="142"/>
      <c r="G1420" s="142"/>
      <c r="H1420" s="142"/>
      <c r="I1420" s="142"/>
      <c r="J1420" s="142"/>
    </row>
    <row r="1421" spans="1:10" x14ac:dyDescent="0.25">
      <c r="A1421" s="28"/>
      <c r="B1421" s="180"/>
      <c r="C1421" s="35"/>
      <c r="D1421" s="36"/>
      <c r="E1421" s="36"/>
      <c r="F1421" s="142"/>
      <c r="G1421" s="142"/>
      <c r="H1421" s="142"/>
      <c r="I1421" s="142"/>
      <c r="J1421" s="142"/>
    </row>
    <row r="1422" spans="1:10" x14ac:dyDescent="0.25">
      <c r="A1422" s="28"/>
      <c r="B1422" s="180"/>
      <c r="C1422" s="35"/>
      <c r="D1422" s="36"/>
      <c r="E1422" s="36"/>
      <c r="F1422" s="142"/>
      <c r="G1422" s="142"/>
      <c r="H1422" s="142"/>
      <c r="I1422" s="142"/>
      <c r="J1422" s="142"/>
    </row>
    <row r="1423" spans="1:10" x14ac:dyDescent="0.25">
      <c r="A1423" s="28"/>
      <c r="B1423" s="180"/>
      <c r="C1423" s="35"/>
      <c r="D1423" s="36"/>
      <c r="E1423" s="36"/>
      <c r="F1423" s="142"/>
      <c r="G1423" s="142"/>
      <c r="H1423" s="142"/>
      <c r="I1423" s="142"/>
      <c r="J1423" s="142"/>
    </row>
    <row r="1424" spans="1:10" x14ac:dyDescent="0.25">
      <c r="A1424" s="28"/>
      <c r="B1424" s="180"/>
      <c r="C1424" s="35"/>
      <c r="D1424" s="36"/>
      <c r="E1424" s="36"/>
      <c r="F1424" s="142"/>
      <c r="G1424" s="142"/>
      <c r="H1424" s="142"/>
      <c r="I1424" s="142"/>
      <c r="J1424" s="142"/>
    </row>
    <row r="1425" spans="1:10" x14ac:dyDescent="0.25">
      <c r="A1425" s="28"/>
      <c r="B1425" s="180"/>
      <c r="C1425" s="35"/>
      <c r="D1425" s="36"/>
      <c r="E1425" s="36"/>
      <c r="F1425" s="142"/>
      <c r="G1425" s="142"/>
      <c r="H1425" s="142"/>
      <c r="I1425" s="142"/>
      <c r="J1425" s="142"/>
    </row>
    <row r="1426" spans="1:10" x14ac:dyDescent="0.25">
      <c r="A1426" s="28"/>
      <c r="B1426" s="180"/>
      <c r="C1426" s="35"/>
      <c r="D1426" s="36"/>
      <c r="E1426" s="36"/>
      <c r="F1426" s="142"/>
      <c r="G1426" s="142"/>
      <c r="H1426" s="142"/>
      <c r="I1426" s="142"/>
      <c r="J1426" s="142"/>
    </row>
    <row r="1427" spans="1:10" x14ac:dyDescent="0.25">
      <c r="A1427" s="28"/>
      <c r="B1427" s="180"/>
      <c r="C1427" s="35"/>
      <c r="D1427" s="36"/>
      <c r="E1427" s="36"/>
      <c r="F1427" s="142"/>
      <c r="G1427" s="142"/>
      <c r="H1427" s="142"/>
      <c r="I1427" s="142"/>
      <c r="J1427" s="142"/>
    </row>
    <row r="1428" spans="1:10" x14ac:dyDescent="0.25">
      <c r="A1428" s="28"/>
      <c r="B1428" s="180"/>
      <c r="C1428" s="35"/>
      <c r="D1428" s="36"/>
      <c r="E1428" s="36"/>
      <c r="F1428" s="142"/>
      <c r="G1428" s="142"/>
      <c r="H1428" s="142"/>
      <c r="I1428" s="142"/>
      <c r="J1428" s="142"/>
    </row>
    <row r="1429" spans="1:10" x14ac:dyDescent="0.25">
      <c r="A1429" s="28"/>
      <c r="B1429" s="180"/>
      <c r="C1429" s="35"/>
      <c r="D1429" s="36"/>
      <c r="E1429" s="36"/>
      <c r="F1429" s="142"/>
      <c r="G1429" s="142"/>
      <c r="H1429" s="142"/>
      <c r="I1429" s="142"/>
      <c r="J1429" s="142"/>
    </row>
    <row r="1430" spans="1:10" x14ac:dyDescent="0.25">
      <c r="A1430" s="28"/>
      <c r="B1430" s="180"/>
      <c r="C1430" s="35"/>
      <c r="D1430" s="36"/>
      <c r="E1430" s="36"/>
      <c r="F1430" s="142"/>
      <c r="G1430" s="142"/>
      <c r="H1430" s="142"/>
      <c r="I1430" s="142"/>
      <c r="J1430" s="142"/>
    </row>
    <row r="1431" spans="1:10" x14ac:dyDescent="0.25">
      <c r="A1431" s="28"/>
      <c r="B1431" s="180"/>
      <c r="C1431" s="35"/>
      <c r="D1431" s="36"/>
      <c r="E1431" s="36"/>
      <c r="F1431" s="142"/>
      <c r="G1431" s="142"/>
      <c r="H1431" s="142"/>
      <c r="I1431" s="142"/>
      <c r="J1431" s="142"/>
    </row>
    <row r="1432" spans="1:10" x14ac:dyDescent="0.25">
      <c r="A1432" s="28"/>
      <c r="B1432" s="180"/>
      <c r="C1432" s="35"/>
      <c r="D1432" s="36"/>
      <c r="E1432" s="36"/>
      <c r="F1432" s="142"/>
      <c r="G1432" s="142"/>
      <c r="H1432" s="142"/>
      <c r="I1432" s="142"/>
      <c r="J1432" s="142"/>
    </row>
    <row r="1433" spans="1:10" x14ac:dyDescent="0.25">
      <c r="A1433" s="28"/>
      <c r="B1433" s="180"/>
      <c r="C1433" s="35"/>
      <c r="D1433" s="36"/>
      <c r="E1433" s="36"/>
      <c r="F1433" s="142"/>
      <c r="G1433" s="142"/>
      <c r="H1433" s="142"/>
      <c r="I1433" s="142"/>
      <c r="J1433" s="142"/>
    </row>
    <row r="1434" spans="1:10" x14ac:dyDescent="0.25">
      <c r="A1434" s="28"/>
      <c r="B1434" s="180"/>
      <c r="C1434" s="35"/>
      <c r="D1434" s="36"/>
      <c r="E1434" s="36"/>
      <c r="F1434" s="142"/>
      <c r="G1434" s="142"/>
      <c r="H1434" s="142"/>
      <c r="I1434" s="142"/>
      <c r="J1434" s="142"/>
    </row>
    <row r="1435" spans="1:10" x14ac:dyDescent="0.25">
      <c r="A1435" s="28"/>
      <c r="B1435" s="180"/>
      <c r="C1435" s="35"/>
      <c r="D1435" s="36"/>
      <c r="E1435" s="36"/>
      <c r="F1435" s="142"/>
      <c r="G1435" s="142"/>
      <c r="H1435" s="142"/>
      <c r="I1435" s="142"/>
      <c r="J1435" s="142"/>
    </row>
    <row r="1436" spans="1:10" x14ac:dyDescent="0.25">
      <c r="A1436" s="28"/>
      <c r="B1436" s="180"/>
      <c r="C1436" s="35"/>
      <c r="D1436" s="36"/>
      <c r="E1436" s="36"/>
      <c r="F1436" s="142"/>
      <c r="G1436" s="142"/>
      <c r="H1436" s="142"/>
      <c r="I1436" s="142"/>
      <c r="J1436" s="142"/>
    </row>
    <row r="1437" spans="1:10" x14ac:dyDescent="0.25">
      <c r="A1437" s="28"/>
      <c r="B1437" s="180"/>
      <c r="C1437" s="35"/>
      <c r="D1437" s="36"/>
      <c r="E1437" s="36"/>
      <c r="F1437" s="142"/>
      <c r="G1437" s="142"/>
      <c r="H1437" s="142"/>
      <c r="I1437" s="142"/>
      <c r="J1437" s="142"/>
    </row>
    <row r="1438" spans="1:10" x14ac:dyDescent="0.25">
      <c r="A1438" s="28"/>
      <c r="B1438" s="180"/>
      <c r="C1438" s="35"/>
      <c r="D1438" s="36"/>
      <c r="E1438" s="36"/>
      <c r="F1438" s="142"/>
      <c r="G1438" s="142"/>
      <c r="H1438" s="142"/>
      <c r="I1438" s="142"/>
      <c r="J1438" s="142"/>
    </row>
    <row r="1439" spans="1:10" x14ac:dyDescent="0.25">
      <c r="A1439" s="28"/>
      <c r="B1439" s="180"/>
      <c r="C1439" s="35"/>
      <c r="D1439" s="36"/>
      <c r="E1439" s="36"/>
      <c r="F1439" s="142"/>
      <c r="G1439" s="142"/>
      <c r="H1439" s="142"/>
      <c r="I1439" s="142"/>
      <c r="J1439" s="142"/>
    </row>
    <row r="1440" spans="1:10" x14ac:dyDescent="0.25">
      <c r="A1440" s="28"/>
      <c r="B1440" s="180"/>
      <c r="C1440" s="35"/>
      <c r="D1440" s="36"/>
      <c r="E1440" s="36"/>
      <c r="F1440" s="142"/>
      <c r="G1440" s="142"/>
      <c r="H1440" s="142"/>
      <c r="I1440" s="142"/>
      <c r="J1440" s="142"/>
    </row>
    <row r="1441" spans="1:10" x14ac:dyDescent="0.25">
      <c r="A1441" s="28"/>
      <c r="B1441" s="180"/>
      <c r="C1441" s="35"/>
      <c r="D1441" s="36"/>
      <c r="E1441" s="36"/>
      <c r="F1441" s="142"/>
      <c r="G1441" s="142"/>
      <c r="H1441" s="142"/>
      <c r="I1441" s="142"/>
      <c r="J1441" s="142"/>
    </row>
    <row r="1442" spans="1:10" x14ac:dyDescent="0.25">
      <c r="A1442" s="28"/>
      <c r="B1442" s="180"/>
      <c r="C1442" s="35"/>
      <c r="D1442" s="36"/>
      <c r="E1442" s="36"/>
      <c r="F1442" s="142"/>
      <c r="G1442" s="142"/>
      <c r="H1442" s="142"/>
      <c r="I1442" s="142"/>
      <c r="J1442" s="142"/>
    </row>
    <row r="1443" spans="1:10" x14ac:dyDescent="0.25">
      <c r="A1443" s="28"/>
      <c r="B1443" s="180"/>
      <c r="C1443" s="35"/>
      <c r="D1443" s="36"/>
      <c r="E1443" s="36"/>
      <c r="F1443" s="142"/>
      <c r="G1443" s="142"/>
      <c r="H1443" s="142"/>
      <c r="I1443" s="142"/>
      <c r="J1443" s="142"/>
    </row>
    <row r="1444" spans="1:10" x14ac:dyDescent="0.25">
      <c r="A1444" s="28"/>
      <c r="B1444" s="180"/>
      <c r="C1444" s="35"/>
      <c r="D1444" s="36"/>
      <c r="E1444" s="36"/>
      <c r="F1444" s="142"/>
      <c r="G1444" s="142"/>
      <c r="H1444" s="142"/>
      <c r="I1444" s="142"/>
      <c r="J1444" s="142"/>
    </row>
    <row r="1445" spans="1:10" x14ac:dyDescent="0.25">
      <c r="A1445" s="28"/>
      <c r="B1445" s="180"/>
      <c r="C1445" s="35"/>
      <c r="D1445" s="36"/>
      <c r="E1445" s="36"/>
      <c r="F1445" s="142"/>
      <c r="G1445" s="142"/>
      <c r="H1445" s="142"/>
      <c r="I1445" s="142"/>
      <c r="J1445" s="142"/>
    </row>
    <row r="1446" spans="1:10" x14ac:dyDescent="0.25">
      <c r="A1446" s="28"/>
      <c r="B1446" s="180"/>
      <c r="C1446" s="35"/>
      <c r="D1446" s="36"/>
      <c r="E1446" s="36"/>
      <c r="F1446" s="142"/>
      <c r="G1446" s="142"/>
      <c r="H1446" s="142"/>
      <c r="I1446" s="142"/>
      <c r="J1446" s="142"/>
    </row>
    <row r="1447" spans="1:10" x14ac:dyDescent="0.25">
      <c r="A1447" s="28"/>
      <c r="B1447" s="180"/>
      <c r="C1447" s="35"/>
      <c r="D1447" s="36"/>
      <c r="E1447" s="36"/>
      <c r="F1447" s="142"/>
      <c r="G1447" s="142"/>
      <c r="H1447" s="142"/>
      <c r="I1447" s="142"/>
      <c r="J1447" s="142"/>
    </row>
    <row r="1448" spans="1:10" x14ac:dyDescent="0.25">
      <c r="A1448" s="28"/>
      <c r="B1448" s="180"/>
      <c r="C1448" s="35"/>
      <c r="D1448" s="36"/>
      <c r="E1448" s="36"/>
      <c r="F1448" s="142"/>
      <c r="G1448" s="142"/>
      <c r="H1448" s="142"/>
      <c r="I1448" s="142"/>
      <c r="J1448" s="142"/>
    </row>
    <row r="1449" spans="1:10" x14ac:dyDescent="0.25">
      <c r="A1449" s="28"/>
      <c r="B1449" s="180"/>
      <c r="C1449" s="35"/>
      <c r="D1449" s="36"/>
      <c r="E1449" s="36"/>
      <c r="F1449" s="142"/>
      <c r="G1449" s="142"/>
      <c r="H1449" s="142"/>
      <c r="I1449" s="142"/>
      <c r="J1449" s="142"/>
    </row>
    <row r="1450" spans="1:10" x14ac:dyDescent="0.25">
      <c r="A1450" s="28"/>
      <c r="B1450" s="180"/>
      <c r="C1450" s="35"/>
      <c r="D1450" s="36"/>
      <c r="E1450" s="36"/>
      <c r="F1450" s="142"/>
      <c r="G1450" s="142"/>
      <c r="H1450" s="142"/>
      <c r="I1450" s="142"/>
      <c r="J1450" s="142"/>
    </row>
    <row r="1451" spans="1:10" x14ac:dyDescent="0.25">
      <c r="A1451" s="28"/>
      <c r="B1451" s="180"/>
      <c r="C1451" s="35"/>
      <c r="D1451" s="36"/>
      <c r="E1451" s="36"/>
      <c r="F1451" s="142"/>
      <c r="G1451" s="142"/>
      <c r="H1451" s="142"/>
      <c r="I1451" s="142"/>
      <c r="J1451" s="142"/>
    </row>
    <row r="1452" spans="1:10" x14ac:dyDescent="0.25">
      <c r="A1452" s="28"/>
      <c r="B1452" s="180"/>
      <c r="C1452" s="35"/>
      <c r="D1452" s="36"/>
      <c r="E1452" s="36"/>
      <c r="F1452" s="142"/>
      <c r="G1452" s="142"/>
      <c r="H1452" s="142"/>
      <c r="I1452" s="142"/>
      <c r="J1452" s="142"/>
    </row>
    <row r="1453" spans="1:10" x14ac:dyDescent="0.25">
      <c r="A1453" s="28"/>
      <c r="B1453" s="180"/>
      <c r="C1453" s="35"/>
      <c r="D1453" s="36"/>
      <c r="E1453" s="36"/>
      <c r="F1453" s="142"/>
      <c r="G1453" s="142"/>
      <c r="H1453" s="142"/>
      <c r="I1453" s="142"/>
      <c r="J1453" s="142"/>
    </row>
    <row r="1454" spans="1:10" x14ac:dyDescent="0.25">
      <c r="A1454" s="28"/>
      <c r="B1454" s="180"/>
      <c r="C1454" s="35"/>
      <c r="D1454" s="36"/>
      <c r="E1454" s="36"/>
      <c r="F1454" s="142"/>
      <c r="G1454" s="142"/>
      <c r="H1454" s="142"/>
      <c r="I1454" s="142"/>
      <c r="J1454" s="142"/>
    </row>
    <row r="1455" spans="1:10" x14ac:dyDescent="0.25">
      <c r="A1455" s="28"/>
      <c r="B1455" s="180"/>
      <c r="C1455" s="35"/>
      <c r="D1455" s="36"/>
      <c r="E1455" s="36"/>
      <c r="F1455" s="142"/>
      <c r="G1455" s="142"/>
      <c r="H1455" s="142"/>
      <c r="I1455" s="142"/>
      <c r="J1455" s="142"/>
    </row>
    <row r="1456" spans="1:10" x14ac:dyDescent="0.25">
      <c r="A1456" s="28"/>
      <c r="B1456" s="180"/>
      <c r="C1456" s="35"/>
      <c r="D1456" s="36"/>
      <c r="E1456" s="36"/>
      <c r="F1456" s="142"/>
      <c r="G1456" s="142"/>
      <c r="H1456" s="142"/>
      <c r="I1456" s="142"/>
      <c r="J1456" s="142"/>
    </row>
    <row r="1457" spans="1:10" x14ac:dyDescent="0.25">
      <c r="A1457" s="28"/>
      <c r="B1457" s="180"/>
      <c r="C1457" s="35"/>
      <c r="D1457" s="36"/>
      <c r="E1457" s="36"/>
      <c r="F1457" s="142"/>
      <c r="G1457" s="142"/>
      <c r="H1457" s="142"/>
      <c r="I1457" s="142"/>
      <c r="J1457" s="142"/>
    </row>
    <row r="1458" spans="1:10" x14ac:dyDescent="0.25">
      <c r="A1458" s="28"/>
      <c r="B1458" s="180"/>
      <c r="C1458" s="35"/>
      <c r="D1458" s="36"/>
      <c r="E1458" s="36"/>
      <c r="F1458" s="142"/>
      <c r="G1458" s="142"/>
      <c r="H1458" s="142"/>
      <c r="I1458" s="142"/>
      <c r="J1458" s="142"/>
    </row>
    <row r="1459" spans="1:10" x14ac:dyDescent="0.25">
      <c r="A1459" s="28"/>
      <c r="B1459" s="180"/>
      <c r="C1459" s="35"/>
      <c r="D1459" s="36"/>
      <c r="E1459" s="36"/>
      <c r="F1459" s="142"/>
      <c r="G1459" s="142"/>
      <c r="H1459" s="142"/>
      <c r="I1459" s="142"/>
      <c r="J1459" s="142"/>
    </row>
    <row r="1460" spans="1:10" x14ac:dyDescent="0.25">
      <c r="A1460" s="28"/>
      <c r="B1460" s="180"/>
      <c r="C1460" s="35"/>
      <c r="D1460" s="36"/>
      <c r="E1460" s="36"/>
      <c r="F1460" s="142"/>
      <c r="G1460" s="142"/>
      <c r="H1460" s="142"/>
      <c r="I1460" s="142"/>
      <c r="J1460" s="142"/>
    </row>
    <row r="1461" spans="1:10" x14ac:dyDescent="0.25">
      <c r="A1461" s="28"/>
      <c r="B1461" s="180"/>
      <c r="C1461" s="35"/>
      <c r="D1461" s="36"/>
      <c r="E1461" s="36"/>
      <c r="F1461" s="142"/>
      <c r="G1461" s="142"/>
      <c r="H1461" s="142"/>
      <c r="I1461" s="142"/>
      <c r="J1461" s="142"/>
    </row>
    <row r="1462" spans="1:10" x14ac:dyDescent="0.25">
      <c r="A1462" s="28"/>
      <c r="B1462" s="180"/>
      <c r="C1462" s="35"/>
      <c r="D1462" s="36"/>
      <c r="E1462" s="36"/>
      <c r="F1462" s="142"/>
      <c r="G1462" s="142"/>
      <c r="H1462" s="142"/>
      <c r="I1462" s="142"/>
      <c r="J1462" s="142"/>
    </row>
    <row r="1463" spans="1:10" x14ac:dyDescent="0.25">
      <c r="A1463" s="28"/>
      <c r="B1463" s="180"/>
      <c r="C1463" s="35"/>
      <c r="D1463" s="36"/>
      <c r="E1463" s="36"/>
      <c r="F1463" s="142"/>
      <c r="G1463" s="142"/>
      <c r="H1463" s="142"/>
      <c r="I1463" s="142"/>
      <c r="J1463" s="142"/>
    </row>
    <row r="1464" spans="1:10" x14ac:dyDescent="0.25">
      <c r="A1464" s="28"/>
      <c r="B1464" s="180"/>
      <c r="C1464" s="35"/>
      <c r="D1464" s="36"/>
      <c r="E1464" s="36"/>
      <c r="F1464" s="142"/>
      <c r="G1464" s="142"/>
      <c r="H1464" s="142"/>
      <c r="I1464" s="142"/>
      <c r="J1464" s="142"/>
    </row>
    <row r="1465" spans="1:10" x14ac:dyDescent="0.25">
      <c r="A1465" s="28"/>
      <c r="B1465" s="180"/>
      <c r="C1465" s="35"/>
      <c r="D1465" s="36"/>
      <c r="E1465" s="36"/>
      <c r="F1465" s="142"/>
      <c r="G1465" s="142"/>
      <c r="H1465" s="142"/>
      <c r="I1465" s="142"/>
      <c r="J1465" s="142"/>
    </row>
    <row r="1466" spans="1:10" x14ac:dyDescent="0.25">
      <c r="A1466" s="28"/>
      <c r="B1466" s="180"/>
      <c r="C1466" s="35"/>
      <c r="D1466" s="36"/>
      <c r="E1466" s="36"/>
      <c r="F1466" s="142"/>
      <c r="G1466" s="142"/>
      <c r="H1466" s="142"/>
      <c r="I1466" s="142"/>
      <c r="J1466" s="142"/>
    </row>
    <row r="1467" spans="1:10" x14ac:dyDescent="0.25">
      <c r="A1467" s="28"/>
      <c r="B1467" s="180"/>
      <c r="C1467" s="35"/>
      <c r="D1467" s="36"/>
      <c r="E1467" s="36"/>
      <c r="F1467" s="142"/>
      <c r="G1467" s="142"/>
      <c r="H1467" s="142"/>
      <c r="I1467" s="142"/>
      <c r="J1467" s="142"/>
    </row>
    <row r="1468" spans="1:10" x14ac:dyDescent="0.25">
      <c r="A1468" s="28"/>
      <c r="B1468" s="180"/>
      <c r="C1468" s="35"/>
      <c r="D1468" s="36"/>
      <c r="E1468" s="36"/>
      <c r="F1468" s="142"/>
      <c r="G1468" s="142"/>
      <c r="H1468" s="142"/>
      <c r="I1468" s="142"/>
      <c r="J1468" s="142"/>
    </row>
    <row r="1469" spans="1:10" x14ac:dyDescent="0.25">
      <c r="A1469" s="28"/>
      <c r="B1469" s="180"/>
      <c r="C1469" s="35"/>
      <c r="D1469" s="36"/>
      <c r="E1469" s="36"/>
      <c r="F1469" s="142"/>
      <c r="G1469" s="142"/>
      <c r="H1469" s="142"/>
      <c r="I1469" s="142"/>
      <c r="J1469" s="142"/>
    </row>
    <row r="1470" spans="1:10" x14ac:dyDescent="0.25">
      <c r="A1470" s="28"/>
      <c r="B1470" s="180"/>
      <c r="C1470" s="35"/>
      <c r="D1470" s="36"/>
      <c r="E1470" s="36"/>
      <c r="F1470" s="142"/>
      <c r="G1470" s="142"/>
      <c r="H1470" s="142"/>
      <c r="I1470" s="142"/>
      <c r="J1470" s="142"/>
    </row>
    <row r="1471" spans="1:10" x14ac:dyDescent="0.25">
      <c r="A1471" s="28"/>
      <c r="B1471" s="180"/>
      <c r="C1471" s="35"/>
      <c r="D1471" s="36"/>
      <c r="E1471" s="36"/>
      <c r="F1471" s="142"/>
      <c r="G1471" s="142"/>
      <c r="H1471" s="142"/>
      <c r="I1471" s="142"/>
      <c r="J1471" s="142"/>
    </row>
    <row r="1472" spans="1:10" x14ac:dyDescent="0.25">
      <c r="A1472" s="28"/>
      <c r="B1472" s="180"/>
      <c r="C1472" s="35"/>
      <c r="D1472" s="36"/>
      <c r="E1472" s="36"/>
      <c r="F1472" s="142"/>
      <c r="G1472" s="142"/>
      <c r="H1472" s="142"/>
      <c r="I1472" s="142"/>
      <c r="J1472" s="142"/>
    </row>
    <row r="1473" spans="1:10" x14ac:dyDescent="0.25">
      <c r="A1473" s="28"/>
      <c r="B1473" s="180"/>
      <c r="C1473" s="35"/>
      <c r="D1473" s="36"/>
      <c r="E1473" s="36"/>
      <c r="F1473" s="142"/>
      <c r="G1473" s="142"/>
      <c r="H1473" s="142"/>
      <c r="I1473" s="142"/>
      <c r="J1473" s="142"/>
    </row>
    <row r="1474" spans="1:10" x14ac:dyDescent="0.25">
      <c r="A1474" s="28"/>
      <c r="B1474" s="180"/>
      <c r="C1474" s="35"/>
      <c r="D1474" s="36"/>
      <c r="E1474" s="36"/>
      <c r="F1474" s="142"/>
      <c r="G1474" s="142"/>
      <c r="H1474" s="142"/>
      <c r="I1474" s="142"/>
      <c r="J1474" s="142"/>
    </row>
    <row r="1475" spans="1:10" x14ac:dyDescent="0.25">
      <c r="A1475" s="28"/>
      <c r="B1475" s="180"/>
      <c r="C1475" s="35"/>
      <c r="D1475" s="36"/>
      <c r="E1475" s="36"/>
      <c r="F1475" s="142"/>
      <c r="G1475" s="142"/>
      <c r="H1475" s="142"/>
      <c r="I1475" s="142"/>
      <c r="J1475" s="142"/>
    </row>
    <row r="1476" spans="1:10" x14ac:dyDescent="0.25">
      <c r="A1476" s="28"/>
      <c r="B1476" s="180"/>
      <c r="C1476" s="35"/>
      <c r="D1476" s="36"/>
      <c r="E1476" s="36"/>
      <c r="F1476" s="142"/>
      <c r="G1476" s="142"/>
      <c r="H1476" s="142"/>
      <c r="I1476" s="142"/>
      <c r="J1476" s="142"/>
    </row>
    <row r="1477" spans="1:10" x14ac:dyDescent="0.25">
      <c r="A1477" s="28"/>
      <c r="B1477" s="180"/>
      <c r="C1477" s="35"/>
      <c r="D1477" s="36"/>
      <c r="E1477" s="36"/>
      <c r="F1477" s="142"/>
      <c r="G1477" s="142"/>
      <c r="H1477" s="142"/>
      <c r="I1477" s="142"/>
      <c r="J1477" s="142"/>
    </row>
    <row r="1478" spans="1:10" x14ac:dyDescent="0.25">
      <c r="A1478" s="28"/>
      <c r="B1478" s="180"/>
      <c r="C1478" s="35"/>
      <c r="D1478" s="36"/>
      <c r="E1478" s="36"/>
      <c r="F1478" s="142"/>
      <c r="G1478" s="142"/>
      <c r="H1478" s="142"/>
      <c r="I1478" s="142"/>
      <c r="J1478" s="142"/>
    </row>
    <row r="1479" spans="1:10" x14ac:dyDescent="0.25">
      <c r="A1479" s="28"/>
      <c r="B1479" s="180"/>
      <c r="C1479" s="35"/>
      <c r="D1479" s="36"/>
      <c r="E1479" s="36"/>
      <c r="F1479" s="142"/>
      <c r="G1479" s="142"/>
      <c r="H1479" s="142"/>
      <c r="I1479" s="142"/>
      <c r="J1479" s="142"/>
    </row>
    <row r="1480" spans="1:10" x14ac:dyDescent="0.25">
      <c r="A1480" s="28"/>
      <c r="B1480" s="180"/>
      <c r="C1480" s="35"/>
      <c r="D1480" s="36"/>
      <c r="E1480" s="36"/>
      <c r="F1480" s="142"/>
      <c r="G1480" s="142"/>
      <c r="H1480" s="142"/>
      <c r="I1480" s="142"/>
      <c r="J1480" s="142"/>
    </row>
    <row r="1481" spans="1:10" x14ac:dyDescent="0.25">
      <c r="A1481" s="28"/>
      <c r="B1481" s="180"/>
      <c r="C1481" s="35"/>
      <c r="D1481" s="36"/>
      <c r="E1481" s="36"/>
      <c r="F1481" s="142"/>
      <c r="G1481" s="142"/>
      <c r="H1481" s="142"/>
      <c r="I1481" s="142"/>
      <c r="J1481" s="142"/>
    </row>
    <row r="1482" spans="1:10" x14ac:dyDescent="0.25">
      <c r="A1482" s="28"/>
      <c r="B1482" s="180"/>
      <c r="C1482" s="35"/>
      <c r="D1482" s="36"/>
      <c r="E1482" s="36"/>
      <c r="F1482" s="142"/>
      <c r="G1482" s="142"/>
      <c r="H1482" s="142"/>
      <c r="I1482" s="142"/>
      <c r="J1482" s="142"/>
    </row>
    <row r="1483" spans="1:10" x14ac:dyDescent="0.25">
      <c r="A1483" s="28"/>
      <c r="B1483" s="180"/>
      <c r="C1483" s="35"/>
      <c r="D1483" s="36"/>
      <c r="E1483" s="36"/>
      <c r="F1483" s="142"/>
      <c r="G1483" s="142"/>
      <c r="H1483" s="142"/>
      <c r="I1483" s="142"/>
      <c r="J1483" s="142"/>
    </row>
    <row r="1484" spans="1:10" x14ac:dyDescent="0.25">
      <c r="A1484" s="28"/>
      <c r="B1484" s="180"/>
      <c r="C1484" s="35"/>
      <c r="D1484" s="36"/>
      <c r="E1484" s="36"/>
      <c r="F1484" s="142"/>
      <c r="G1484" s="142"/>
      <c r="H1484" s="142"/>
      <c r="I1484" s="142"/>
      <c r="J1484" s="142"/>
    </row>
    <row r="1485" spans="1:10" x14ac:dyDescent="0.25">
      <c r="A1485" s="28"/>
      <c r="B1485" s="180"/>
      <c r="C1485" s="35"/>
      <c r="D1485" s="36"/>
      <c r="E1485" s="36"/>
      <c r="F1485" s="142"/>
      <c r="G1485" s="142"/>
      <c r="H1485" s="142"/>
      <c r="I1485" s="142"/>
      <c r="J1485" s="142"/>
    </row>
    <row r="1486" spans="1:10" x14ac:dyDescent="0.25">
      <c r="A1486" s="28"/>
      <c r="B1486" s="180"/>
      <c r="C1486" s="35"/>
      <c r="D1486" s="36"/>
      <c r="E1486" s="36"/>
      <c r="F1486" s="142"/>
      <c r="G1486" s="142"/>
      <c r="H1486" s="142"/>
      <c r="I1486" s="142"/>
      <c r="J1486" s="142"/>
    </row>
    <row r="1487" spans="1:10" x14ac:dyDescent="0.25">
      <c r="A1487" s="28"/>
      <c r="B1487" s="180"/>
      <c r="C1487" s="35"/>
      <c r="D1487" s="36"/>
      <c r="E1487" s="36"/>
      <c r="F1487" s="142"/>
      <c r="G1487" s="142"/>
      <c r="H1487" s="142"/>
      <c r="I1487" s="142"/>
      <c r="J1487" s="142"/>
    </row>
    <row r="1488" spans="1:10" x14ac:dyDescent="0.25">
      <c r="A1488" s="28"/>
      <c r="B1488" s="180"/>
      <c r="C1488" s="35"/>
      <c r="D1488" s="36"/>
      <c r="E1488" s="36"/>
      <c r="F1488" s="142"/>
      <c r="G1488" s="142"/>
      <c r="H1488" s="142"/>
      <c r="I1488" s="142"/>
      <c r="J1488" s="142"/>
    </row>
    <row r="1489" spans="1:10" x14ac:dyDescent="0.25">
      <c r="A1489" s="28"/>
      <c r="B1489" s="180"/>
      <c r="C1489" s="35"/>
      <c r="D1489" s="36"/>
      <c r="E1489" s="36"/>
      <c r="F1489" s="142"/>
      <c r="G1489" s="142"/>
      <c r="H1489" s="142"/>
      <c r="I1489" s="142"/>
      <c r="J1489" s="142"/>
    </row>
    <row r="1490" spans="1:10" x14ac:dyDescent="0.25">
      <c r="A1490" s="28"/>
      <c r="B1490" s="180"/>
      <c r="C1490" s="35"/>
      <c r="D1490" s="36"/>
      <c r="E1490" s="36"/>
      <c r="F1490" s="142"/>
      <c r="G1490" s="142"/>
      <c r="H1490" s="142"/>
      <c r="I1490" s="142"/>
      <c r="J1490" s="142"/>
    </row>
    <row r="1491" spans="1:10" x14ac:dyDescent="0.25">
      <c r="A1491" s="28"/>
      <c r="B1491" s="180"/>
      <c r="C1491" s="35"/>
      <c r="D1491" s="36"/>
      <c r="E1491" s="36"/>
      <c r="F1491" s="142"/>
      <c r="G1491" s="142"/>
      <c r="H1491" s="142"/>
      <c r="I1491" s="142"/>
      <c r="J1491" s="142"/>
    </row>
    <row r="1492" spans="1:10" x14ac:dyDescent="0.25">
      <c r="A1492" s="28"/>
      <c r="B1492" s="180"/>
      <c r="C1492" s="35"/>
      <c r="D1492" s="36"/>
      <c r="E1492" s="36"/>
      <c r="F1492" s="142"/>
      <c r="G1492" s="142"/>
      <c r="H1492" s="142"/>
      <c r="I1492" s="142"/>
      <c r="J1492" s="142"/>
    </row>
    <row r="1493" spans="1:10" x14ac:dyDescent="0.25">
      <c r="A1493" s="28"/>
      <c r="B1493" s="180"/>
      <c r="C1493" s="35"/>
      <c r="D1493" s="36"/>
      <c r="E1493" s="36"/>
      <c r="F1493" s="142"/>
      <c r="G1493" s="142"/>
      <c r="H1493" s="142"/>
      <c r="I1493" s="142"/>
      <c r="J1493" s="142"/>
    </row>
    <row r="1494" spans="1:10" x14ac:dyDescent="0.25">
      <c r="A1494" s="28"/>
      <c r="B1494" s="180"/>
      <c r="C1494" s="35"/>
      <c r="D1494" s="36"/>
      <c r="E1494" s="36"/>
      <c r="F1494" s="142"/>
      <c r="G1494" s="142"/>
      <c r="H1494" s="142"/>
      <c r="I1494" s="142"/>
      <c r="J1494" s="142"/>
    </row>
    <row r="1495" spans="1:10" x14ac:dyDescent="0.25">
      <c r="A1495" s="28"/>
      <c r="B1495" s="180"/>
      <c r="C1495" s="35"/>
      <c r="D1495" s="36"/>
      <c r="E1495" s="36"/>
      <c r="F1495" s="142"/>
      <c r="G1495" s="142"/>
      <c r="H1495" s="142"/>
      <c r="I1495" s="142"/>
      <c r="J1495" s="142"/>
    </row>
    <row r="1496" spans="1:10" x14ac:dyDescent="0.25">
      <c r="A1496" s="28"/>
      <c r="B1496" s="180"/>
      <c r="C1496" s="35"/>
      <c r="D1496" s="36"/>
      <c r="E1496" s="36"/>
      <c r="F1496" s="142"/>
      <c r="G1496" s="142"/>
      <c r="H1496" s="142"/>
      <c r="I1496" s="142"/>
      <c r="J1496" s="142"/>
    </row>
    <row r="1497" spans="1:10" x14ac:dyDescent="0.25">
      <c r="A1497" s="28"/>
      <c r="B1497" s="180"/>
      <c r="C1497" s="35"/>
      <c r="D1497" s="36"/>
      <c r="E1497" s="36"/>
      <c r="F1497" s="142"/>
      <c r="G1497" s="142"/>
      <c r="H1497" s="142"/>
      <c r="I1497" s="142"/>
      <c r="J1497" s="142"/>
    </row>
    <row r="1498" spans="1:10" x14ac:dyDescent="0.25">
      <c r="A1498" s="28"/>
      <c r="B1498" s="180"/>
      <c r="C1498" s="35"/>
      <c r="D1498" s="36"/>
      <c r="E1498" s="36"/>
      <c r="F1498" s="142"/>
      <c r="G1498" s="142"/>
      <c r="H1498" s="142"/>
      <c r="I1498" s="142"/>
      <c r="J1498" s="142"/>
    </row>
    <row r="1499" spans="1:10" x14ac:dyDescent="0.25">
      <c r="A1499" s="28"/>
      <c r="B1499" s="180"/>
      <c r="C1499" s="35"/>
      <c r="D1499" s="36"/>
      <c r="E1499" s="36"/>
      <c r="F1499" s="142"/>
      <c r="G1499" s="142"/>
      <c r="H1499" s="142"/>
      <c r="I1499" s="142"/>
      <c r="J1499" s="142"/>
    </row>
    <row r="1500" spans="1:10" x14ac:dyDescent="0.25">
      <c r="A1500" s="28"/>
      <c r="B1500" s="180"/>
      <c r="C1500" s="35"/>
      <c r="D1500" s="36"/>
      <c r="E1500" s="36"/>
      <c r="F1500" s="142"/>
      <c r="G1500" s="142"/>
      <c r="H1500" s="142"/>
      <c r="I1500" s="142"/>
      <c r="J1500" s="142"/>
    </row>
    <row r="1501" spans="1:10" x14ac:dyDescent="0.25">
      <c r="A1501" s="28"/>
      <c r="B1501" s="180"/>
      <c r="C1501" s="35"/>
      <c r="D1501" s="36"/>
      <c r="E1501" s="36"/>
      <c r="F1501" s="142"/>
      <c r="G1501" s="142"/>
      <c r="H1501" s="142"/>
      <c r="I1501" s="142"/>
      <c r="J1501" s="142"/>
    </row>
    <row r="1502" spans="1:10" x14ac:dyDescent="0.25">
      <c r="A1502" s="28"/>
      <c r="B1502" s="180"/>
      <c r="C1502" s="35"/>
      <c r="D1502" s="36"/>
      <c r="E1502" s="36"/>
      <c r="F1502" s="142"/>
      <c r="G1502" s="142"/>
      <c r="H1502" s="142"/>
      <c r="I1502" s="142"/>
      <c r="J1502" s="142"/>
    </row>
    <row r="1503" spans="1:10" x14ac:dyDescent="0.25">
      <c r="A1503" s="28"/>
      <c r="B1503" s="180"/>
      <c r="C1503" s="35"/>
      <c r="D1503" s="36"/>
      <c r="E1503" s="36"/>
      <c r="F1503" s="142"/>
      <c r="G1503" s="142"/>
      <c r="H1503" s="142"/>
      <c r="I1503" s="142"/>
      <c r="J1503" s="142"/>
    </row>
    <row r="1504" spans="1:10" x14ac:dyDescent="0.25">
      <c r="A1504" s="28"/>
      <c r="B1504" s="180"/>
      <c r="C1504" s="35"/>
      <c r="D1504" s="36"/>
      <c r="E1504" s="36"/>
      <c r="F1504" s="142"/>
      <c r="G1504" s="142"/>
      <c r="H1504" s="142"/>
      <c r="I1504" s="142"/>
      <c r="J1504" s="142"/>
    </row>
    <row r="1505" spans="1:10" x14ac:dyDescent="0.25">
      <c r="A1505" s="28"/>
      <c r="B1505" s="180"/>
      <c r="C1505" s="35"/>
      <c r="D1505" s="36"/>
      <c r="E1505" s="36"/>
      <c r="F1505" s="142"/>
      <c r="G1505" s="142"/>
      <c r="H1505" s="142"/>
      <c r="I1505" s="142"/>
      <c r="J1505" s="142"/>
    </row>
    <row r="1506" spans="1:10" x14ac:dyDescent="0.25">
      <c r="A1506" s="28"/>
      <c r="B1506" s="180"/>
      <c r="C1506" s="35"/>
      <c r="D1506" s="36"/>
      <c r="E1506" s="36"/>
      <c r="F1506" s="142"/>
      <c r="G1506" s="142"/>
      <c r="H1506" s="142"/>
      <c r="I1506" s="142"/>
      <c r="J1506" s="142"/>
    </row>
    <row r="1507" spans="1:10" x14ac:dyDescent="0.25">
      <c r="A1507" s="28"/>
      <c r="B1507" s="180"/>
      <c r="C1507" s="35"/>
      <c r="D1507" s="36"/>
      <c r="E1507" s="36"/>
      <c r="F1507" s="142"/>
      <c r="G1507" s="142"/>
      <c r="H1507" s="142"/>
      <c r="I1507" s="142"/>
      <c r="J1507" s="142"/>
    </row>
    <row r="1508" spans="1:10" x14ac:dyDescent="0.25">
      <c r="A1508" s="28"/>
      <c r="B1508" s="180"/>
      <c r="C1508" s="35"/>
      <c r="D1508" s="36"/>
      <c r="E1508" s="36"/>
      <c r="F1508" s="142"/>
      <c r="G1508" s="142"/>
      <c r="H1508" s="142"/>
      <c r="I1508" s="142"/>
      <c r="J1508" s="142"/>
    </row>
    <row r="1509" spans="1:10" x14ac:dyDescent="0.25">
      <c r="A1509" s="28"/>
      <c r="B1509" s="180"/>
      <c r="C1509" s="35"/>
      <c r="D1509" s="36"/>
      <c r="E1509" s="36"/>
      <c r="F1509" s="142"/>
      <c r="G1509" s="142"/>
      <c r="H1509" s="142"/>
      <c r="I1509" s="142"/>
      <c r="J1509" s="142"/>
    </row>
    <row r="1510" spans="1:10" x14ac:dyDescent="0.25">
      <c r="A1510" s="28"/>
      <c r="B1510" s="180"/>
      <c r="C1510" s="35"/>
      <c r="D1510" s="36"/>
      <c r="E1510" s="36"/>
      <c r="F1510" s="142"/>
      <c r="G1510" s="142"/>
      <c r="H1510" s="142"/>
      <c r="I1510" s="142"/>
      <c r="J1510" s="142"/>
    </row>
    <row r="1511" spans="1:10" x14ac:dyDescent="0.25">
      <c r="A1511" s="28"/>
      <c r="B1511" s="180"/>
      <c r="C1511" s="35"/>
      <c r="D1511" s="36"/>
      <c r="E1511" s="36"/>
      <c r="F1511" s="142"/>
      <c r="G1511" s="142"/>
      <c r="H1511" s="142"/>
      <c r="I1511" s="142"/>
      <c r="J1511" s="142"/>
    </row>
    <row r="1512" spans="1:10" x14ac:dyDescent="0.25">
      <c r="A1512" s="28"/>
      <c r="B1512" s="180"/>
      <c r="C1512" s="35"/>
      <c r="D1512" s="36"/>
      <c r="E1512" s="36"/>
      <c r="F1512" s="142"/>
      <c r="G1512" s="142"/>
      <c r="H1512" s="142"/>
      <c r="I1512" s="142"/>
      <c r="J1512" s="142"/>
    </row>
    <row r="1513" spans="1:10" x14ac:dyDescent="0.25">
      <c r="A1513" s="28"/>
      <c r="B1513" s="180"/>
      <c r="C1513" s="35"/>
      <c r="D1513" s="36"/>
      <c r="E1513" s="36"/>
      <c r="F1513" s="142"/>
      <c r="G1513" s="142"/>
      <c r="H1513" s="142"/>
      <c r="I1513" s="142"/>
      <c r="J1513" s="142"/>
    </row>
    <row r="1514" spans="1:10" x14ac:dyDescent="0.25">
      <c r="A1514" s="28"/>
      <c r="B1514" s="180"/>
      <c r="C1514" s="35"/>
      <c r="D1514" s="36"/>
      <c r="E1514" s="36"/>
      <c r="F1514" s="142"/>
      <c r="G1514" s="142"/>
      <c r="H1514" s="142"/>
      <c r="I1514" s="142"/>
      <c r="J1514" s="142"/>
    </row>
    <row r="1515" spans="1:10" x14ac:dyDescent="0.25">
      <c r="A1515" s="28"/>
      <c r="B1515" s="180"/>
      <c r="C1515" s="35"/>
      <c r="D1515" s="36"/>
      <c r="E1515" s="36"/>
      <c r="F1515" s="142"/>
      <c r="G1515" s="142"/>
      <c r="H1515" s="142"/>
      <c r="I1515" s="142"/>
      <c r="J1515" s="142"/>
    </row>
    <row r="1516" spans="1:10" x14ac:dyDescent="0.25">
      <c r="A1516" s="28"/>
      <c r="B1516" s="180"/>
      <c r="C1516" s="35"/>
      <c r="D1516" s="36"/>
      <c r="E1516" s="36"/>
      <c r="F1516" s="142"/>
      <c r="G1516" s="142"/>
      <c r="H1516" s="142"/>
      <c r="I1516" s="142"/>
      <c r="J1516" s="142"/>
    </row>
    <row r="1517" spans="1:10" x14ac:dyDescent="0.25">
      <c r="A1517" s="28"/>
      <c r="B1517" s="180"/>
      <c r="C1517" s="35"/>
      <c r="D1517" s="36"/>
      <c r="E1517" s="36"/>
      <c r="F1517" s="142"/>
      <c r="G1517" s="142"/>
      <c r="H1517" s="142"/>
      <c r="I1517" s="142"/>
      <c r="J1517" s="142"/>
    </row>
    <row r="1518" spans="1:10" x14ac:dyDescent="0.25">
      <c r="A1518" s="28"/>
      <c r="B1518" s="180"/>
      <c r="C1518" s="35"/>
      <c r="D1518" s="36"/>
      <c r="E1518" s="36"/>
      <c r="F1518" s="142"/>
      <c r="G1518" s="142"/>
      <c r="H1518" s="142"/>
      <c r="I1518" s="142"/>
      <c r="J1518" s="142"/>
    </row>
    <row r="1519" spans="1:10" x14ac:dyDescent="0.25">
      <c r="A1519" s="28"/>
      <c r="B1519" s="180"/>
      <c r="C1519" s="35"/>
      <c r="D1519" s="36"/>
      <c r="E1519" s="36"/>
      <c r="F1519" s="142"/>
      <c r="G1519" s="142"/>
      <c r="H1519" s="142"/>
      <c r="I1519" s="142"/>
      <c r="J1519" s="142"/>
    </row>
    <row r="1520" spans="1:10" x14ac:dyDescent="0.25">
      <c r="A1520" s="28"/>
      <c r="B1520" s="180"/>
      <c r="C1520" s="35"/>
      <c r="D1520" s="36"/>
      <c r="E1520" s="36"/>
      <c r="F1520" s="142"/>
      <c r="G1520" s="142"/>
      <c r="H1520" s="142"/>
      <c r="I1520" s="142"/>
      <c r="J1520" s="142"/>
    </row>
    <row r="1521" spans="1:10" x14ac:dyDescent="0.25">
      <c r="A1521" s="28"/>
      <c r="B1521" s="180"/>
      <c r="C1521" s="35"/>
      <c r="D1521" s="36"/>
      <c r="E1521" s="36"/>
      <c r="F1521" s="142"/>
      <c r="G1521" s="142"/>
      <c r="H1521" s="142"/>
      <c r="I1521" s="142"/>
      <c r="J1521" s="142"/>
    </row>
    <row r="1522" spans="1:10" x14ac:dyDescent="0.25">
      <c r="A1522" s="28"/>
      <c r="B1522" s="180"/>
      <c r="C1522" s="35"/>
      <c r="D1522" s="36"/>
      <c r="E1522" s="36"/>
      <c r="F1522" s="142"/>
      <c r="G1522" s="142"/>
      <c r="H1522" s="142"/>
      <c r="I1522" s="142"/>
      <c r="J1522" s="142"/>
    </row>
    <row r="1523" spans="1:10" x14ac:dyDescent="0.25">
      <c r="A1523" s="28"/>
      <c r="B1523" s="180"/>
      <c r="C1523" s="35"/>
      <c r="D1523" s="36"/>
      <c r="E1523" s="36"/>
      <c r="F1523" s="142"/>
      <c r="G1523" s="142"/>
      <c r="H1523" s="142"/>
      <c r="I1523" s="142"/>
      <c r="J1523" s="142"/>
    </row>
    <row r="1524" spans="1:10" x14ac:dyDescent="0.25">
      <c r="A1524" s="28"/>
      <c r="B1524" s="180"/>
      <c r="C1524" s="35"/>
      <c r="D1524" s="36"/>
      <c r="E1524" s="36"/>
      <c r="F1524" s="142"/>
      <c r="G1524" s="142"/>
      <c r="H1524" s="142"/>
      <c r="I1524" s="142"/>
      <c r="J1524" s="142"/>
    </row>
    <row r="1525" spans="1:10" x14ac:dyDescent="0.25">
      <c r="A1525" s="28"/>
      <c r="B1525" s="180"/>
      <c r="C1525" s="35"/>
      <c r="D1525" s="36"/>
      <c r="E1525" s="36"/>
      <c r="F1525" s="142"/>
      <c r="G1525" s="142"/>
      <c r="H1525" s="142"/>
      <c r="I1525" s="142"/>
      <c r="J1525" s="142"/>
    </row>
    <row r="1526" spans="1:10" x14ac:dyDescent="0.25">
      <c r="A1526" s="28"/>
      <c r="B1526" s="180"/>
      <c r="C1526" s="35"/>
      <c r="D1526" s="36"/>
      <c r="E1526" s="36"/>
      <c r="F1526" s="142"/>
      <c r="G1526" s="142"/>
      <c r="H1526" s="142"/>
      <c r="I1526" s="142"/>
      <c r="J1526" s="142"/>
    </row>
    <row r="1527" spans="1:10" x14ac:dyDescent="0.25">
      <c r="A1527" s="28"/>
      <c r="B1527" s="180"/>
      <c r="C1527" s="35"/>
      <c r="D1527" s="36"/>
      <c r="E1527" s="36"/>
      <c r="F1527" s="142"/>
      <c r="G1527" s="142"/>
      <c r="H1527" s="142"/>
      <c r="I1527" s="142"/>
      <c r="J1527" s="142"/>
    </row>
    <row r="1528" spans="1:10" x14ac:dyDescent="0.25">
      <c r="A1528" s="28"/>
      <c r="B1528" s="180"/>
      <c r="C1528" s="35"/>
      <c r="D1528" s="36"/>
      <c r="E1528" s="36"/>
      <c r="F1528" s="142"/>
      <c r="G1528" s="142"/>
      <c r="H1528" s="142"/>
      <c r="I1528" s="142"/>
      <c r="J1528" s="142"/>
    </row>
    <row r="1529" spans="1:10" x14ac:dyDescent="0.25">
      <c r="A1529" s="28"/>
      <c r="B1529" s="180"/>
      <c r="C1529" s="35"/>
      <c r="D1529" s="36"/>
      <c r="E1529" s="36"/>
      <c r="F1529" s="142"/>
      <c r="G1529" s="142"/>
      <c r="H1529" s="142"/>
      <c r="I1529" s="142"/>
      <c r="J1529" s="142"/>
    </row>
    <row r="1530" spans="1:10" x14ac:dyDescent="0.25">
      <c r="A1530" s="28"/>
      <c r="B1530" s="180"/>
      <c r="C1530" s="35"/>
      <c r="D1530" s="36"/>
      <c r="E1530" s="36"/>
      <c r="F1530" s="142"/>
      <c r="G1530" s="142"/>
      <c r="H1530" s="142"/>
      <c r="I1530" s="142"/>
      <c r="J1530" s="142"/>
    </row>
    <row r="1531" spans="1:10" x14ac:dyDescent="0.25">
      <c r="A1531" s="28"/>
      <c r="B1531" s="180"/>
      <c r="C1531" s="35"/>
      <c r="D1531" s="36"/>
      <c r="E1531" s="36"/>
      <c r="F1531" s="142"/>
      <c r="G1531" s="142"/>
      <c r="H1531" s="142"/>
      <c r="I1531" s="142"/>
      <c r="J1531" s="142"/>
    </row>
    <row r="1532" spans="1:10" x14ac:dyDescent="0.25">
      <c r="A1532" s="28"/>
      <c r="B1532" s="180"/>
      <c r="C1532" s="35"/>
      <c r="D1532" s="36"/>
      <c r="E1532" s="36"/>
      <c r="F1532" s="142"/>
      <c r="G1532" s="142"/>
      <c r="H1532" s="142"/>
      <c r="I1532" s="142"/>
      <c r="J1532" s="142"/>
    </row>
    <row r="1533" spans="1:10" x14ac:dyDescent="0.25">
      <c r="A1533" s="28"/>
      <c r="B1533" s="180"/>
      <c r="C1533" s="35"/>
      <c r="D1533" s="36"/>
      <c r="E1533" s="36"/>
      <c r="F1533" s="142"/>
      <c r="G1533" s="142"/>
      <c r="H1533" s="142"/>
      <c r="I1533" s="142"/>
      <c r="J1533" s="142"/>
    </row>
    <row r="1534" spans="1:10" x14ac:dyDescent="0.25">
      <c r="A1534" s="28"/>
      <c r="B1534" s="180"/>
      <c r="C1534" s="35"/>
      <c r="D1534" s="36"/>
      <c r="E1534" s="36"/>
      <c r="F1534" s="142"/>
      <c r="G1534" s="142"/>
      <c r="H1534" s="142"/>
      <c r="I1534" s="142"/>
      <c r="J1534" s="142"/>
    </row>
    <row r="1535" spans="1:10" x14ac:dyDescent="0.25">
      <c r="A1535" s="28"/>
      <c r="B1535" s="180"/>
      <c r="C1535" s="35"/>
      <c r="D1535" s="36"/>
      <c r="E1535" s="36"/>
      <c r="F1535" s="142"/>
      <c r="G1535" s="142"/>
      <c r="H1535" s="142"/>
      <c r="I1535" s="142"/>
      <c r="J1535" s="142"/>
    </row>
    <row r="1536" spans="1:10" x14ac:dyDescent="0.25">
      <c r="A1536" s="28"/>
      <c r="B1536" s="180"/>
      <c r="C1536" s="35"/>
      <c r="D1536" s="36"/>
      <c r="E1536" s="36"/>
      <c r="F1536" s="142"/>
      <c r="G1536" s="142"/>
      <c r="H1536" s="142"/>
      <c r="I1536" s="142"/>
      <c r="J1536" s="142"/>
    </row>
    <row r="1537" spans="1:10" x14ac:dyDescent="0.25">
      <c r="A1537" s="28"/>
      <c r="B1537" s="180"/>
      <c r="C1537" s="35"/>
      <c r="D1537" s="36"/>
      <c r="E1537" s="36"/>
      <c r="F1537" s="142"/>
      <c r="G1537" s="142"/>
      <c r="H1537" s="142"/>
      <c r="I1537" s="142"/>
      <c r="J1537" s="142"/>
    </row>
    <row r="1538" spans="1:10" x14ac:dyDescent="0.25">
      <c r="A1538" s="28"/>
      <c r="B1538" s="180"/>
      <c r="C1538" s="35"/>
      <c r="D1538" s="36"/>
      <c r="E1538" s="36"/>
      <c r="F1538" s="142"/>
      <c r="G1538" s="142"/>
      <c r="H1538" s="142"/>
      <c r="I1538" s="142"/>
      <c r="J1538" s="142"/>
    </row>
    <row r="1539" spans="1:10" x14ac:dyDescent="0.25">
      <c r="A1539" s="28"/>
      <c r="B1539" s="180"/>
      <c r="C1539" s="35"/>
      <c r="D1539" s="36"/>
      <c r="E1539" s="36"/>
      <c r="F1539" s="142"/>
      <c r="G1539" s="142"/>
      <c r="H1539" s="142"/>
      <c r="I1539" s="142"/>
      <c r="J1539" s="142"/>
    </row>
    <row r="1540" spans="1:10" x14ac:dyDescent="0.25">
      <c r="A1540" s="28"/>
      <c r="B1540" s="180"/>
      <c r="C1540" s="35"/>
      <c r="D1540" s="36"/>
      <c r="E1540" s="36"/>
      <c r="F1540" s="142"/>
      <c r="G1540" s="142"/>
      <c r="H1540" s="142"/>
      <c r="I1540" s="142"/>
      <c r="J1540" s="142"/>
    </row>
    <row r="1541" spans="1:10" x14ac:dyDescent="0.25">
      <c r="A1541" s="28"/>
      <c r="B1541" s="180"/>
      <c r="C1541" s="35"/>
      <c r="D1541" s="36"/>
      <c r="E1541" s="36"/>
      <c r="F1541" s="142"/>
      <c r="G1541" s="142"/>
      <c r="H1541" s="142"/>
      <c r="I1541" s="142"/>
      <c r="J1541" s="142"/>
    </row>
    <row r="1542" spans="1:10" x14ac:dyDescent="0.25">
      <c r="A1542" s="28"/>
      <c r="B1542" s="180"/>
      <c r="C1542" s="35"/>
      <c r="D1542" s="36"/>
      <c r="E1542" s="36"/>
      <c r="F1542" s="142"/>
      <c r="G1542" s="142"/>
      <c r="H1542" s="142"/>
      <c r="I1542" s="142"/>
      <c r="J1542" s="142"/>
    </row>
    <row r="1543" spans="1:10" x14ac:dyDescent="0.25">
      <c r="A1543" s="28"/>
      <c r="B1543" s="180"/>
      <c r="C1543" s="35"/>
      <c r="D1543" s="36"/>
      <c r="E1543" s="36"/>
      <c r="F1543" s="142"/>
      <c r="G1543" s="142"/>
      <c r="H1543" s="142"/>
      <c r="I1543" s="142"/>
      <c r="J1543" s="142"/>
    </row>
    <row r="1544" spans="1:10" x14ac:dyDescent="0.25">
      <c r="A1544" s="28"/>
      <c r="B1544" s="180"/>
      <c r="C1544" s="35"/>
      <c r="D1544" s="36"/>
      <c r="E1544" s="36"/>
      <c r="F1544" s="142"/>
      <c r="G1544" s="142"/>
      <c r="H1544" s="142"/>
      <c r="I1544" s="142"/>
      <c r="J1544" s="142"/>
    </row>
    <row r="1545" spans="1:10" x14ac:dyDescent="0.25">
      <c r="A1545" s="28"/>
      <c r="B1545" s="180"/>
      <c r="C1545" s="35"/>
      <c r="D1545" s="36"/>
      <c r="E1545" s="36"/>
      <c r="F1545" s="142"/>
      <c r="G1545" s="142"/>
      <c r="H1545" s="142"/>
      <c r="I1545" s="142"/>
      <c r="J1545" s="142"/>
    </row>
    <row r="1546" spans="1:10" x14ac:dyDescent="0.25">
      <c r="A1546" s="28"/>
      <c r="B1546" s="180"/>
      <c r="C1546" s="35"/>
      <c r="D1546" s="36"/>
      <c r="E1546" s="36"/>
      <c r="F1546" s="142"/>
      <c r="G1546" s="142"/>
      <c r="H1546" s="142"/>
      <c r="I1546" s="142"/>
      <c r="J1546" s="142"/>
    </row>
    <row r="1547" spans="1:10" x14ac:dyDescent="0.25">
      <c r="A1547" s="28"/>
      <c r="B1547" s="180"/>
      <c r="C1547" s="35"/>
      <c r="D1547" s="36"/>
      <c r="E1547" s="36"/>
      <c r="F1547" s="142"/>
      <c r="G1547" s="142"/>
      <c r="H1547" s="142"/>
      <c r="I1547" s="142"/>
      <c r="J1547" s="142"/>
    </row>
    <row r="1548" spans="1:10" x14ac:dyDescent="0.25">
      <c r="A1548" s="28"/>
      <c r="B1548" s="180"/>
      <c r="C1548" s="35"/>
      <c r="D1548" s="36"/>
      <c r="E1548" s="36"/>
      <c r="F1548" s="142"/>
      <c r="G1548" s="142"/>
      <c r="H1548" s="142"/>
      <c r="I1548" s="142"/>
      <c r="J1548" s="142"/>
    </row>
    <row r="1549" spans="1:10" x14ac:dyDescent="0.25">
      <c r="A1549" s="28"/>
      <c r="B1549" s="180"/>
      <c r="C1549" s="35"/>
      <c r="D1549" s="36"/>
      <c r="E1549" s="36"/>
      <c r="F1549" s="142"/>
      <c r="G1549" s="142"/>
      <c r="H1549" s="142"/>
      <c r="I1549" s="142"/>
      <c r="J1549" s="142"/>
    </row>
    <row r="1550" spans="1:10" x14ac:dyDescent="0.25">
      <c r="A1550" s="28"/>
      <c r="B1550" s="180"/>
      <c r="C1550" s="35"/>
      <c r="D1550" s="36"/>
      <c r="E1550" s="36"/>
      <c r="F1550" s="142"/>
      <c r="G1550" s="142"/>
      <c r="H1550" s="142"/>
      <c r="I1550" s="142"/>
      <c r="J1550" s="142"/>
    </row>
    <row r="1551" spans="1:10" x14ac:dyDescent="0.25">
      <c r="A1551" s="28"/>
      <c r="B1551" s="180"/>
      <c r="C1551" s="35"/>
      <c r="D1551" s="36"/>
      <c r="E1551" s="36"/>
      <c r="F1551" s="142"/>
      <c r="G1551" s="142"/>
      <c r="H1551" s="142"/>
      <c r="I1551" s="142"/>
      <c r="J1551" s="142"/>
    </row>
    <row r="1552" spans="1:10" x14ac:dyDescent="0.25">
      <c r="A1552" s="28"/>
      <c r="B1552" s="180"/>
      <c r="C1552" s="35"/>
      <c r="D1552" s="36"/>
      <c r="E1552" s="36"/>
      <c r="F1552" s="142"/>
      <c r="G1552" s="142"/>
      <c r="H1552" s="142"/>
      <c r="I1552" s="142"/>
      <c r="J1552" s="142"/>
    </row>
    <row r="1553" spans="1:10" x14ac:dyDescent="0.25">
      <c r="A1553" s="28"/>
      <c r="B1553" s="180"/>
      <c r="C1553" s="35"/>
      <c r="D1553" s="36"/>
      <c r="E1553" s="36"/>
      <c r="F1553" s="142"/>
      <c r="G1553" s="142"/>
      <c r="H1553" s="142"/>
      <c r="I1553" s="142"/>
      <c r="J1553" s="142"/>
    </row>
    <row r="1554" spans="1:10" x14ac:dyDescent="0.25">
      <c r="A1554" s="28"/>
      <c r="B1554" s="180"/>
      <c r="C1554" s="35"/>
      <c r="D1554" s="36"/>
      <c r="E1554" s="36"/>
      <c r="F1554" s="142"/>
      <c r="G1554" s="142"/>
      <c r="H1554" s="142"/>
      <c r="I1554" s="142"/>
      <c r="J1554" s="142"/>
    </row>
    <row r="1555" spans="1:10" x14ac:dyDescent="0.25">
      <c r="A1555" s="28"/>
      <c r="B1555" s="180"/>
      <c r="C1555" s="35"/>
      <c r="D1555" s="36"/>
      <c r="E1555" s="36"/>
      <c r="F1555" s="142"/>
      <c r="G1555" s="142"/>
      <c r="H1555" s="142"/>
      <c r="I1555" s="142"/>
      <c r="J1555" s="142"/>
    </row>
    <row r="1556" spans="1:10" x14ac:dyDescent="0.25">
      <c r="A1556" s="28"/>
      <c r="B1556" s="180"/>
      <c r="C1556" s="35"/>
      <c r="D1556" s="36"/>
      <c r="E1556" s="36"/>
      <c r="F1556" s="142"/>
      <c r="G1556" s="142"/>
      <c r="H1556" s="142"/>
      <c r="I1556" s="142"/>
      <c r="J1556" s="142"/>
    </row>
    <row r="1557" spans="1:10" x14ac:dyDescent="0.25">
      <c r="A1557" s="28"/>
      <c r="B1557" s="180"/>
      <c r="C1557" s="35"/>
      <c r="D1557" s="36"/>
      <c r="E1557" s="36"/>
      <c r="F1557" s="142"/>
      <c r="G1557" s="142"/>
      <c r="H1557" s="142"/>
      <c r="I1557" s="142"/>
      <c r="J1557" s="142"/>
    </row>
    <row r="1558" spans="1:10" x14ac:dyDescent="0.25">
      <c r="A1558" s="28"/>
      <c r="B1558" s="180"/>
      <c r="C1558" s="35"/>
      <c r="D1558" s="36"/>
      <c r="E1558" s="36"/>
      <c r="F1558" s="142"/>
      <c r="G1558" s="142"/>
      <c r="H1558" s="142"/>
      <c r="I1558" s="142"/>
      <c r="J1558" s="142"/>
    </row>
    <row r="1559" spans="1:10" x14ac:dyDescent="0.25">
      <c r="A1559" s="28"/>
      <c r="B1559" s="180"/>
      <c r="C1559" s="35"/>
      <c r="D1559" s="36"/>
      <c r="E1559" s="36"/>
      <c r="F1559" s="142"/>
      <c r="G1559" s="142"/>
      <c r="H1559" s="142"/>
      <c r="I1559" s="142"/>
      <c r="J1559" s="142"/>
    </row>
    <row r="1560" spans="1:10" x14ac:dyDescent="0.25">
      <c r="A1560" s="28"/>
      <c r="B1560" s="180"/>
      <c r="C1560" s="35"/>
      <c r="D1560" s="36"/>
      <c r="E1560" s="36"/>
      <c r="F1560" s="142"/>
      <c r="G1560" s="142"/>
      <c r="H1560" s="142"/>
      <c r="I1560" s="142"/>
      <c r="J1560" s="142"/>
    </row>
    <row r="1561" spans="1:10" x14ac:dyDescent="0.25">
      <c r="A1561" s="28"/>
      <c r="B1561" s="180"/>
      <c r="C1561" s="35"/>
      <c r="D1561" s="36"/>
      <c r="E1561" s="36"/>
      <c r="F1561" s="142"/>
      <c r="G1561" s="142"/>
      <c r="H1561" s="142"/>
      <c r="I1561" s="142"/>
      <c r="J1561" s="142"/>
    </row>
    <row r="1562" spans="1:10" x14ac:dyDescent="0.25">
      <c r="A1562" s="28"/>
      <c r="B1562" s="180"/>
      <c r="C1562" s="35"/>
      <c r="D1562" s="36"/>
      <c r="E1562" s="36"/>
      <c r="F1562" s="142"/>
      <c r="G1562" s="142"/>
      <c r="H1562" s="142"/>
      <c r="I1562" s="142"/>
      <c r="J1562" s="142"/>
    </row>
    <row r="1563" spans="1:10" x14ac:dyDescent="0.25">
      <c r="A1563" s="28"/>
      <c r="B1563" s="180"/>
      <c r="C1563" s="35"/>
      <c r="D1563" s="36"/>
      <c r="E1563" s="36"/>
      <c r="F1563" s="142"/>
      <c r="G1563" s="142"/>
      <c r="H1563" s="142"/>
      <c r="I1563" s="142"/>
      <c r="J1563" s="142"/>
    </row>
    <row r="1564" spans="1:10" x14ac:dyDescent="0.25">
      <c r="A1564" s="28"/>
      <c r="B1564" s="180"/>
      <c r="C1564" s="35"/>
      <c r="D1564" s="36"/>
      <c r="E1564" s="36"/>
      <c r="F1564" s="142"/>
      <c r="G1564" s="142"/>
      <c r="H1564" s="142"/>
      <c r="I1564" s="142"/>
      <c r="J1564" s="142"/>
    </row>
    <row r="1565" spans="1:10" x14ac:dyDescent="0.25">
      <c r="A1565" s="28"/>
      <c r="B1565" s="180"/>
      <c r="C1565" s="35"/>
      <c r="D1565" s="36"/>
      <c r="E1565" s="36"/>
      <c r="F1565" s="142"/>
      <c r="G1565" s="142"/>
      <c r="H1565" s="142"/>
      <c r="I1565" s="142"/>
      <c r="J1565" s="142"/>
    </row>
    <row r="1566" spans="1:10" x14ac:dyDescent="0.25">
      <c r="A1566" s="28"/>
      <c r="B1566" s="180"/>
      <c r="C1566" s="35"/>
      <c r="D1566" s="36"/>
      <c r="E1566" s="36"/>
      <c r="F1566" s="142"/>
      <c r="G1566" s="142"/>
      <c r="H1566" s="142"/>
      <c r="I1566" s="142"/>
      <c r="J1566" s="142"/>
    </row>
    <row r="1567" spans="1:10" x14ac:dyDescent="0.25">
      <c r="A1567" s="28"/>
      <c r="B1567" s="180"/>
      <c r="C1567" s="35"/>
      <c r="D1567" s="36"/>
      <c r="E1567" s="36"/>
      <c r="F1567" s="142"/>
      <c r="G1567" s="142"/>
      <c r="H1567" s="142"/>
      <c r="I1567" s="142"/>
      <c r="J1567" s="142"/>
    </row>
    <row r="1568" spans="1:10" x14ac:dyDescent="0.25">
      <c r="A1568" s="28"/>
      <c r="B1568" s="180"/>
      <c r="C1568" s="35"/>
      <c r="D1568" s="36"/>
      <c r="E1568" s="36"/>
      <c r="F1568" s="142"/>
      <c r="G1568" s="142"/>
      <c r="H1568" s="142"/>
      <c r="I1568" s="142"/>
      <c r="J1568" s="142"/>
    </row>
    <row r="1569" spans="1:10" x14ac:dyDescent="0.25">
      <c r="A1569" s="28"/>
      <c r="B1569" s="180"/>
      <c r="C1569" s="35"/>
      <c r="D1569" s="36"/>
      <c r="E1569" s="36"/>
      <c r="F1569" s="142"/>
      <c r="G1569" s="142"/>
      <c r="H1569" s="142"/>
      <c r="I1569" s="142"/>
      <c r="J1569" s="142"/>
    </row>
    <row r="1570" spans="1:10" x14ac:dyDescent="0.25">
      <c r="A1570" s="28"/>
      <c r="B1570" s="180"/>
      <c r="C1570" s="35"/>
      <c r="D1570" s="36"/>
      <c r="E1570" s="36"/>
      <c r="F1570" s="142"/>
      <c r="G1570" s="142"/>
      <c r="H1570" s="142"/>
      <c r="I1570" s="142"/>
      <c r="J1570" s="142"/>
    </row>
    <row r="1571" spans="1:10" x14ac:dyDescent="0.25">
      <c r="A1571" s="28"/>
      <c r="B1571" s="180"/>
      <c r="C1571" s="35"/>
      <c r="D1571" s="36"/>
      <c r="E1571" s="36"/>
      <c r="F1571" s="142"/>
      <c r="G1571" s="142"/>
      <c r="H1571" s="142"/>
      <c r="I1571" s="142"/>
      <c r="J1571" s="142"/>
    </row>
    <row r="1572" spans="1:10" x14ac:dyDescent="0.25">
      <c r="A1572" s="28"/>
      <c r="B1572" s="180"/>
      <c r="C1572" s="35"/>
      <c r="D1572" s="36"/>
      <c r="E1572" s="36"/>
      <c r="F1572" s="142"/>
      <c r="G1572" s="142"/>
      <c r="H1572" s="142"/>
      <c r="I1572" s="142"/>
      <c r="J1572" s="142"/>
    </row>
    <row r="1573" spans="1:10" x14ac:dyDescent="0.25">
      <c r="A1573" s="28"/>
      <c r="B1573" s="180"/>
      <c r="C1573" s="35"/>
      <c r="D1573" s="36"/>
      <c r="E1573" s="36"/>
      <c r="F1573" s="142"/>
      <c r="G1573" s="142"/>
      <c r="H1573" s="142"/>
      <c r="I1573" s="142"/>
      <c r="J1573" s="142"/>
    </row>
    <row r="1574" spans="1:10" x14ac:dyDescent="0.25">
      <c r="A1574" s="28"/>
      <c r="B1574" s="180"/>
      <c r="C1574" s="35"/>
      <c r="D1574" s="36"/>
      <c r="E1574" s="36"/>
      <c r="F1574" s="142"/>
      <c r="G1574" s="142"/>
      <c r="H1574" s="142"/>
      <c r="I1574" s="142"/>
      <c r="J1574" s="142"/>
    </row>
    <row r="1575" spans="1:10" x14ac:dyDescent="0.25">
      <c r="A1575" s="28"/>
      <c r="B1575" s="180"/>
      <c r="C1575" s="35"/>
      <c r="D1575" s="36"/>
      <c r="E1575" s="36"/>
      <c r="F1575" s="142"/>
      <c r="G1575" s="142"/>
      <c r="H1575" s="142"/>
      <c r="I1575" s="142"/>
      <c r="J1575" s="142"/>
    </row>
    <row r="1576" spans="1:10" x14ac:dyDescent="0.25">
      <c r="A1576" s="28"/>
      <c r="B1576" s="180"/>
      <c r="C1576" s="35"/>
      <c r="D1576" s="36"/>
      <c r="E1576" s="36"/>
      <c r="F1576" s="142"/>
      <c r="G1576" s="142"/>
      <c r="H1576" s="142"/>
      <c r="I1576" s="142"/>
      <c r="J1576" s="142"/>
    </row>
    <row r="1577" spans="1:10" x14ac:dyDescent="0.25">
      <c r="A1577" s="28"/>
      <c r="B1577" s="180"/>
      <c r="C1577" s="35"/>
      <c r="D1577" s="36"/>
      <c r="E1577" s="36"/>
      <c r="F1577" s="142"/>
      <c r="G1577" s="142"/>
      <c r="H1577" s="142"/>
      <c r="I1577" s="142"/>
      <c r="J1577" s="142"/>
    </row>
    <row r="1578" spans="1:10" x14ac:dyDescent="0.25">
      <c r="A1578" s="28"/>
      <c r="B1578" s="180"/>
      <c r="C1578" s="35"/>
      <c r="D1578" s="36"/>
      <c r="E1578" s="36"/>
      <c r="F1578" s="142"/>
      <c r="G1578" s="142"/>
      <c r="H1578" s="142"/>
      <c r="I1578" s="142"/>
      <c r="J1578" s="142"/>
    </row>
    <row r="1579" spans="1:10" x14ac:dyDescent="0.25">
      <c r="A1579" s="28"/>
      <c r="B1579" s="180"/>
      <c r="C1579" s="35"/>
      <c r="D1579" s="36"/>
      <c r="E1579" s="36"/>
      <c r="F1579" s="142"/>
      <c r="G1579" s="142"/>
      <c r="H1579" s="142"/>
      <c r="I1579" s="142"/>
      <c r="J1579" s="142"/>
    </row>
    <row r="1580" spans="1:10" x14ac:dyDescent="0.25">
      <c r="A1580" s="28"/>
      <c r="B1580" s="180"/>
      <c r="C1580" s="35"/>
      <c r="D1580" s="36"/>
      <c r="E1580" s="36"/>
      <c r="F1580" s="142"/>
      <c r="G1580" s="142"/>
      <c r="H1580" s="142"/>
      <c r="I1580" s="142"/>
      <c r="J1580" s="142"/>
    </row>
    <row r="1581" spans="1:10" x14ac:dyDescent="0.25">
      <c r="A1581" s="28"/>
      <c r="B1581" s="180"/>
      <c r="C1581" s="35"/>
      <c r="D1581" s="36"/>
      <c r="E1581" s="36"/>
      <c r="F1581" s="142"/>
      <c r="G1581" s="142"/>
      <c r="H1581" s="142"/>
      <c r="I1581" s="142"/>
      <c r="J1581" s="142"/>
    </row>
    <row r="1582" spans="1:10" x14ac:dyDescent="0.25">
      <c r="A1582" s="28"/>
      <c r="B1582" s="180"/>
      <c r="C1582" s="35"/>
      <c r="D1582" s="36"/>
      <c r="E1582" s="36"/>
      <c r="F1582" s="142"/>
      <c r="G1582" s="142"/>
      <c r="H1582" s="142"/>
      <c r="I1582" s="142"/>
      <c r="J1582" s="142"/>
    </row>
    <row r="1583" spans="1:10" x14ac:dyDescent="0.25">
      <c r="A1583" s="28"/>
      <c r="B1583" s="180"/>
      <c r="C1583" s="35"/>
      <c r="D1583" s="36"/>
      <c r="E1583" s="36"/>
      <c r="F1583" s="142"/>
      <c r="G1583" s="142"/>
      <c r="H1583" s="142"/>
      <c r="I1583" s="142"/>
      <c r="J1583" s="142"/>
    </row>
    <row r="1584" spans="1:10" x14ac:dyDescent="0.25">
      <c r="A1584" s="28"/>
      <c r="B1584" s="180"/>
      <c r="C1584" s="35"/>
      <c r="D1584" s="36"/>
      <c r="E1584" s="36"/>
      <c r="F1584" s="142"/>
      <c r="G1584" s="142"/>
      <c r="H1584" s="142"/>
      <c r="I1584" s="142"/>
      <c r="J1584" s="142"/>
    </row>
    <row r="1585" spans="1:10" x14ac:dyDescent="0.25">
      <c r="A1585" s="28"/>
      <c r="B1585" s="180"/>
      <c r="C1585" s="35"/>
      <c r="D1585" s="36"/>
      <c r="E1585" s="36"/>
      <c r="F1585" s="142"/>
      <c r="G1585" s="142"/>
      <c r="H1585" s="142"/>
      <c r="I1585" s="142"/>
      <c r="J1585" s="142"/>
    </row>
    <row r="1586" spans="1:10" x14ac:dyDescent="0.25">
      <c r="A1586" s="28"/>
      <c r="B1586" s="180"/>
      <c r="C1586" s="35"/>
      <c r="D1586" s="36"/>
      <c r="E1586" s="36"/>
      <c r="F1586" s="142"/>
      <c r="G1586" s="142"/>
      <c r="H1586" s="142"/>
      <c r="I1586" s="142"/>
      <c r="J1586" s="142"/>
    </row>
    <row r="1587" spans="1:10" x14ac:dyDescent="0.25">
      <c r="A1587" s="28"/>
      <c r="B1587" s="180"/>
      <c r="C1587" s="35"/>
      <c r="D1587" s="36"/>
      <c r="E1587" s="36"/>
      <c r="F1587" s="142"/>
      <c r="G1587" s="142"/>
      <c r="H1587" s="142"/>
      <c r="I1587" s="142"/>
      <c r="J1587" s="142"/>
    </row>
    <row r="1588" spans="1:10" x14ac:dyDescent="0.25">
      <c r="A1588" s="28"/>
      <c r="B1588" s="180"/>
      <c r="C1588" s="35"/>
      <c r="D1588" s="36"/>
      <c r="E1588" s="36"/>
      <c r="F1588" s="142"/>
      <c r="G1588" s="142"/>
      <c r="H1588" s="142"/>
      <c r="I1588" s="142"/>
      <c r="J1588" s="142"/>
    </row>
    <row r="1589" spans="1:10" x14ac:dyDescent="0.25">
      <c r="A1589" s="28"/>
      <c r="B1589" s="180"/>
      <c r="C1589" s="35"/>
      <c r="D1589" s="36"/>
      <c r="E1589" s="36"/>
      <c r="F1589" s="142"/>
      <c r="G1589" s="142"/>
      <c r="H1589" s="142"/>
      <c r="I1589" s="142"/>
      <c r="J1589" s="142"/>
    </row>
    <row r="1590" spans="1:10" x14ac:dyDescent="0.25">
      <c r="A1590" s="28"/>
      <c r="B1590" s="180"/>
      <c r="C1590" s="35"/>
      <c r="D1590" s="36"/>
      <c r="E1590" s="36"/>
      <c r="F1590" s="142"/>
      <c r="G1590" s="142"/>
      <c r="H1590" s="142"/>
      <c r="I1590" s="142"/>
      <c r="J1590" s="142"/>
    </row>
    <row r="1591" spans="1:10" x14ac:dyDescent="0.25">
      <c r="A1591" s="28"/>
      <c r="B1591" s="180"/>
      <c r="C1591" s="35"/>
      <c r="D1591" s="36"/>
      <c r="E1591" s="36"/>
      <c r="F1591" s="142"/>
      <c r="G1591" s="142"/>
      <c r="H1591" s="142"/>
      <c r="I1591" s="142"/>
      <c r="J1591" s="142"/>
    </row>
    <row r="1592" spans="1:10" x14ac:dyDescent="0.25">
      <c r="A1592" s="28"/>
      <c r="B1592" s="180"/>
      <c r="C1592" s="35"/>
      <c r="D1592" s="36"/>
      <c r="E1592" s="36"/>
      <c r="F1592" s="142"/>
      <c r="G1592" s="142"/>
      <c r="H1592" s="142"/>
      <c r="I1592" s="142"/>
      <c r="J1592" s="142"/>
    </row>
    <row r="1593" spans="1:10" x14ac:dyDescent="0.25">
      <c r="A1593" s="28"/>
      <c r="B1593" s="180"/>
      <c r="C1593" s="35"/>
      <c r="D1593" s="36"/>
      <c r="E1593" s="36"/>
      <c r="F1593" s="142"/>
      <c r="G1593" s="142"/>
      <c r="H1593" s="142"/>
      <c r="I1593" s="142"/>
      <c r="J1593" s="142"/>
    </row>
    <row r="1594" spans="1:10" x14ac:dyDescent="0.25">
      <c r="A1594" s="28"/>
      <c r="B1594" s="180"/>
      <c r="C1594" s="35"/>
      <c r="D1594" s="36"/>
      <c r="E1594" s="36"/>
      <c r="F1594" s="142"/>
      <c r="G1594" s="142"/>
      <c r="H1594" s="142"/>
      <c r="I1594" s="142"/>
      <c r="J1594" s="142"/>
    </row>
    <row r="1595" spans="1:10" x14ac:dyDescent="0.25">
      <c r="A1595" s="28"/>
      <c r="B1595" s="180"/>
      <c r="C1595" s="35"/>
      <c r="D1595" s="36"/>
      <c r="E1595" s="36"/>
      <c r="F1595" s="142"/>
      <c r="G1595" s="142"/>
      <c r="H1595" s="142"/>
      <c r="I1595" s="142"/>
      <c r="J1595" s="142"/>
    </row>
    <row r="1596" spans="1:10" x14ac:dyDescent="0.25">
      <c r="A1596" s="28"/>
      <c r="B1596" s="180"/>
      <c r="C1596" s="35"/>
      <c r="D1596" s="36"/>
      <c r="E1596" s="36"/>
      <c r="F1596" s="142"/>
      <c r="G1596" s="142"/>
      <c r="H1596" s="142"/>
      <c r="I1596" s="142"/>
      <c r="J1596" s="142"/>
    </row>
    <row r="1597" spans="1:10" x14ac:dyDescent="0.25">
      <c r="A1597" s="28"/>
      <c r="B1597" s="180"/>
      <c r="C1597" s="35"/>
      <c r="D1597" s="36"/>
      <c r="E1597" s="36"/>
      <c r="F1597" s="142"/>
      <c r="G1597" s="142"/>
      <c r="H1597" s="142"/>
      <c r="I1597" s="142"/>
      <c r="J1597" s="142"/>
    </row>
    <row r="1598" spans="1:10" x14ac:dyDescent="0.25">
      <c r="A1598" s="28"/>
      <c r="B1598" s="180"/>
      <c r="C1598" s="35"/>
      <c r="D1598" s="36"/>
      <c r="E1598" s="36"/>
      <c r="F1598" s="142"/>
      <c r="G1598" s="142"/>
      <c r="H1598" s="142"/>
      <c r="I1598" s="142"/>
      <c r="J1598" s="142"/>
    </row>
    <row r="1599" spans="1:10" x14ac:dyDescent="0.25">
      <c r="A1599" s="28"/>
      <c r="B1599" s="180"/>
      <c r="C1599" s="35"/>
      <c r="D1599" s="36"/>
      <c r="E1599" s="36"/>
      <c r="F1599" s="142"/>
      <c r="G1599" s="142"/>
      <c r="H1599" s="142"/>
      <c r="I1599" s="142"/>
      <c r="J1599" s="142"/>
    </row>
    <row r="1600" spans="1:10" x14ac:dyDescent="0.25">
      <c r="A1600" s="28"/>
      <c r="B1600" s="180"/>
      <c r="C1600" s="35"/>
      <c r="D1600" s="36"/>
      <c r="E1600" s="36"/>
      <c r="F1600" s="142"/>
      <c r="G1600" s="142"/>
      <c r="H1600" s="142"/>
      <c r="I1600" s="142"/>
      <c r="J1600" s="142"/>
    </row>
    <row r="1601" spans="1:10" x14ac:dyDescent="0.25">
      <c r="A1601" s="28"/>
      <c r="B1601" s="180"/>
      <c r="C1601" s="35"/>
      <c r="D1601" s="36"/>
      <c r="E1601" s="36"/>
      <c r="F1601" s="142"/>
      <c r="G1601" s="142"/>
      <c r="H1601" s="142"/>
      <c r="I1601" s="142"/>
      <c r="J1601" s="142"/>
    </row>
    <row r="1602" spans="1:10" x14ac:dyDescent="0.25">
      <c r="A1602" s="28"/>
      <c r="B1602" s="180"/>
      <c r="C1602" s="35"/>
      <c r="D1602" s="36"/>
      <c r="E1602" s="36"/>
      <c r="F1602" s="142"/>
      <c r="G1602" s="142"/>
      <c r="H1602" s="142"/>
      <c r="I1602" s="142"/>
      <c r="J1602" s="142"/>
    </row>
    <row r="1603" spans="1:10" x14ac:dyDescent="0.25">
      <c r="A1603" s="28"/>
      <c r="B1603" s="180"/>
      <c r="C1603" s="35"/>
      <c r="D1603" s="36"/>
      <c r="E1603" s="36"/>
      <c r="F1603" s="142"/>
      <c r="G1603" s="142"/>
      <c r="H1603" s="142"/>
      <c r="I1603" s="142"/>
      <c r="J1603" s="142"/>
    </row>
    <row r="1604" spans="1:10" x14ac:dyDescent="0.25">
      <c r="A1604" s="28"/>
      <c r="B1604" s="180"/>
      <c r="C1604" s="35"/>
      <c r="D1604" s="36"/>
      <c r="E1604" s="36"/>
      <c r="F1604" s="142"/>
      <c r="G1604" s="142"/>
      <c r="H1604" s="142"/>
      <c r="I1604" s="142"/>
      <c r="J1604" s="142"/>
    </row>
    <row r="1605" spans="1:10" x14ac:dyDescent="0.25">
      <c r="A1605" s="28"/>
      <c r="B1605" s="180"/>
      <c r="C1605" s="35"/>
      <c r="D1605" s="36"/>
      <c r="E1605" s="36"/>
      <c r="F1605" s="142"/>
      <c r="G1605" s="142"/>
      <c r="H1605" s="142"/>
      <c r="I1605" s="142"/>
      <c r="J1605" s="142"/>
    </row>
    <row r="1606" spans="1:10" x14ac:dyDescent="0.25">
      <c r="A1606" s="28"/>
      <c r="B1606" s="180"/>
      <c r="C1606" s="35"/>
      <c r="D1606" s="36"/>
      <c r="E1606" s="36"/>
      <c r="F1606" s="142"/>
      <c r="G1606" s="142"/>
      <c r="H1606" s="142"/>
      <c r="I1606" s="142"/>
      <c r="J1606" s="142"/>
    </row>
    <row r="1607" spans="1:10" x14ac:dyDescent="0.25">
      <c r="A1607" s="28"/>
      <c r="B1607" s="180"/>
      <c r="C1607" s="35"/>
      <c r="D1607" s="36"/>
      <c r="E1607" s="36"/>
      <c r="F1607" s="142"/>
      <c r="G1607" s="142"/>
      <c r="H1607" s="142"/>
      <c r="I1607" s="142"/>
      <c r="J1607" s="142"/>
    </row>
    <row r="1608" spans="1:10" x14ac:dyDescent="0.25">
      <c r="A1608" s="28"/>
      <c r="B1608" s="180"/>
      <c r="C1608" s="35"/>
      <c r="D1608" s="36"/>
      <c r="E1608" s="36"/>
      <c r="F1608" s="142"/>
      <c r="G1608" s="142"/>
      <c r="H1608" s="142"/>
      <c r="I1608" s="142"/>
      <c r="J1608" s="142"/>
    </row>
    <row r="1609" spans="1:10" x14ac:dyDescent="0.25">
      <c r="A1609" s="28"/>
      <c r="B1609" s="180"/>
      <c r="C1609" s="35"/>
      <c r="D1609" s="36"/>
      <c r="E1609" s="36"/>
      <c r="F1609" s="142"/>
      <c r="G1609" s="142"/>
      <c r="H1609" s="142"/>
      <c r="I1609" s="142"/>
      <c r="J1609" s="142"/>
    </row>
    <row r="1610" spans="1:10" x14ac:dyDescent="0.25">
      <c r="A1610" s="28"/>
      <c r="B1610" s="180"/>
      <c r="C1610" s="35"/>
      <c r="D1610" s="36"/>
      <c r="E1610" s="36"/>
      <c r="F1610" s="142"/>
      <c r="G1610" s="142"/>
      <c r="H1610" s="142"/>
      <c r="I1610" s="142"/>
      <c r="J1610" s="142"/>
    </row>
    <row r="1611" spans="1:10" x14ac:dyDescent="0.25">
      <c r="A1611" s="28"/>
      <c r="B1611" s="180"/>
      <c r="C1611" s="35"/>
      <c r="D1611" s="36"/>
      <c r="E1611" s="36"/>
      <c r="F1611" s="142"/>
      <c r="G1611" s="142"/>
      <c r="H1611" s="142"/>
      <c r="I1611" s="142"/>
      <c r="J1611" s="142"/>
    </row>
    <row r="1612" spans="1:10" x14ac:dyDescent="0.25">
      <c r="A1612" s="28"/>
      <c r="B1612" s="180"/>
      <c r="C1612" s="35"/>
      <c r="D1612" s="36"/>
      <c r="E1612" s="36"/>
      <c r="F1612" s="142"/>
      <c r="G1612" s="142"/>
      <c r="H1612" s="142"/>
      <c r="I1612" s="142"/>
      <c r="J1612" s="142"/>
    </row>
    <row r="1613" spans="1:10" x14ac:dyDescent="0.25">
      <c r="A1613" s="28"/>
      <c r="B1613" s="180"/>
      <c r="C1613" s="35"/>
      <c r="D1613" s="36"/>
      <c r="E1613" s="36"/>
      <c r="F1613" s="142"/>
      <c r="G1613" s="142"/>
      <c r="H1613" s="142"/>
      <c r="I1613" s="142"/>
      <c r="J1613" s="142"/>
    </row>
    <row r="1614" spans="1:10" x14ac:dyDescent="0.25">
      <c r="A1614" s="28"/>
      <c r="B1614" s="180"/>
      <c r="C1614" s="35"/>
      <c r="D1614" s="36"/>
      <c r="E1614" s="36"/>
      <c r="F1614" s="142"/>
      <c r="G1614" s="142"/>
      <c r="H1614" s="142"/>
      <c r="I1614" s="142"/>
      <c r="J1614" s="142"/>
    </row>
    <row r="1615" spans="1:10" x14ac:dyDescent="0.25">
      <c r="A1615" s="28"/>
      <c r="B1615" s="180"/>
      <c r="C1615" s="35"/>
      <c r="D1615" s="36"/>
      <c r="E1615" s="36"/>
      <c r="F1615" s="142"/>
      <c r="G1615" s="142"/>
      <c r="H1615" s="142"/>
      <c r="I1615" s="142"/>
      <c r="J1615" s="142"/>
    </row>
    <row r="1616" spans="1:10" x14ac:dyDescent="0.25">
      <c r="A1616" s="28"/>
      <c r="B1616" s="180"/>
      <c r="C1616" s="35"/>
      <c r="D1616" s="36"/>
      <c r="E1616" s="36"/>
      <c r="F1616" s="142"/>
      <c r="G1616" s="142"/>
      <c r="H1616" s="142"/>
      <c r="I1616" s="142"/>
      <c r="J1616" s="142"/>
    </row>
    <row r="1617" spans="1:10" x14ac:dyDescent="0.25">
      <c r="A1617" s="28"/>
      <c r="B1617" s="180"/>
      <c r="C1617" s="35"/>
      <c r="D1617" s="36"/>
      <c r="E1617" s="36"/>
      <c r="F1617" s="142"/>
      <c r="G1617" s="142"/>
      <c r="H1617" s="142"/>
      <c r="I1617" s="142"/>
      <c r="J1617" s="142"/>
    </row>
    <row r="1618" spans="1:10" x14ac:dyDescent="0.25">
      <c r="A1618" s="28"/>
      <c r="B1618" s="180"/>
      <c r="C1618" s="35"/>
      <c r="D1618" s="36"/>
      <c r="E1618" s="36"/>
      <c r="F1618" s="142"/>
      <c r="G1618" s="142"/>
      <c r="H1618" s="142"/>
      <c r="I1618" s="142"/>
      <c r="J1618" s="142"/>
    </row>
    <row r="1619" spans="1:10" x14ac:dyDescent="0.25">
      <c r="A1619" s="28"/>
      <c r="B1619" s="180"/>
      <c r="C1619" s="35"/>
      <c r="D1619" s="36"/>
      <c r="E1619" s="36"/>
      <c r="F1619" s="142"/>
      <c r="G1619" s="142"/>
      <c r="H1619" s="142"/>
      <c r="I1619" s="142"/>
      <c r="J1619" s="142"/>
    </row>
    <row r="1620" spans="1:10" x14ac:dyDescent="0.25">
      <c r="A1620" s="28"/>
      <c r="B1620" s="180"/>
      <c r="C1620" s="35"/>
      <c r="D1620" s="36"/>
      <c r="E1620" s="36"/>
      <c r="F1620" s="142"/>
      <c r="G1620" s="142"/>
      <c r="H1620" s="142"/>
      <c r="I1620" s="142"/>
      <c r="J1620" s="142"/>
    </row>
    <row r="1621" spans="1:10" x14ac:dyDescent="0.25">
      <c r="A1621" s="28"/>
      <c r="B1621" s="180"/>
      <c r="C1621" s="35"/>
      <c r="D1621" s="36"/>
      <c r="E1621" s="36"/>
      <c r="F1621" s="142"/>
      <c r="G1621" s="142"/>
      <c r="H1621" s="142"/>
      <c r="I1621" s="142"/>
      <c r="J1621" s="142"/>
    </row>
    <row r="1622" spans="1:10" x14ac:dyDescent="0.25">
      <c r="A1622" s="28"/>
      <c r="B1622" s="180"/>
      <c r="C1622" s="35"/>
      <c r="D1622" s="36"/>
      <c r="E1622" s="36"/>
      <c r="F1622" s="142"/>
      <c r="G1622" s="142"/>
      <c r="H1622" s="142"/>
      <c r="I1622" s="142"/>
      <c r="J1622" s="142"/>
    </row>
    <row r="1623" spans="1:10" x14ac:dyDescent="0.25">
      <c r="A1623" s="28"/>
      <c r="B1623" s="180"/>
      <c r="C1623" s="35"/>
      <c r="D1623" s="36"/>
      <c r="E1623" s="36"/>
      <c r="F1623" s="142"/>
      <c r="G1623" s="142"/>
      <c r="H1623" s="142"/>
      <c r="I1623" s="142"/>
      <c r="J1623" s="142"/>
    </row>
    <row r="1624" spans="1:10" x14ac:dyDescent="0.25">
      <c r="A1624" s="28"/>
      <c r="B1624" s="180"/>
      <c r="C1624" s="35"/>
      <c r="D1624" s="36"/>
      <c r="E1624" s="36"/>
      <c r="F1624" s="142"/>
      <c r="G1624" s="142"/>
      <c r="H1624" s="142"/>
      <c r="I1624" s="142"/>
      <c r="J1624" s="142"/>
    </row>
    <row r="1625" spans="1:10" x14ac:dyDescent="0.25">
      <c r="A1625" s="28"/>
      <c r="B1625" s="180"/>
      <c r="C1625" s="35"/>
      <c r="D1625" s="36"/>
      <c r="E1625" s="36"/>
      <c r="F1625" s="142"/>
      <c r="G1625" s="142"/>
      <c r="H1625" s="142"/>
      <c r="I1625" s="142"/>
      <c r="J1625" s="142"/>
    </row>
    <row r="1626" spans="1:10" x14ac:dyDescent="0.25">
      <c r="A1626" s="28"/>
      <c r="B1626" s="180"/>
      <c r="C1626" s="35"/>
      <c r="D1626" s="36"/>
      <c r="E1626" s="36"/>
      <c r="F1626" s="142"/>
      <c r="G1626" s="142"/>
      <c r="H1626" s="142"/>
      <c r="I1626" s="142"/>
      <c r="J1626" s="142"/>
    </row>
    <row r="1627" spans="1:10" x14ac:dyDescent="0.25">
      <c r="A1627" s="28"/>
      <c r="B1627" s="180"/>
      <c r="C1627" s="35"/>
      <c r="D1627" s="36"/>
      <c r="E1627" s="36"/>
      <c r="F1627" s="142"/>
      <c r="G1627" s="142"/>
      <c r="H1627" s="142"/>
      <c r="I1627" s="142"/>
      <c r="J1627" s="142"/>
    </row>
    <row r="1628" spans="1:10" x14ac:dyDescent="0.25">
      <c r="A1628" s="28"/>
      <c r="B1628" s="180"/>
      <c r="C1628" s="35"/>
      <c r="D1628" s="36"/>
      <c r="E1628" s="36"/>
      <c r="F1628" s="142"/>
      <c r="G1628" s="142"/>
      <c r="H1628" s="142"/>
      <c r="I1628" s="142"/>
      <c r="J1628" s="142"/>
    </row>
    <row r="1629" spans="1:10" x14ac:dyDescent="0.25">
      <c r="A1629" s="28"/>
      <c r="B1629" s="180"/>
      <c r="C1629" s="35"/>
      <c r="D1629" s="36"/>
      <c r="E1629" s="36"/>
      <c r="F1629" s="142"/>
      <c r="G1629" s="142"/>
      <c r="H1629" s="142"/>
      <c r="I1629" s="142"/>
      <c r="J1629" s="142"/>
    </row>
    <row r="1630" spans="1:10" x14ac:dyDescent="0.25">
      <c r="A1630" s="28"/>
      <c r="B1630" s="180"/>
      <c r="C1630" s="35"/>
      <c r="D1630" s="36"/>
      <c r="E1630" s="36"/>
      <c r="F1630" s="142"/>
      <c r="G1630" s="142"/>
      <c r="H1630" s="142"/>
      <c r="I1630" s="142"/>
      <c r="J1630" s="142"/>
    </row>
    <row r="1631" spans="1:10" x14ac:dyDescent="0.25">
      <c r="A1631" s="28"/>
      <c r="B1631" s="180"/>
      <c r="C1631" s="35"/>
      <c r="D1631" s="36"/>
      <c r="E1631" s="36"/>
      <c r="F1631" s="142"/>
      <c r="G1631" s="142"/>
      <c r="H1631" s="142"/>
      <c r="I1631" s="142"/>
      <c r="J1631" s="142"/>
    </row>
    <row r="1632" spans="1:10" x14ac:dyDescent="0.25">
      <c r="A1632" s="28"/>
      <c r="B1632" s="180"/>
      <c r="C1632" s="35"/>
      <c r="D1632" s="36"/>
      <c r="E1632" s="36"/>
      <c r="F1632" s="142"/>
      <c r="G1632" s="142"/>
      <c r="H1632" s="142"/>
      <c r="I1632" s="142"/>
      <c r="J1632" s="142"/>
    </row>
    <row r="1633" spans="1:10" x14ac:dyDescent="0.25">
      <c r="A1633" s="28"/>
      <c r="B1633" s="180"/>
      <c r="C1633" s="35"/>
      <c r="D1633" s="36"/>
      <c r="E1633" s="36"/>
      <c r="F1633" s="142"/>
      <c r="G1633" s="142"/>
      <c r="H1633" s="142"/>
      <c r="I1633" s="142"/>
      <c r="J1633" s="142"/>
    </row>
    <row r="1634" spans="1:10" x14ac:dyDescent="0.25">
      <c r="A1634" s="28"/>
      <c r="B1634" s="180"/>
      <c r="C1634" s="35"/>
      <c r="D1634" s="36"/>
      <c r="E1634" s="36"/>
      <c r="F1634" s="142"/>
      <c r="G1634" s="142"/>
      <c r="H1634" s="142"/>
      <c r="I1634" s="142"/>
      <c r="J1634" s="142"/>
    </row>
    <row r="1635" spans="1:10" x14ac:dyDescent="0.25">
      <c r="A1635" s="28"/>
      <c r="B1635" s="180"/>
      <c r="C1635" s="35"/>
      <c r="D1635" s="36"/>
      <c r="E1635" s="36"/>
      <c r="F1635" s="142"/>
      <c r="G1635" s="142"/>
      <c r="H1635" s="142"/>
      <c r="I1635" s="142"/>
      <c r="J1635" s="142"/>
    </row>
    <row r="1636" spans="1:10" x14ac:dyDescent="0.25">
      <c r="A1636" s="28"/>
      <c r="B1636" s="180"/>
      <c r="C1636" s="35"/>
      <c r="D1636" s="36"/>
      <c r="E1636" s="36"/>
      <c r="F1636" s="142"/>
      <c r="G1636" s="142"/>
      <c r="H1636" s="142"/>
      <c r="I1636" s="142"/>
      <c r="J1636" s="142"/>
    </row>
    <row r="1637" spans="1:10" x14ac:dyDescent="0.25">
      <c r="A1637" s="28"/>
      <c r="B1637" s="180"/>
      <c r="C1637" s="35"/>
      <c r="D1637" s="36"/>
      <c r="E1637" s="36"/>
      <c r="F1637" s="142"/>
      <c r="G1637" s="142"/>
      <c r="H1637" s="142"/>
      <c r="I1637" s="142"/>
      <c r="J1637" s="142"/>
    </row>
    <row r="1638" spans="1:10" x14ac:dyDescent="0.25">
      <c r="A1638" s="28"/>
      <c r="B1638" s="180"/>
      <c r="C1638" s="35"/>
      <c r="D1638" s="36"/>
      <c r="E1638" s="36"/>
      <c r="F1638" s="142"/>
      <c r="G1638" s="142"/>
      <c r="H1638" s="142"/>
      <c r="I1638" s="142"/>
      <c r="J1638" s="142"/>
    </row>
    <row r="1639" spans="1:10" x14ac:dyDescent="0.25">
      <c r="A1639" s="28"/>
      <c r="B1639" s="180"/>
      <c r="C1639" s="35"/>
      <c r="D1639" s="36"/>
      <c r="E1639" s="36"/>
      <c r="F1639" s="142"/>
      <c r="G1639" s="142"/>
      <c r="H1639" s="142"/>
      <c r="I1639" s="142"/>
      <c r="J1639" s="142"/>
    </row>
    <row r="1640" spans="1:10" x14ac:dyDescent="0.25">
      <c r="A1640" s="28"/>
      <c r="B1640" s="180"/>
      <c r="C1640" s="35"/>
      <c r="D1640" s="36"/>
      <c r="E1640" s="36"/>
      <c r="F1640" s="142"/>
      <c r="G1640" s="142"/>
      <c r="H1640" s="142"/>
      <c r="I1640" s="142"/>
      <c r="J1640" s="142"/>
    </row>
    <row r="1641" spans="1:10" x14ac:dyDescent="0.25">
      <c r="A1641" s="28"/>
      <c r="B1641" s="180"/>
      <c r="C1641" s="35"/>
      <c r="D1641" s="36"/>
      <c r="E1641" s="36"/>
      <c r="F1641" s="142"/>
      <c r="G1641" s="142"/>
      <c r="H1641" s="142"/>
      <c r="I1641" s="142"/>
      <c r="J1641" s="142"/>
    </row>
    <row r="1642" spans="1:10" x14ac:dyDescent="0.25">
      <c r="A1642" s="28"/>
      <c r="B1642" s="180"/>
      <c r="C1642" s="35"/>
      <c r="D1642" s="36"/>
      <c r="E1642" s="36"/>
      <c r="F1642" s="142"/>
      <c r="G1642" s="142"/>
      <c r="H1642" s="142"/>
      <c r="I1642" s="142"/>
      <c r="J1642" s="142"/>
    </row>
    <row r="1643" spans="1:10" x14ac:dyDescent="0.25">
      <c r="A1643" s="28"/>
      <c r="B1643" s="180"/>
      <c r="C1643" s="35"/>
      <c r="D1643" s="36"/>
      <c r="E1643" s="36"/>
      <c r="F1643" s="142"/>
      <c r="G1643" s="142"/>
      <c r="H1643" s="142"/>
      <c r="I1643" s="142"/>
      <c r="J1643" s="142"/>
    </row>
    <row r="1644" spans="1:10" x14ac:dyDescent="0.25">
      <c r="A1644" s="28"/>
      <c r="B1644" s="180"/>
      <c r="C1644" s="35"/>
      <c r="D1644" s="36"/>
      <c r="E1644" s="36"/>
      <c r="F1644" s="142"/>
      <c r="G1644" s="142"/>
      <c r="H1644" s="142"/>
      <c r="I1644" s="142"/>
      <c r="J1644" s="142"/>
    </row>
    <row r="1645" spans="1:10" x14ac:dyDescent="0.25">
      <c r="A1645" s="28"/>
      <c r="B1645" s="180"/>
      <c r="C1645" s="35"/>
      <c r="D1645" s="36"/>
      <c r="E1645" s="36"/>
      <c r="F1645" s="142"/>
      <c r="G1645" s="142"/>
      <c r="H1645" s="142"/>
      <c r="I1645" s="142"/>
      <c r="J1645" s="142"/>
    </row>
    <row r="1646" spans="1:10" x14ac:dyDescent="0.25">
      <c r="A1646" s="28"/>
      <c r="B1646" s="180"/>
      <c r="C1646" s="35"/>
      <c r="D1646" s="36"/>
      <c r="E1646" s="36"/>
      <c r="F1646" s="142"/>
      <c r="G1646" s="142"/>
      <c r="H1646" s="142"/>
      <c r="I1646" s="142"/>
      <c r="J1646" s="142"/>
    </row>
    <row r="1647" spans="1:10" x14ac:dyDescent="0.25">
      <c r="A1647" s="28"/>
      <c r="B1647" s="180"/>
      <c r="C1647" s="35"/>
      <c r="D1647" s="36"/>
      <c r="E1647" s="36"/>
      <c r="F1647" s="142"/>
      <c r="G1647" s="142"/>
      <c r="H1647" s="142"/>
      <c r="I1647" s="142"/>
      <c r="J1647" s="142"/>
    </row>
    <row r="1648" spans="1:10" x14ac:dyDescent="0.25">
      <c r="A1648" s="28"/>
      <c r="B1648" s="180"/>
      <c r="C1648" s="35"/>
      <c r="D1648" s="36"/>
      <c r="E1648" s="36"/>
      <c r="F1648" s="142"/>
      <c r="G1648" s="142"/>
      <c r="H1648" s="142"/>
      <c r="I1648" s="142"/>
      <c r="J1648" s="142"/>
    </row>
    <row r="1649" spans="1:10" x14ac:dyDescent="0.25">
      <c r="A1649" s="28"/>
      <c r="B1649" s="180"/>
      <c r="C1649" s="35"/>
      <c r="D1649" s="36"/>
      <c r="E1649" s="36"/>
      <c r="F1649" s="142"/>
      <c r="G1649" s="142"/>
      <c r="H1649" s="142"/>
      <c r="I1649" s="142"/>
      <c r="J1649" s="142"/>
    </row>
    <row r="1650" spans="1:10" x14ac:dyDescent="0.25">
      <c r="A1650" s="28"/>
      <c r="B1650" s="180"/>
      <c r="C1650" s="35"/>
      <c r="D1650" s="36"/>
      <c r="E1650" s="36"/>
      <c r="F1650" s="142"/>
      <c r="G1650" s="142"/>
      <c r="H1650" s="142"/>
      <c r="I1650" s="142"/>
      <c r="J1650" s="142"/>
    </row>
    <row r="1651" spans="1:10" x14ac:dyDescent="0.25">
      <c r="A1651" s="28"/>
      <c r="B1651" s="180"/>
      <c r="C1651" s="35"/>
      <c r="D1651" s="36"/>
      <c r="E1651" s="36"/>
      <c r="F1651" s="142"/>
      <c r="G1651" s="142"/>
      <c r="H1651" s="142"/>
      <c r="I1651" s="142"/>
      <c r="J1651" s="142"/>
    </row>
    <row r="1652" spans="1:10" x14ac:dyDescent="0.25">
      <c r="A1652" s="28"/>
      <c r="B1652" s="180"/>
      <c r="C1652" s="35"/>
      <c r="D1652" s="36"/>
      <c r="E1652" s="36"/>
      <c r="F1652" s="142"/>
      <c r="G1652" s="142"/>
      <c r="H1652" s="142"/>
      <c r="I1652" s="142"/>
      <c r="J1652" s="142"/>
    </row>
    <row r="1653" spans="1:10" x14ac:dyDescent="0.25">
      <c r="A1653" s="28"/>
      <c r="B1653" s="180"/>
      <c r="C1653" s="35"/>
      <c r="D1653" s="36"/>
      <c r="E1653" s="36"/>
      <c r="F1653" s="142"/>
      <c r="G1653" s="142"/>
      <c r="H1653" s="142"/>
      <c r="I1653" s="142"/>
      <c r="J1653" s="142"/>
    </row>
    <row r="1654" spans="1:10" x14ac:dyDescent="0.25">
      <c r="A1654" s="28"/>
      <c r="B1654" s="180"/>
      <c r="C1654" s="35"/>
      <c r="D1654" s="36"/>
      <c r="E1654" s="36"/>
      <c r="F1654" s="142"/>
      <c r="G1654" s="142"/>
      <c r="H1654" s="142"/>
      <c r="I1654" s="142"/>
      <c r="J1654" s="142"/>
    </row>
    <row r="1655" spans="1:10" x14ac:dyDescent="0.25">
      <c r="A1655" s="28"/>
      <c r="B1655" s="180"/>
      <c r="C1655" s="35"/>
      <c r="D1655" s="36"/>
      <c r="E1655" s="36"/>
      <c r="F1655" s="142"/>
      <c r="G1655" s="142"/>
      <c r="H1655" s="142"/>
      <c r="I1655" s="142"/>
      <c r="J1655" s="142"/>
    </row>
    <row r="1656" spans="1:10" x14ac:dyDescent="0.25">
      <c r="A1656" s="28"/>
      <c r="B1656" s="180"/>
      <c r="C1656" s="35"/>
      <c r="D1656" s="36"/>
      <c r="E1656" s="36"/>
      <c r="F1656" s="142"/>
      <c r="G1656" s="142"/>
      <c r="H1656" s="142"/>
      <c r="I1656" s="142"/>
      <c r="J1656" s="142"/>
    </row>
    <row r="1657" spans="1:10" x14ac:dyDescent="0.25">
      <c r="A1657" s="28"/>
      <c r="B1657" s="180"/>
      <c r="C1657" s="35"/>
      <c r="D1657" s="36"/>
      <c r="E1657" s="36"/>
      <c r="F1657" s="142"/>
      <c r="G1657" s="142"/>
      <c r="H1657" s="142"/>
      <c r="I1657" s="142"/>
      <c r="J1657" s="142"/>
    </row>
    <row r="1658" spans="1:10" x14ac:dyDescent="0.25">
      <c r="A1658" s="28"/>
      <c r="B1658" s="180"/>
      <c r="C1658" s="35"/>
      <c r="D1658" s="36"/>
      <c r="E1658" s="36"/>
      <c r="F1658" s="142"/>
      <c r="G1658" s="142"/>
      <c r="H1658" s="142"/>
      <c r="I1658" s="142"/>
      <c r="J1658" s="142"/>
    </row>
    <row r="1659" spans="1:10" x14ac:dyDescent="0.25">
      <c r="A1659" s="28"/>
      <c r="B1659" s="180"/>
      <c r="C1659" s="35"/>
      <c r="D1659" s="36"/>
      <c r="E1659" s="36"/>
      <c r="F1659" s="142"/>
      <c r="G1659" s="142"/>
      <c r="H1659" s="142"/>
      <c r="I1659" s="142"/>
      <c r="J1659" s="142"/>
    </row>
    <row r="1660" spans="1:10" x14ac:dyDescent="0.25">
      <c r="A1660" s="28"/>
      <c r="B1660" s="180"/>
      <c r="C1660" s="35"/>
      <c r="D1660" s="36"/>
      <c r="E1660" s="36"/>
      <c r="F1660" s="142"/>
      <c r="G1660" s="142"/>
      <c r="H1660" s="142"/>
      <c r="I1660" s="142"/>
      <c r="J1660" s="142"/>
    </row>
    <row r="1661" spans="1:10" x14ac:dyDescent="0.25">
      <c r="A1661" s="28"/>
      <c r="B1661" s="180"/>
      <c r="C1661" s="35"/>
      <c r="D1661" s="36"/>
      <c r="E1661" s="36"/>
      <c r="F1661" s="142"/>
      <c r="G1661" s="142"/>
      <c r="H1661" s="142"/>
      <c r="I1661" s="142"/>
      <c r="J1661" s="142"/>
    </row>
    <row r="1662" spans="1:10" x14ac:dyDescent="0.25">
      <c r="A1662" s="28"/>
      <c r="B1662" s="180"/>
      <c r="C1662" s="35"/>
      <c r="D1662" s="36"/>
      <c r="E1662" s="36"/>
      <c r="F1662" s="142"/>
      <c r="G1662" s="142"/>
      <c r="H1662" s="142"/>
      <c r="I1662" s="142"/>
      <c r="J1662" s="142"/>
    </row>
    <row r="1663" spans="1:10" x14ac:dyDescent="0.25">
      <c r="A1663" s="28"/>
      <c r="B1663" s="180"/>
      <c r="C1663" s="35"/>
      <c r="D1663" s="36"/>
      <c r="E1663" s="36"/>
      <c r="F1663" s="142"/>
      <c r="G1663" s="142"/>
      <c r="H1663" s="142"/>
      <c r="I1663" s="142"/>
      <c r="J1663" s="142"/>
    </row>
    <row r="1664" spans="1:10" x14ac:dyDescent="0.25">
      <c r="A1664" s="28"/>
      <c r="B1664" s="180"/>
      <c r="C1664" s="35"/>
      <c r="D1664" s="36"/>
      <c r="E1664" s="36"/>
      <c r="F1664" s="142"/>
      <c r="G1664" s="142"/>
      <c r="H1664" s="142"/>
      <c r="I1664" s="142"/>
      <c r="J1664" s="142"/>
    </row>
    <row r="1665" spans="1:10" x14ac:dyDescent="0.25">
      <c r="A1665" s="28"/>
      <c r="B1665" s="180"/>
      <c r="C1665" s="35"/>
      <c r="D1665" s="36"/>
      <c r="E1665" s="36"/>
      <c r="F1665" s="142"/>
      <c r="G1665" s="142"/>
      <c r="H1665" s="142"/>
      <c r="I1665" s="142"/>
      <c r="J1665" s="142"/>
    </row>
    <row r="1666" spans="1:10" x14ac:dyDescent="0.25">
      <c r="A1666" s="28"/>
      <c r="B1666" s="180"/>
      <c r="C1666" s="35"/>
      <c r="D1666" s="36"/>
      <c r="E1666" s="36"/>
      <c r="F1666" s="142"/>
      <c r="G1666" s="142"/>
      <c r="H1666" s="142"/>
      <c r="I1666" s="142"/>
      <c r="J1666" s="142"/>
    </row>
    <row r="1667" spans="1:10" x14ac:dyDescent="0.25">
      <c r="A1667" s="28"/>
      <c r="B1667" s="180"/>
      <c r="C1667" s="35"/>
      <c r="D1667" s="36"/>
      <c r="E1667" s="36"/>
      <c r="F1667" s="142"/>
      <c r="G1667" s="142"/>
      <c r="H1667" s="142"/>
      <c r="I1667" s="142"/>
      <c r="J1667" s="142"/>
    </row>
    <row r="1668" spans="1:10" x14ac:dyDescent="0.25">
      <c r="A1668" s="28"/>
      <c r="B1668" s="180"/>
      <c r="C1668" s="35"/>
      <c r="D1668" s="36"/>
      <c r="E1668" s="36"/>
      <c r="F1668" s="142"/>
      <c r="G1668" s="142"/>
      <c r="H1668" s="142"/>
      <c r="I1668" s="142"/>
      <c r="J1668" s="142"/>
    </row>
    <row r="1669" spans="1:10" x14ac:dyDescent="0.25">
      <c r="A1669" s="28"/>
      <c r="B1669" s="180"/>
      <c r="C1669" s="35"/>
      <c r="D1669" s="36"/>
      <c r="E1669" s="36"/>
      <c r="F1669" s="142"/>
      <c r="G1669" s="142"/>
      <c r="H1669" s="142"/>
      <c r="I1669" s="142"/>
      <c r="J1669" s="142"/>
    </row>
    <row r="1670" spans="1:10" x14ac:dyDescent="0.25">
      <c r="A1670" s="28"/>
      <c r="B1670" s="180"/>
      <c r="C1670" s="35"/>
      <c r="D1670" s="36"/>
      <c r="E1670" s="36"/>
      <c r="F1670" s="142"/>
      <c r="G1670" s="142"/>
      <c r="H1670" s="142"/>
      <c r="I1670" s="142"/>
      <c r="J1670" s="142"/>
    </row>
    <row r="1671" spans="1:10" x14ac:dyDescent="0.25">
      <c r="A1671" s="28"/>
      <c r="B1671" s="180"/>
      <c r="C1671" s="35"/>
      <c r="D1671" s="36"/>
      <c r="E1671" s="36"/>
      <c r="F1671" s="142"/>
      <c r="G1671" s="142"/>
      <c r="H1671" s="142"/>
      <c r="I1671" s="142"/>
      <c r="J1671" s="142"/>
    </row>
    <row r="1672" spans="1:10" x14ac:dyDescent="0.25">
      <c r="A1672" s="28"/>
      <c r="B1672" s="180"/>
      <c r="C1672" s="35"/>
      <c r="D1672" s="36"/>
      <c r="E1672" s="36"/>
      <c r="F1672" s="142"/>
      <c r="G1672" s="142"/>
      <c r="H1672" s="142"/>
      <c r="I1672" s="142"/>
      <c r="J1672" s="142"/>
    </row>
    <row r="1673" spans="1:10" x14ac:dyDescent="0.25">
      <c r="A1673" s="28"/>
      <c r="B1673" s="180"/>
      <c r="C1673" s="35"/>
      <c r="D1673" s="36"/>
      <c r="E1673" s="36"/>
      <c r="F1673" s="142"/>
      <c r="G1673" s="142"/>
      <c r="H1673" s="142"/>
      <c r="I1673" s="142"/>
      <c r="J1673" s="142"/>
    </row>
    <row r="1674" spans="1:10" x14ac:dyDescent="0.25">
      <c r="A1674" s="28"/>
      <c r="B1674" s="180"/>
      <c r="C1674" s="35"/>
      <c r="D1674" s="36"/>
      <c r="E1674" s="36"/>
      <c r="F1674" s="142"/>
      <c r="G1674" s="142"/>
      <c r="H1674" s="142"/>
      <c r="I1674" s="142"/>
      <c r="J1674" s="142"/>
    </row>
    <row r="1675" spans="1:10" x14ac:dyDescent="0.25">
      <c r="A1675" s="28"/>
      <c r="B1675" s="180"/>
      <c r="C1675" s="35"/>
      <c r="D1675" s="36"/>
      <c r="E1675" s="36"/>
      <c r="F1675" s="142"/>
      <c r="G1675" s="142"/>
      <c r="H1675" s="142"/>
      <c r="I1675" s="142"/>
      <c r="J1675" s="142"/>
    </row>
    <row r="1676" spans="1:10" x14ac:dyDescent="0.25">
      <c r="A1676" s="28"/>
      <c r="B1676" s="180"/>
      <c r="C1676" s="35"/>
      <c r="D1676" s="36"/>
      <c r="E1676" s="36"/>
      <c r="F1676" s="142"/>
      <c r="G1676" s="142"/>
      <c r="H1676" s="142"/>
      <c r="I1676" s="142"/>
      <c r="J1676" s="142"/>
    </row>
    <row r="1677" spans="1:10" x14ac:dyDescent="0.25">
      <c r="A1677" s="28"/>
      <c r="B1677" s="180"/>
      <c r="C1677" s="35"/>
      <c r="D1677" s="36"/>
      <c r="E1677" s="36"/>
      <c r="F1677" s="142"/>
      <c r="G1677" s="142"/>
      <c r="H1677" s="142"/>
      <c r="I1677" s="142"/>
      <c r="J1677" s="142"/>
    </row>
    <row r="1678" spans="1:10" x14ac:dyDescent="0.25">
      <c r="A1678" s="28"/>
      <c r="B1678" s="180"/>
      <c r="C1678" s="35"/>
      <c r="D1678" s="36"/>
      <c r="E1678" s="36"/>
      <c r="F1678" s="142"/>
      <c r="G1678" s="142"/>
      <c r="H1678" s="142"/>
      <c r="I1678" s="142"/>
      <c r="J1678" s="142"/>
    </row>
    <row r="1679" spans="1:10" x14ac:dyDescent="0.25">
      <c r="A1679" s="28"/>
      <c r="B1679" s="180"/>
      <c r="C1679" s="35"/>
      <c r="D1679" s="36"/>
      <c r="E1679" s="36"/>
      <c r="F1679" s="142"/>
      <c r="G1679" s="142"/>
      <c r="H1679" s="142"/>
      <c r="I1679" s="142"/>
      <c r="J1679" s="142"/>
    </row>
    <row r="1680" spans="1:10" x14ac:dyDescent="0.25">
      <c r="A1680" s="28"/>
      <c r="B1680" s="180"/>
      <c r="C1680" s="35"/>
      <c r="D1680" s="36"/>
      <c r="E1680" s="36"/>
      <c r="F1680" s="142"/>
      <c r="G1680" s="142"/>
      <c r="H1680" s="142"/>
      <c r="I1680" s="142"/>
      <c r="J1680" s="142"/>
    </row>
    <row r="1681" spans="1:10" x14ac:dyDescent="0.25">
      <c r="A1681" s="28"/>
      <c r="B1681" s="180"/>
      <c r="C1681" s="35"/>
      <c r="D1681" s="36"/>
      <c r="E1681" s="36"/>
      <c r="F1681" s="142"/>
      <c r="G1681" s="142"/>
      <c r="H1681" s="142"/>
      <c r="I1681" s="142"/>
      <c r="J1681" s="142"/>
    </row>
    <row r="1682" spans="1:10" x14ac:dyDescent="0.25">
      <c r="A1682" s="28"/>
      <c r="B1682" s="180"/>
      <c r="C1682" s="35"/>
      <c r="D1682" s="36"/>
      <c r="E1682" s="36"/>
      <c r="F1682" s="142"/>
      <c r="G1682" s="142"/>
      <c r="H1682" s="142"/>
      <c r="I1682" s="142"/>
      <c r="J1682" s="142"/>
    </row>
    <row r="1683" spans="1:10" x14ac:dyDescent="0.25">
      <c r="A1683" s="28"/>
      <c r="B1683" s="180"/>
      <c r="C1683" s="35"/>
      <c r="D1683" s="36"/>
      <c r="E1683" s="36"/>
      <c r="F1683" s="142"/>
      <c r="G1683" s="142"/>
      <c r="H1683" s="142"/>
      <c r="I1683" s="142"/>
      <c r="J1683" s="142"/>
    </row>
    <row r="1684" spans="1:10" x14ac:dyDescent="0.25">
      <c r="A1684" s="28"/>
      <c r="B1684" s="180"/>
      <c r="C1684" s="35"/>
      <c r="D1684" s="36"/>
      <c r="E1684" s="36"/>
      <c r="F1684" s="142"/>
      <c r="G1684" s="142"/>
      <c r="H1684" s="142"/>
      <c r="I1684" s="142"/>
      <c r="J1684" s="142"/>
    </row>
    <row r="1685" spans="1:10" x14ac:dyDescent="0.25">
      <c r="A1685" s="28"/>
      <c r="B1685" s="180"/>
      <c r="C1685" s="35"/>
      <c r="D1685" s="36"/>
      <c r="E1685" s="36"/>
      <c r="F1685" s="142"/>
      <c r="G1685" s="142"/>
      <c r="H1685" s="142"/>
      <c r="I1685" s="142"/>
      <c r="J1685" s="142"/>
    </row>
    <row r="1686" spans="1:10" x14ac:dyDescent="0.25">
      <c r="A1686" s="28"/>
      <c r="B1686" s="180"/>
      <c r="C1686" s="35"/>
      <c r="D1686" s="36"/>
      <c r="E1686" s="36"/>
      <c r="F1686" s="142"/>
      <c r="G1686" s="142"/>
      <c r="H1686" s="142"/>
      <c r="I1686" s="142"/>
      <c r="J1686" s="142"/>
    </row>
    <row r="1687" spans="1:10" x14ac:dyDescent="0.25">
      <c r="A1687" s="28"/>
      <c r="B1687" s="180"/>
      <c r="C1687" s="35"/>
      <c r="D1687" s="36"/>
      <c r="E1687" s="36"/>
      <c r="F1687" s="142"/>
      <c r="G1687" s="142"/>
      <c r="H1687" s="142"/>
      <c r="I1687" s="142"/>
      <c r="J1687" s="142"/>
    </row>
    <row r="1688" spans="1:10" x14ac:dyDescent="0.25">
      <c r="A1688" s="28"/>
      <c r="B1688" s="180"/>
      <c r="C1688" s="35"/>
      <c r="D1688" s="36"/>
      <c r="E1688" s="36"/>
      <c r="F1688" s="142"/>
      <c r="G1688" s="142"/>
      <c r="H1688" s="142"/>
      <c r="I1688" s="142"/>
      <c r="J1688" s="142"/>
    </row>
    <row r="1689" spans="1:10" x14ac:dyDescent="0.25">
      <c r="A1689" s="28"/>
      <c r="B1689" s="180"/>
      <c r="C1689" s="35"/>
      <c r="D1689" s="36"/>
      <c r="E1689" s="36"/>
      <c r="F1689" s="142"/>
      <c r="G1689" s="142"/>
      <c r="H1689" s="142"/>
      <c r="I1689" s="142"/>
      <c r="J1689" s="142"/>
    </row>
    <row r="1690" spans="1:10" x14ac:dyDescent="0.25">
      <c r="A1690" s="28"/>
      <c r="B1690" s="180"/>
      <c r="C1690" s="35"/>
      <c r="D1690" s="36"/>
      <c r="E1690" s="36"/>
      <c r="F1690" s="142"/>
      <c r="G1690" s="142"/>
      <c r="H1690" s="142"/>
      <c r="I1690" s="142"/>
      <c r="J1690" s="142"/>
    </row>
    <row r="1691" spans="1:10" x14ac:dyDescent="0.25">
      <c r="A1691" s="28"/>
      <c r="B1691" s="180"/>
      <c r="C1691" s="35"/>
      <c r="D1691" s="36"/>
      <c r="E1691" s="36"/>
      <c r="F1691" s="142"/>
      <c r="G1691" s="142"/>
      <c r="H1691" s="142"/>
      <c r="I1691" s="142"/>
      <c r="J1691" s="142"/>
    </row>
    <row r="1692" spans="1:10" x14ac:dyDescent="0.25">
      <c r="A1692" s="28"/>
      <c r="B1692" s="180"/>
      <c r="C1692" s="35"/>
      <c r="D1692" s="36"/>
      <c r="E1692" s="36"/>
      <c r="F1692" s="142"/>
      <c r="G1692" s="142"/>
      <c r="H1692" s="142"/>
      <c r="I1692" s="142"/>
      <c r="J1692" s="142"/>
    </row>
    <row r="1693" spans="1:10" x14ac:dyDescent="0.25">
      <c r="A1693" s="28"/>
      <c r="B1693" s="180"/>
      <c r="C1693" s="35"/>
      <c r="D1693" s="36"/>
      <c r="E1693" s="36"/>
      <c r="F1693" s="142"/>
      <c r="G1693" s="142"/>
      <c r="H1693" s="142"/>
      <c r="I1693" s="142"/>
      <c r="J1693" s="142"/>
    </row>
    <row r="1694" spans="1:10" x14ac:dyDescent="0.25">
      <c r="A1694" s="28"/>
      <c r="B1694" s="180"/>
      <c r="C1694" s="35"/>
      <c r="D1694" s="36"/>
      <c r="E1694" s="36"/>
      <c r="F1694" s="142"/>
      <c r="G1694" s="142"/>
      <c r="H1694" s="142"/>
      <c r="I1694" s="142"/>
      <c r="J1694" s="142"/>
    </row>
    <row r="1695" spans="1:10" x14ac:dyDescent="0.25">
      <c r="A1695" s="28"/>
      <c r="B1695" s="180"/>
      <c r="C1695" s="35"/>
      <c r="D1695" s="36"/>
      <c r="E1695" s="36"/>
      <c r="F1695" s="142"/>
      <c r="G1695" s="142"/>
      <c r="H1695" s="142"/>
      <c r="I1695" s="142"/>
      <c r="J1695" s="142"/>
    </row>
    <row r="1696" spans="1:10" x14ac:dyDescent="0.25">
      <c r="A1696" s="28"/>
      <c r="B1696" s="180"/>
      <c r="C1696" s="35"/>
      <c r="D1696" s="36"/>
      <c r="E1696" s="36"/>
      <c r="F1696" s="142"/>
      <c r="G1696" s="142"/>
      <c r="H1696" s="142"/>
      <c r="I1696" s="142"/>
      <c r="J1696" s="142"/>
    </row>
    <row r="1697" spans="1:10" x14ac:dyDescent="0.25">
      <c r="A1697" s="28"/>
      <c r="B1697" s="180"/>
      <c r="C1697" s="35"/>
      <c r="D1697" s="36"/>
      <c r="E1697" s="36"/>
      <c r="F1697" s="142"/>
      <c r="G1697" s="142"/>
      <c r="H1697" s="142"/>
      <c r="I1697" s="142"/>
      <c r="J1697" s="142"/>
    </row>
    <row r="1698" spans="1:10" x14ac:dyDescent="0.25">
      <c r="A1698" s="28"/>
      <c r="B1698" s="180"/>
      <c r="C1698" s="35"/>
      <c r="D1698" s="36"/>
      <c r="E1698" s="36"/>
      <c r="F1698" s="142"/>
      <c r="G1698" s="142"/>
      <c r="H1698" s="142"/>
      <c r="I1698" s="142"/>
      <c r="J1698" s="142"/>
    </row>
    <row r="1699" spans="1:10" x14ac:dyDescent="0.25">
      <c r="A1699" s="28"/>
      <c r="B1699" s="180"/>
      <c r="C1699" s="35"/>
      <c r="D1699" s="36"/>
      <c r="E1699" s="36"/>
      <c r="F1699" s="142"/>
      <c r="G1699" s="142"/>
      <c r="H1699" s="142"/>
      <c r="I1699" s="142"/>
      <c r="J1699" s="142"/>
    </row>
    <row r="1700" spans="1:10" x14ac:dyDescent="0.25">
      <c r="A1700" s="28"/>
      <c r="B1700" s="180"/>
      <c r="C1700" s="35"/>
      <c r="D1700" s="36"/>
      <c r="E1700" s="36"/>
      <c r="F1700" s="142"/>
      <c r="G1700" s="142"/>
      <c r="H1700" s="142"/>
      <c r="I1700" s="142"/>
      <c r="J1700" s="142"/>
    </row>
    <row r="1701" spans="1:10" x14ac:dyDescent="0.25">
      <c r="A1701" s="28"/>
      <c r="B1701" s="180"/>
      <c r="C1701" s="35"/>
      <c r="D1701" s="36"/>
      <c r="E1701" s="36"/>
      <c r="F1701" s="142"/>
      <c r="G1701" s="142"/>
      <c r="H1701" s="142"/>
      <c r="I1701" s="142"/>
      <c r="J1701" s="142"/>
    </row>
    <row r="1702" spans="1:10" x14ac:dyDescent="0.25">
      <c r="A1702" s="28"/>
      <c r="B1702" s="180"/>
      <c r="C1702" s="35"/>
      <c r="D1702" s="36"/>
      <c r="E1702" s="36"/>
      <c r="F1702" s="142"/>
      <c r="G1702" s="142"/>
      <c r="H1702" s="142"/>
      <c r="I1702" s="142"/>
      <c r="J1702" s="142"/>
    </row>
    <row r="1703" spans="1:10" x14ac:dyDescent="0.25">
      <c r="A1703" s="28"/>
      <c r="B1703" s="180"/>
      <c r="C1703" s="35"/>
      <c r="D1703" s="36"/>
      <c r="E1703" s="36"/>
      <c r="F1703" s="142"/>
      <c r="G1703" s="142"/>
      <c r="H1703" s="142"/>
      <c r="I1703" s="142"/>
      <c r="J1703" s="142"/>
    </row>
    <row r="1704" spans="1:10" x14ac:dyDescent="0.25">
      <c r="A1704" s="28"/>
      <c r="B1704" s="180"/>
      <c r="C1704" s="35"/>
      <c r="D1704" s="36"/>
      <c r="E1704" s="36"/>
      <c r="F1704" s="142"/>
      <c r="G1704" s="142"/>
      <c r="H1704" s="142"/>
      <c r="I1704" s="142"/>
      <c r="J1704" s="142"/>
    </row>
    <row r="1705" spans="1:10" x14ac:dyDescent="0.25">
      <c r="A1705" s="28"/>
      <c r="B1705" s="180"/>
      <c r="C1705" s="35"/>
      <c r="D1705" s="36"/>
      <c r="E1705" s="36"/>
      <c r="F1705" s="142"/>
      <c r="G1705" s="142"/>
      <c r="H1705" s="142"/>
      <c r="I1705" s="142"/>
      <c r="J1705" s="142"/>
    </row>
    <row r="1706" spans="1:10" x14ac:dyDescent="0.25">
      <c r="A1706" s="28"/>
      <c r="B1706" s="180"/>
      <c r="C1706" s="35"/>
      <c r="D1706" s="36"/>
      <c r="E1706" s="36"/>
      <c r="F1706" s="142"/>
      <c r="G1706" s="142"/>
      <c r="H1706" s="142"/>
      <c r="I1706" s="142"/>
      <c r="J1706" s="142"/>
    </row>
    <row r="1707" spans="1:10" x14ac:dyDescent="0.25">
      <c r="A1707" s="28"/>
      <c r="B1707" s="180"/>
      <c r="C1707" s="35"/>
      <c r="D1707" s="36"/>
      <c r="E1707" s="36"/>
      <c r="F1707" s="142"/>
      <c r="G1707" s="142"/>
      <c r="H1707" s="142"/>
      <c r="I1707" s="142"/>
      <c r="J1707" s="142"/>
    </row>
    <row r="1708" spans="1:10" x14ac:dyDescent="0.25">
      <c r="A1708" s="28"/>
      <c r="B1708" s="180"/>
      <c r="C1708" s="35"/>
      <c r="D1708" s="36"/>
      <c r="E1708" s="36"/>
      <c r="F1708" s="142"/>
      <c r="G1708" s="142"/>
      <c r="H1708" s="142"/>
      <c r="I1708" s="142"/>
      <c r="J1708" s="142"/>
    </row>
    <row r="1709" spans="1:10" x14ac:dyDescent="0.25">
      <c r="A1709" s="28"/>
      <c r="B1709" s="180"/>
      <c r="C1709" s="35"/>
      <c r="D1709" s="36"/>
      <c r="E1709" s="36"/>
      <c r="F1709" s="142"/>
      <c r="G1709" s="142"/>
      <c r="H1709" s="142"/>
      <c r="I1709" s="142"/>
      <c r="J1709" s="142"/>
    </row>
    <row r="1710" spans="1:10" x14ac:dyDescent="0.25">
      <c r="A1710" s="28"/>
      <c r="B1710" s="180"/>
      <c r="C1710" s="35"/>
      <c r="D1710" s="36"/>
      <c r="E1710" s="36"/>
      <c r="F1710" s="142"/>
      <c r="G1710" s="142"/>
      <c r="H1710" s="142"/>
      <c r="I1710" s="142"/>
      <c r="J1710" s="142"/>
    </row>
    <row r="1711" spans="1:10" x14ac:dyDescent="0.25">
      <c r="A1711" s="28"/>
      <c r="B1711" s="180"/>
      <c r="C1711" s="35"/>
      <c r="D1711" s="36"/>
      <c r="E1711" s="36"/>
      <c r="F1711" s="142"/>
      <c r="G1711" s="142"/>
      <c r="H1711" s="142"/>
      <c r="I1711" s="142"/>
      <c r="J1711" s="142"/>
    </row>
    <row r="1712" spans="1:10" x14ac:dyDescent="0.25">
      <c r="A1712" s="28"/>
      <c r="B1712" s="180"/>
      <c r="C1712" s="35"/>
      <c r="D1712" s="36"/>
      <c r="E1712" s="36"/>
      <c r="F1712" s="142"/>
      <c r="G1712" s="142"/>
      <c r="H1712" s="142"/>
      <c r="I1712" s="142"/>
      <c r="J1712" s="142"/>
    </row>
    <row r="1713" spans="1:10" x14ac:dyDescent="0.25">
      <c r="A1713" s="28"/>
      <c r="B1713" s="180"/>
      <c r="C1713" s="35"/>
      <c r="D1713" s="36"/>
      <c r="E1713" s="36"/>
      <c r="F1713" s="142"/>
      <c r="G1713" s="142"/>
      <c r="H1713" s="142"/>
      <c r="I1713" s="142"/>
      <c r="J1713" s="142"/>
    </row>
    <row r="1714" spans="1:10" x14ac:dyDescent="0.25">
      <c r="A1714" s="28"/>
      <c r="B1714" s="180"/>
      <c r="C1714" s="35"/>
      <c r="D1714" s="36"/>
      <c r="E1714" s="36"/>
      <c r="F1714" s="142"/>
      <c r="G1714" s="142"/>
      <c r="H1714" s="142"/>
      <c r="I1714" s="142"/>
      <c r="J1714" s="142"/>
    </row>
    <row r="1715" spans="1:10" x14ac:dyDescent="0.25">
      <c r="A1715" s="28"/>
      <c r="B1715" s="180"/>
      <c r="C1715" s="35"/>
      <c r="D1715" s="36"/>
      <c r="E1715" s="36"/>
      <c r="F1715" s="142"/>
      <c r="G1715" s="142"/>
      <c r="H1715" s="142"/>
      <c r="I1715" s="142"/>
      <c r="J1715" s="142"/>
    </row>
    <row r="1716" spans="1:10" x14ac:dyDescent="0.25">
      <c r="A1716" s="28"/>
      <c r="B1716" s="180"/>
      <c r="C1716" s="35"/>
      <c r="D1716" s="36"/>
      <c r="E1716" s="36"/>
      <c r="F1716" s="142"/>
      <c r="G1716" s="142"/>
      <c r="H1716" s="142"/>
      <c r="I1716" s="142"/>
      <c r="J1716" s="142"/>
    </row>
    <row r="1717" spans="1:10" x14ac:dyDescent="0.25">
      <c r="A1717" s="28"/>
      <c r="B1717" s="180"/>
      <c r="C1717" s="35"/>
      <c r="D1717" s="36"/>
      <c r="E1717" s="36"/>
      <c r="F1717" s="142"/>
      <c r="G1717" s="142"/>
      <c r="H1717" s="142"/>
      <c r="I1717" s="142"/>
      <c r="J1717" s="142"/>
    </row>
    <row r="1718" spans="1:10" x14ac:dyDescent="0.25">
      <c r="A1718" s="28"/>
      <c r="B1718" s="180"/>
      <c r="C1718" s="35"/>
      <c r="D1718" s="36"/>
      <c r="E1718" s="36"/>
      <c r="F1718" s="142"/>
      <c r="G1718" s="142"/>
      <c r="H1718" s="142"/>
      <c r="I1718" s="142"/>
      <c r="J1718" s="142"/>
    </row>
    <row r="1719" spans="1:10" x14ac:dyDescent="0.25">
      <c r="A1719" s="28"/>
      <c r="B1719" s="180"/>
      <c r="C1719" s="35"/>
      <c r="D1719" s="36"/>
      <c r="E1719" s="36"/>
      <c r="F1719" s="142"/>
      <c r="G1719" s="142"/>
      <c r="H1719" s="142"/>
      <c r="I1719" s="142"/>
      <c r="J1719" s="142"/>
    </row>
    <row r="1720" spans="1:10" x14ac:dyDescent="0.25">
      <c r="A1720" s="28"/>
      <c r="B1720" s="180"/>
      <c r="C1720" s="35"/>
      <c r="D1720" s="36"/>
      <c r="E1720" s="36"/>
      <c r="F1720" s="142"/>
      <c r="G1720" s="142"/>
      <c r="H1720" s="142"/>
      <c r="I1720" s="142"/>
      <c r="J1720" s="142"/>
    </row>
    <row r="1721" spans="1:10" x14ac:dyDescent="0.25">
      <c r="A1721" s="28"/>
      <c r="B1721" s="180"/>
      <c r="C1721" s="35"/>
      <c r="D1721" s="36"/>
      <c r="E1721" s="36"/>
      <c r="F1721" s="142"/>
      <c r="G1721" s="142"/>
      <c r="H1721" s="142"/>
      <c r="I1721" s="142"/>
      <c r="J1721" s="142"/>
    </row>
    <row r="1722" spans="1:10" x14ac:dyDescent="0.25">
      <c r="A1722" s="28"/>
      <c r="B1722" s="180"/>
      <c r="C1722" s="35"/>
      <c r="D1722" s="36"/>
      <c r="E1722" s="36"/>
      <c r="F1722" s="142"/>
      <c r="G1722" s="142"/>
      <c r="H1722" s="142"/>
      <c r="I1722" s="142"/>
      <c r="J1722" s="142"/>
    </row>
    <row r="1723" spans="1:10" x14ac:dyDescent="0.25">
      <c r="A1723" s="28"/>
      <c r="B1723" s="180"/>
      <c r="C1723" s="35"/>
      <c r="D1723" s="36"/>
      <c r="E1723" s="36"/>
      <c r="F1723" s="142"/>
      <c r="G1723" s="142"/>
      <c r="H1723" s="142"/>
      <c r="I1723" s="142"/>
      <c r="J1723" s="142"/>
    </row>
    <row r="1724" spans="1:10" x14ac:dyDescent="0.25">
      <c r="A1724" s="28"/>
      <c r="B1724" s="180"/>
      <c r="C1724" s="35"/>
      <c r="D1724" s="36"/>
      <c r="E1724" s="36"/>
      <c r="F1724" s="142"/>
      <c r="G1724" s="142"/>
      <c r="H1724" s="142"/>
      <c r="I1724" s="142"/>
      <c r="J1724" s="142"/>
    </row>
    <row r="1725" spans="1:10" x14ac:dyDescent="0.25">
      <c r="A1725" s="28"/>
      <c r="B1725" s="180"/>
      <c r="C1725" s="35"/>
      <c r="D1725" s="36"/>
      <c r="E1725" s="36"/>
      <c r="F1725" s="142"/>
      <c r="G1725" s="142"/>
      <c r="H1725" s="142"/>
      <c r="I1725" s="142"/>
      <c r="J1725" s="142"/>
    </row>
    <row r="1726" spans="1:10" x14ac:dyDescent="0.25">
      <c r="A1726" s="28"/>
      <c r="B1726" s="180"/>
      <c r="C1726" s="35"/>
      <c r="D1726" s="36"/>
      <c r="E1726" s="36"/>
      <c r="F1726" s="142"/>
      <c r="G1726" s="142"/>
      <c r="H1726" s="142"/>
      <c r="I1726" s="142"/>
      <c r="J1726" s="142"/>
    </row>
    <row r="1727" spans="1:10" x14ac:dyDescent="0.25">
      <c r="A1727" s="28"/>
      <c r="B1727" s="180"/>
      <c r="C1727" s="35"/>
      <c r="D1727" s="36"/>
      <c r="E1727" s="36"/>
      <c r="F1727" s="142"/>
      <c r="G1727" s="142"/>
      <c r="H1727" s="142"/>
      <c r="I1727" s="142"/>
      <c r="J1727" s="142"/>
    </row>
    <row r="1728" spans="1:10" x14ac:dyDescent="0.25">
      <c r="A1728" s="28"/>
      <c r="B1728" s="180"/>
      <c r="C1728" s="35"/>
      <c r="D1728" s="36"/>
      <c r="E1728" s="36"/>
      <c r="F1728" s="142"/>
      <c r="G1728" s="142"/>
      <c r="H1728" s="142"/>
      <c r="I1728" s="142"/>
      <c r="J1728" s="142"/>
    </row>
    <row r="1729" spans="1:10" x14ac:dyDescent="0.25">
      <c r="A1729" s="28"/>
      <c r="B1729" s="180"/>
      <c r="C1729" s="35"/>
      <c r="D1729" s="36"/>
      <c r="E1729" s="36"/>
      <c r="F1729" s="142"/>
      <c r="G1729" s="142"/>
      <c r="H1729" s="142"/>
      <c r="I1729" s="142"/>
      <c r="J1729" s="142"/>
    </row>
    <row r="1730" spans="1:10" x14ac:dyDescent="0.25">
      <c r="A1730" s="28"/>
      <c r="B1730" s="180"/>
      <c r="C1730" s="35"/>
      <c r="D1730" s="36"/>
      <c r="E1730" s="36"/>
      <c r="F1730" s="142"/>
      <c r="G1730" s="142"/>
      <c r="H1730" s="142"/>
      <c r="I1730" s="142"/>
      <c r="J1730" s="142"/>
    </row>
    <row r="1731" spans="1:10" x14ac:dyDescent="0.25">
      <c r="A1731" s="28"/>
      <c r="B1731" s="180"/>
      <c r="C1731" s="35"/>
      <c r="D1731" s="36"/>
      <c r="E1731" s="36"/>
      <c r="F1731" s="142"/>
      <c r="G1731" s="142"/>
      <c r="H1731" s="142"/>
      <c r="I1731" s="142"/>
      <c r="J1731" s="142"/>
    </row>
    <row r="1732" spans="1:10" x14ac:dyDescent="0.25">
      <c r="A1732" s="28"/>
      <c r="B1732" s="180"/>
      <c r="C1732" s="35"/>
      <c r="D1732" s="36"/>
      <c r="E1732" s="36"/>
      <c r="F1732" s="142"/>
      <c r="G1732" s="142"/>
      <c r="H1732" s="142"/>
      <c r="I1732" s="142"/>
      <c r="J1732" s="142"/>
    </row>
    <row r="1733" spans="1:10" x14ac:dyDescent="0.25">
      <c r="A1733" s="28"/>
      <c r="B1733" s="180"/>
      <c r="C1733" s="35"/>
      <c r="D1733" s="36"/>
      <c r="E1733" s="36"/>
      <c r="F1733" s="142"/>
      <c r="G1733" s="142"/>
      <c r="H1733" s="142"/>
      <c r="I1733" s="142"/>
      <c r="J1733" s="142"/>
    </row>
    <row r="1734" spans="1:10" x14ac:dyDescent="0.25">
      <c r="A1734" s="28"/>
      <c r="B1734" s="180"/>
      <c r="C1734" s="35"/>
      <c r="D1734" s="36"/>
      <c r="E1734" s="36"/>
      <c r="F1734" s="142"/>
      <c r="G1734" s="142"/>
      <c r="H1734" s="142"/>
      <c r="I1734" s="142"/>
      <c r="J1734" s="142"/>
    </row>
    <row r="1735" spans="1:10" x14ac:dyDescent="0.25">
      <c r="A1735" s="28"/>
      <c r="B1735" s="180"/>
      <c r="C1735" s="35"/>
      <c r="D1735" s="36"/>
      <c r="E1735" s="36"/>
      <c r="F1735" s="142"/>
      <c r="G1735" s="142"/>
      <c r="H1735" s="142"/>
      <c r="I1735" s="142"/>
      <c r="J1735" s="142"/>
    </row>
    <row r="1736" spans="1:10" x14ac:dyDescent="0.25">
      <c r="A1736" s="28"/>
      <c r="B1736" s="180"/>
      <c r="C1736" s="35"/>
      <c r="D1736" s="36"/>
      <c r="E1736" s="36"/>
      <c r="F1736" s="142"/>
      <c r="G1736" s="142"/>
      <c r="H1736" s="142"/>
      <c r="I1736" s="142"/>
      <c r="J1736" s="142"/>
    </row>
    <row r="1737" spans="1:10" x14ac:dyDescent="0.25">
      <c r="A1737" s="28"/>
      <c r="B1737" s="180"/>
      <c r="C1737" s="35"/>
      <c r="D1737" s="36"/>
      <c r="E1737" s="36"/>
      <c r="F1737" s="142"/>
      <c r="G1737" s="142"/>
      <c r="H1737" s="142"/>
      <c r="I1737" s="142"/>
      <c r="J1737" s="142"/>
    </row>
    <row r="1738" spans="1:10" x14ac:dyDescent="0.25">
      <c r="A1738" s="28"/>
      <c r="B1738" s="180"/>
      <c r="C1738" s="35"/>
      <c r="D1738" s="36"/>
      <c r="E1738" s="36"/>
      <c r="F1738" s="142"/>
      <c r="G1738" s="142"/>
      <c r="H1738" s="142"/>
      <c r="I1738" s="142"/>
      <c r="J1738" s="142"/>
    </row>
    <row r="1739" spans="1:10" x14ac:dyDescent="0.25">
      <c r="A1739" s="28"/>
      <c r="B1739" s="180"/>
      <c r="C1739" s="35"/>
      <c r="D1739" s="36"/>
      <c r="E1739" s="36"/>
      <c r="F1739" s="142"/>
      <c r="G1739" s="142"/>
      <c r="H1739" s="142"/>
      <c r="I1739" s="142"/>
      <c r="J1739" s="142"/>
    </row>
    <row r="1740" spans="1:10" x14ac:dyDescent="0.25">
      <c r="A1740" s="28"/>
      <c r="B1740" s="180"/>
      <c r="C1740" s="35"/>
      <c r="D1740" s="36"/>
      <c r="E1740" s="36"/>
      <c r="F1740" s="142"/>
      <c r="G1740" s="142"/>
      <c r="H1740" s="142"/>
      <c r="I1740" s="142"/>
      <c r="J1740" s="142"/>
    </row>
    <row r="1741" spans="1:10" x14ac:dyDescent="0.25">
      <c r="A1741" s="28"/>
      <c r="B1741" s="180"/>
      <c r="C1741" s="35"/>
      <c r="D1741" s="36"/>
      <c r="E1741" s="36"/>
      <c r="F1741" s="142"/>
      <c r="G1741" s="142"/>
      <c r="H1741" s="142"/>
      <c r="I1741" s="142"/>
      <c r="J1741" s="142"/>
    </row>
    <row r="1742" spans="1:10" x14ac:dyDescent="0.25">
      <c r="A1742" s="28"/>
      <c r="B1742" s="180"/>
      <c r="C1742" s="35"/>
      <c r="D1742" s="36"/>
      <c r="E1742" s="36"/>
      <c r="F1742" s="142"/>
      <c r="G1742" s="142"/>
      <c r="H1742" s="142"/>
      <c r="I1742" s="142"/>
      <c r="J1742" s="142"/>
    </row>
    <row r="1743" spans="1:10" x14ac:dyDescent="0.25">
      <c r="A1743" s="28"/>
      <c r="B1743" s="180"/>
      <c r="C1743" s="35"/>
      <c r="D1743" s="36"/>
      <c r="E1743" s="36"/>
      <c r="F1743" s="142"/>
      <c r="G1743" s="142"/>
      <c r="H1743" s="142"/>
      <c r="I1743" s="142"/>
      <c r="J1743" s="142"/>
    </row>
    <row r="1744" spans="1:10" x14ac:dyDescent="0.25">
      <c r="A1744" s="28"/>
      <c r="B1744" s="180"/>
      <c r="C1744" s="35"/>
      <c r="D1744" s="36"/>
      <c r="E1744" s="36"/>
      <c r="F1744" s="142"/>
      <c r="G1744" s="142"/>
      <c r="H1744" s="142"/>
      <c r="I1744" s="142"/>
      <c r="J1744" s="142"/>
    </row>
    <row r="1745" spans="1:10" x14ac:dyDescent="0.25">
      <c r="A1745" s="28"/>
      <c r="B1745" s="180"/>
      <c r="C1745" s="35"/>
      <c r="D1745" s="36"/>
      <c r="E1745" s="36"/>
      <c r="F1745" s="142"/>
      <c r="G1745" s="142"/>
      <c r="H1745" s="142"/>
      <c r="I1745" s="142"/>
      <c r="J1745" s="142"/>
    </row>
    <row r="1746" spans="1:10" x14ac:dyDescent="0.25">
      <c r="A1746" s="28"/>
      <c r="B1746" s="180"/>
      <c r="C1746" s="35"/>
      <c r="D1746" s="36"/>
      <c r="E1746" s="36"/>
      <c r="F1746" s="142"/>
      <c r="G1746" s="142"/>
      <c r="H1746" s="142"/>
      <c r="I1746" s="142"/>
      <c r="J1746" s="142"/>
    </row>
    <row r="1747" spans="1:10" x14ac:dyDescent="0.25">
      <c r="A1747" s="28"/>
      <c r="B1747" s="180"/>
      <c r="C1747" s="35"/>
      <c r="D1747" s="36"/>
      <c r="E1747" s="36"/>
      <c r="F1747" s="142"/>
      <c r="G1747" s="142"/>
      <c r="H1747" s="142"/>
      <c r="I1747" s="142"/>
      <c r="J1747" s="142"/>
    </row>
    <row r="1748" spans="1:10" x14ac:dyDescent="0.25">
      <c r="A1748" s="28"/>
      <c r="B1748" s="180"/>
      <c r="C1748" s="35"/>
      <c r="D1748" s="36"/>
      <c r="E1748" s="36"/>
      <c r="F1748" s="142"/>
      <c r="G1748" s="142"/>
      <c r="H1748" s="142"/>
      <c r="I1748" s="142"/>
      <c r="J1748" s="142"/>
    </row>
    <row r="1749" spans="1:10" x14ac:dyDescent="0.25">
      <c r="A1749" s="28"/>
      <c r="B1749" s="180"/>
      <c r="C1749" s="35"/>
      <c r="D1749" s="36"/>
      <c r="E1749" s="36"/>
      <c r="F1749" s="142"/>
      <c r="G1749" s="142"/>
      <c r="H1749" s="142"/>
      <c r="I1749" s="142"/>
      <c r="J1749" s="142"/>
    </row>
    <row r="1750" spans="1:10" x14ac:dyDescent="0.25">
      <c r="A1750" s="28"/>
      <c r="B1750" s="180"/>
      <c r="C1750" s="35"/>
      <c r="D1750" s="36"/>
      <c r="E1750" s="36"/>
      <c r="F1750" s="142"/>
      <c r="G1750" s="142"/>
      <c r="H1750" s="142"/>
      <c r="I1750" s="142"/>
      <c r="J1750" s="142"/>
    </row>
    <row r="1751" spans="1:10" x14ac:dyDescent="0.25">
      <c r="A1751" s="28"/>
      <c r="B1751" s="180"/>
      <c r="C1751" s="35"/>
      <c r="D1751" s="36"/>
      <c r="E1751" s="36"/>
      <c r="F1751" s="142"/>
      <c r="G1751" s="142"/>
      <c r="H1751" s="142"/>
      <c r="I1751" s="142"/>
      <c r="J1751" s="142"/>
    </row>
    <row r="1752" spans="1:10" x14ac:dyDescent="0.25">
      <c r="A1752" s="28"/>
      <c r="B1752" s="180"/>
      <c r="C1752" s="35"/>
      <c r="D1752" s="36"/>
      <c r="E1752" s="36"/>
      <c r="F1752" s="142"/>
      <c r="G1752" s="142"/>
      <c r="H1752" s="142"/>
      <c r="I1752" s="142"/>
      <c r="J1752" s="142"/>
    </row>
    <row r="1753" spans="1:10" x14ac:dyDescent="0.25">
      <c r="A1753" s="28"/>
      <c r="B1753" s="180"/>
      <c r="C1753" s="35"/>
      <c r="D1753" s="36"/>
      <c r="E1753" s="36"/>
      <c r="F1753" s="142"/>
      <c r="G1753" s="142"/>
      <c r="H1753" s="142"/>
      <c r="I1753" s="142"/>
      <c r="J1753" s="142"/>
    </row>
    <row r="1754" spans="1:10" x14ac:dyDescent="0.25">
      <c r="A1754" s="28"/>
      <c r="B1754" s="180"/>
      <c r="C1754" s="35"/>
      <c r="D1754" s="36"/>
      <c r="E1754" s="36"/>
      <c r="F1754" s="142"/>
      <c r="G1754" s="142"/>
      <c r="H1754" s="142"/>
      <c r="I1754" s="142"/>
      <c r="J1754" s="142"/>
    </row>
    <row r="1755" spans="1:10" x14ac:dyDescent="0.25">
      <c r="A1755" s="28"/>
      <c r="B1755" s="180"/>
      <c r="C1755" s="35"/>
      <c r="D1755" s="36"/>
      <c r="E1755" s="36"/>
      <c r="F1755" s="142"/>
      <c r="G1755" s="142"/>
      <c r="H1755" s="142"/>
      <c r="I1755" s="142"/>
      <c r="J1755" s="142"/>
    </row>
    <row r="1756" spans="1:10" x14ac:dyDescent="0.25">
      <c r="A1756" s="28"/>
      <c r="B1756" s="180"/>
      <c r="C1756" s="35"/>
      <c r="D1756" s="36"/>
      <c r="E1756" s="36"/>
      <c r="F1756" s="142"/>
      <c r="G1756" s="142"/>
      <c r="H1756" s="142"/>
      <c r="I1756" s="142"/>
      <c r="J1756" s="142"/>
    </row>
    <row r="1757" spans="1:10" x14ac:dyDescent="0.25">
      <c r="A1757" s="28"/>
      <c r="B1757" s="180"/>
      <c r="C1757" s="35"/>
      <c r="D1757" s="36"/>
      <c r="E1757" s="36"/>
      <c r="F1757" s="142"/>
      <c r="G1757" s="142"/>
      <c r="H1757" s="142"/>
      <c r="I1757" s="142"/>
      <c r="J1757" s="142"/>
    </row>
    <row r="1758" spans="1:10" x14ac:dyDescent="0.25">
      <c r="A1758" s="28"/>
      <c r="B1758" s="180"/>
      <c r="C1758" s="35"/>
      <c r="D1758" s="36"/>
      <c r="E1758" s="36"/>
      <c r="F1758" s="142"/>
      <c r="G1758" s="142"/>
      <c r="H1758" s="142"/>
      <c r="I1758" s="142"/>
      <c r="J1758" s="142"/>
    </row>
    <row r="1759" spans="1:10" x14ac:dyDescent="0.25">
      <c r="A1759" s="28"/>
      <c r="B1759" s="180"/>
      <c r="C1759" s="35"/>
      <c r="D1759" s="36"/>
      <c r="E1759" s="36"/>
      <c r="F1759" s="142"/>
      <c r="G1759" s="142"/>
      <c r="H1759" s="142"/>
      <c r="I1759" s="142"/>
      <c r="J1759" s="142"/>
    </row>
    <row r="1760" spans="1:10" x14ac:dyDescent="0.25">
      <c r="A1760" s="28"/>
      <c r="B1760" s="180"/>
      <c r="C1760" s="35"/>
      <c r="D1760" s="36"/>
      <c r="E1760" s="36"/>
      <c r="F1760" s="142"/>
      <c r="G1760" s="142"/>
      <c r="H1760" s="142"/>
      <c r="I1760" s="142"/>
      <c r="J1760" s="142"/>
    </row>
    <row r="1761" spans="1:10" x14ac:dyDescent="0.25">
      <c r="A1761" s="28"/>
      <c r="B1761" s="180"/>
      <c r="C1761" s="35"/>
      <c r="D1761" s="36"/>
      <c r="E1761" s="36"/>
      <c r="F1761" s="142"/>
      <c r="G1761" s="142"/>
      <c r="H1761" s="142"/>
      <c r="I1761" s="142"/>
      <c r="J1761" s="142"/>
    </row>
    <row r="1762" spans="1:10" x14ac:dyDescent="0.25">
      <c r="A1762" s="28"/>
      <c r="B1762" s="180"/>
      <c r="C1762" s="35"/>
      <c r="D1762" s="36"/>
      <c r="E1762" s="36"/>
      <c r="F1762" s="142"/>
      <c r="G1762" s="142"/>
      <c r="H1762" s="142"/>
      <c r="I1762" s="142"/>
      <c r="J1762" s="142"/>
    </row>
    <row r="1763" spans="1:10" x14ac:dyDescent="0.25">
      <c r="A1763" s="28"/>
      <c r="B1763" s="180"/>
      <c r="C1763" s="35"/>
      <c r="D1763" s="36"/>
      <c r="E1763" s="36"/>
      <c r="F1763" s="142"/>
      <c r="G1763" s="142"/>
      <c r="H1763" s="142"/>
      <c r="I1763" s="142"/>
      <c r="J1763" s="142"/>
    </row>
    <row r="1764" spans="1:10" x14ac:dyDescent="0.25">
      <c r="A1764" s="28"/>
      <c r="B1764" s="180"/>
      <c r="C1764" s="35"/>
      <c r="D1764" s="36"/>
      <c r="E1764" s="36"/>
      <c r="F1764" s="142"/>
      <c r="G1764" s="142"/>
      <c r="H1764" s="142"/>
      <c r="I1764" s="142"/>
      <c r="J1764" s="142"/>
    </row>
    <row r="1765" spans="1:10" x14ac:dyDescent="0.25">
      <c r="A1765" s="28"/>
      <c r="B1765" s="180"/>
      <c r="C1765" s="35"/>
      <c r="D1765" s="36"/>
      <c r="E1765" s="36"/>
      <c r="F1765" s="142"/>
      <c r="G1765" s="142"/>
      <c r="H1765" s="142"/>
      <c r="I1765" s="142"/>
      <c r="J1765" s="142"/>
    </row>
    <row r="1766" spans="1:10" x14ac:dyDescent="0.25">
      <c r="A1766" s="28"/>
      <c r="B1766" s="180"/>
      <c r="C1766" s="35"/>
      <c r="D1766" s="36"/>
      <c r="E1766" s="36"/>
      <c r="F1766" s="142"/>
      <c r="G1766" s="142"/>
      <c r="H1766" s="142"/>
      <c r="I1766" s="142"/>
      <c r="J1766" s="142"/>
    </row>
    <row r="1767" spans="1:10" x14ac:dyDescent="0.25">
      <c r="A1767" s="28"/>
      <c r="B1767" s="180"/>
      <c r="C1767" s="35"/>
      <c r="D1767" s="36"/>
      <c r="E1767" s="36"/>
      <c r="F1767" s="142"/>
      <c r="G1767" s="142"/>
      <c r="H1767" s="142"/>
      <c r="I1767" s="142"/>
      <c r="J1767" s="142"/>
    </row>
    <row r="1768" spans="1:10" x14ac:dyDescent="0.25">
      <c r="A1768" s="28"/>
      <c r="B1768" s="180"/>
      <c r="C1768" s="35"/>
      <c r="D1768" s="36"/>
      <c r="E1768" s="36"/>
      <c r="F1768" s="142"/>
      <c r="G1768" s="142"/>
      <c r="H1768" s="142"/>
      <c r="I1768" s="142"/>
      <c r="J1768" s="142"/>
    </row>
    <row r="1769" spans="1:10" x14ac:dyDescent="0.25">
      <c r="A1769" s="28"/>
      <c r="B1769" s="180"/>
      <c r="C1769" s="35"/>
      <c r="D1769" s="36"/>
      <c r="E1769" s="36"/>
      <c r="F1769" s="142"/>
      <c r="G1769" s="142"/>
      <c r="H1769" s="142"/>
      <c r="I1769" s="142"/>
      <c r="J1769" s="142"/>
    </row>
    <row r="1770" spans="1:10" x14ac:dyDescent="0.25">
      <c r="A1770" s="28"/>
      <c r="B1770" s="180"/>
      <c r="C1770" s="35"/>
      <c r="D1770" s="36"/>
      <c r="E1770" s="36"/>
      <c r="F1770" s="142"/>
      <c r="G1770" s="142"/>
      <c r="H1770" s="142"/>
      <c r="I1770" s="142"/>
      <c r="J1770" s="142"/>
    </row>
    <row r="1771" spans="1:10" x14ac:dyDescent="0.25">
      <c r="A1771" s="28"/>
      <c r="B1771" s="180"/>
      <c r="C1771" s="35"/>
      <c r="D1771" s="36"/>
      <c r="E1771" s="36"/>
      <c r="F1771" s="142"/>
      <c r="G1771" s="142"/>
      <c r="H1771" s="142"/>
      <c r="I1771" s="142"/>
      <c r="J1771" s="142"/>
    </row>
    <row r="1772" spans="1:10" x14ac:dyDescent="0.25">
      <c r="A1772" s="28"/>
      <c r="B1772" s="180"/>
      <c r="C1772" s="35"/>
      <c r="D1772" s="36"/>
      <c r="E1772" s="36"/>
      <c r="F1772" s="142"/>
      <c r="G1772" s="142"/>
      <c r="H1772" s="142"/>
      <c r="I1772" s="142"/>
      <c r="J1772" s="142"/>
    </row>
    <row r="1773" spans="1:10" x14ac:dyDescent="0.25">
      <c r="A1773" s="28"/>
      <c r="B1773" s="180"/>
      <c r="C1773" s="35"/>
      <c r="D1773" s="36"/>
      <c r="E1773" s="36"/>
      <c r="F1773" s="142"/>
      <c r="G1773" s="142"/>
      <c r="H1773" s="142"/>
      <c r="I1773" s="142"/>
      <c r="J1773" s="142"/>
    </row>
    <row r="1774" spans="1:10" x14ac:dyDescent="0.25">
      <c r="A1774" s="28"/>
      <c r="B1774" s="180"/>
      <c r="C1774" s="35"/>
      <c r="D1774" s="36"/>
      <c r="E1774" s="36"/>
      <c r="F1774" s="142"/>
      <c r="G1774" s="142"/>
      <c r="H1774" s="142"/>
      <c r="I1774" s="142"/>
      <c r="J1774" s="142"/>
    </row>
    <row r="1775" spans="1:10" x14ac:dyDescent="0.25">
      <c r="A1775" s="28"/>
      <c r="B1775" s="180"/>
      <c r="C1775" s="35"/>
      <c r="D1775" s="36"/>
      <c r="E1775" s="36"/>
      <c r="F1775" s="142"/>
      <c r="G1775" s="142"/>
      <c r="H1775" s="142"/>
      <c r="I1775" s="142"/>
      <c r="J1775" s="142"/>
    </row>
    <row r="1776" spans="1:10" x14ac:dyDescent="0.25">
      <c r="A1776" s="28"/>
      <c r="B1776" s="180"/>
      <c r="C1776" s="35"/>
      <c r="D1776" s="36"/>
      <c r="E1776" s="36"/>
      <c r="F1776" s="142"/>
      <c r="G1776" s="142"/>
      <c r="H1776" s="142"/>
      <c r="I1776" s="142"/>
      <c r="J1776" s="142"/>
    </row>
    <row r="1777" spans="1:10" x14ac:dyDescent="0.25">
      <c r="A1777" s="28"/>
      <c r="B1777" s="180"/>
      <c r="C1777" s="35"/>
      <c r="D1777" s="36"/>
      <c r="E1777" s="36"/>
      <c r="F1777" s="142"/>
      <c r="G1777" s="142"/>
      <c r="H1777" s="142"/>
      <c r="I1777" s="142"/>
      <c r="J1777" s="142"/>
    </row>
    <row r="1778" spans="1:10" x14ac:dyDescent="0.25">
      <c r="A1778" s="28"/>
      <c r="B1778" s="180"/>
      <c r="C1778" s="35"/>
      <c r="D1778" s="36"/>
      <c r="E1778" s="36"/>
      <c r="F1778" s="142"/>
      <c r="G1778" s="142"/>
      <c r="H1778" s="142"/>
      <c r="I1778" s="142"/>
      <c r="J1778" s="142"/>
    </row>
    <row r="1779" spans="1:10" x14ac:dyDescent="0.25">
      <c r="A1779" s="28"/>
      <c r="B1779" s="180"/>
      <c r="C1779" s="35"/>
      <c r="D1779" s="36"/>
      <c r="E1779" s="36"/>
      <c r="F1779" s="142"/>
      <c r="G1779" s="142"/>
      <c r="H1779" s="142"/>
      <c r="I1779" s="142"/>
      <c r="J1779" s="142"/>
    </row>
    <row r="1780" spans="1:10" x14ac:dyDescent="0.25">
      <c r="A1780" s="28"/>
      <c r="B1780" s="180"/>
      <c r="C1780" s="35"/>
      <c r="D1780" s="36"/>
      <c r="E1780" s="36"/>
      <c r="F1780" s="142"/>
      <c r="G1780" s="142"/>
      <c r="H1780" s="142"/>
      <c r="I1780" s="142"/>
      <c r="J1780" s="142"/>
    </row>
    <row r="1781" spans="1:10" x14ac:dyDescent="0.25">
      <c r="A1781" s="28"/>
      <c r="B1781" s="180"/>
      <c r="C1781" s="35"/>
      <c r="D1781" s="36"/>
      <c r="E1781" s="36"/>
      <c r="F1781" s="142"/>
      <c r="G1781" s="142"/>
      <c r="H1781" s="142"/>
      <c r="I1781" s="142"/>
      <c r="J1781" s="142"/>
    </row>
    <row r="1782" spans="1:10" x14ac:dyDescent="0.25">
      <c r="A1782" s="28"/>
      <c r="B1782" s="180"/>
      <c r="C1782" s="35"/>
      <c r="D1782" s="36"/>
      <c r="E1782" s="36"/>
      <c r="F1782" s="142"/>
      <c r="G1782" s="142"/>
      <c r="H1782" s="142"/>
      <c r="I1782" s="142"/>
      <c r="J1782" s="142"/>
    </row>
    <row r="1783" spans="1:10" x14ac:dyDescent="0.25">
      <c r="A1783" s="28"/>
      <c r="B1783" s="180"/>
      <c r="C1783" s="35"/>
      <c r="D1783" s="36"/>
      <c r="E1783" s="36"/>
      <c r="F1783" s="142"/>
      <c r="G1783" s="142"/>
      <c r="H1783" s="142"/>
      <c r="I1783" s="142"/>
      <c r="J1783" s="142"/>
    </row>
    <row r="1784" spans="1:10" x14ac:dyDescent="0.25">
      <c r="A1784" s="28"/>
      <c r="B1784" s="180"/>
      <c r="C1784" s="35"/>
      <c r="D1784" s="36"/>
      <c r="E1784" s="36"/>
      <c r="F1784" s="142"/>
      <c r="G1784" s="142"/>
      <c r="H1784" s="142"/>
      <c r="I1784" s="142"/>
      <c r="J1784" s="142"/>
    </row>
    <row r="1785" spans="1:10" x14ac:dyDescent="0.25">
      <c r="A1785" s="28"/>
      <c r="B1785" s="180"/>
      <c r="C1785" s="35"/>
      <c r="D1785" s="36"/>
      <c r="E1785" s="36"/>
      <c r="F1785" s="142"/>
      <c r="G1785" s="142"/>
      <c r="H1785" s="142"/>
      <c r="I1785" s="142"/>
      <c r="J1785" s="142"/>
    </row>
    <row r="1786" spans="1:10" x14ac:dyDescent="0.25">
      <c r="A1786" s="28"/>
      <c r="B1786" s="180"/>
      <c r="C1786" s="35"/>
      <c r="D1786" s="36"/>
      <c r="E1786" s="36"/>
      <c r="F1786" s="142"/>
      <c r="G1786" s="142"/>
      <c r="H1786" s="142"/>
      <c r="I1786" s="142"/>
      <c r="J1786" s="142"/>
    </row>
    <row r="1787" spans="1:10" x14ac:dyDescent="0.25">
      <c r="A1787" s="28"/>
      <c r="B1787" s="180"/>
      <c r="C1787" s="35"/>
      <c r="D1787" s="36"/>
      <c r="E1787" s="36"/>
      <c r="F1787" s="142"/>
      <c r="G1787" s="142"/>
      <c r="H1787" s="142"/>
      <c r="I1787" s="142"/>
      <c r="J1787" s="142"/>
    </row>
    <row r="1788" spans="1:10" x14ac:dyDescent="0.25">
      <c r="A1788" s="28"/>
      <c r="B1788" s="180"/>
      <c r="C1788" s="35"/>
      <c r="D1788" s="36"/>
      <c r="E1788" s="36"/>
      <c r="F1788" s="142"/>
      <c r="G1788" s="142"/>
      <c r="H1788" s="142"/>
      <c r="I1788" s="142"/>
      <c r="J1788" s="142"/>
    </row>
    <row r="1789" spans="1:10" x14ac:dyDescent="0.25">
      <c r="A1789" s="28"/>
      <c r="B1789" s="180"/>
      <c r="C1789" s="35"/>
      <c r="D1789" s="36"/>
      <c r="E1789" s="36"/>
      <c r="F1789" s="142"/>
      <c r="G1789" s="142"/>
      <c r="H1789" s="142"/>
      <c r="I1789" s="142"/>
      <c r="J1789" s="142"/>
    </row>
    <row r="1790" spans="1:10" x14ac:dyDescent="0.25">
      <c r="A1790" s="28"/>
      <c r="B1790" s="180"/>
      <c r="C1790" s="35"/>
      <c r="D1790" s="36"/>
      <c r="E1790" s="36"/>
      <c r="F1790" s="142"/>
      <c r="G1790" s="142"/>
      <c r="H1790" s="142"/>
      <c r="I1790" s="142"/>
      <c r="J1790" s="142"/>
    </row>
    <row r="1791" spans="1:10" x14ac:dyDescent="0.25">
      <c r="A1791" s="28"/>
      <c r="B1791" s="180"/>
      <c r="C1791" s="35"/>
      <c r="D1791" s="36"/>
      <c r="E1791" s="36"/>
      <c r="F1791" s="142"/>
      <c r="G1791" s="142"/>
      <c r="H1791" s="142"/>
      <c r="I1791" s="142"/>
      <c r="J1791" s="142"/>
    </row>
    <row r="1792" spans="1:10" x14ac:dyDescent="0.25">
      <c r="A1792" s="28"/>
      <c r="B1792" s="180"/>
      <c r="C1792" s="35"/>
      <c r="D1792" s="36"/>
      <c r="E1792" s="36"/>
      <c r="F1792" s="142"/>
      <c r="G1792" s="142"/>
      <c r="H1792" s="142"/>
      <c r="I1792" s="142"/>
      <c r="J1792" s="142"/>
    </row>
    <row r="1793" spans="1:10" x14ac:dyDescent="0.25">
      <c r="A1793" s="28"/>
      <c r="B1793" s="180"/>
      <c r="C1793" s="35"/>
      <c r="D1793" s="36"/>
      <c r="E1793" s="36"/>
      <c r="F1793" s="142"/>
      <c r="G1793" s="142"/>
      <c r="H1793" s="142"/>
      <c r="I1793" s="142"/>
      <c r="J1793" s="142"/>
    </row>
    <row r="1794" spans="1:10" x14ac:dyDescent="0.25">
      <c r="A1794" s="28"/>
      <c r="B1794" s="180"/>
      <c r="C1794" s="35"/>
      <c r="D1794" s="36"/>
      <c r="E1794" s="36"/>
      <c r="F1794" s="142"/>
      <c r="G1794" s="142"/>
      <c r="H1794" s="142"/>
      <c r="I1794" s="142"/>
      <c r="J1794" s="142"/>
    </row>
    <row r="1795" spans="1:10" x14ac:dyDescent="0.25">
      <c r="A1795" s="28"/>
      <c r="B1795" s="180"/>
      <c r="C1795" s="35"/>
      <c r="D1795" s="36"/>
      <c r="E1795" s="36"/>
      <c r="F1795" s="142"/>
      <c r="G1795" s="142"/>
      <c r="H1795" s="142"/>
      <c r="I1795" s="142"/>
      <c r="J1795" s="142"/>
    </row>
    <row r="1796" spans="1:10" x14ac:dyDescent="0.25">
      <c r="A1796" s="28"/>
      <c r="B1796" s="180"/>
      <c r="C1796" s="35"/>
      <c r="D1796" s="36"/>
      <c r="E1796" s="36"/>
      <c r="F1796" s="142"/>
      <c r="G1796" s="142"/>
      <c r="H1796" s="142"/>
      <c r="I1796" s="142"/>
      <c r="J1796" s="142"/>
    </row>
    <row r="1797" spans="1:10" x14ac:dyDescent="0.25">
      <c r="A1797" s="28"/>
      <c r="B1797" s="180"/>
      <c r="C1797" s="35"/>
      <c r="D1797" s="36"/>
      <c r="E1797" s="36"/>
      <c r="F1797" s="142"/>
      <c r="G1797" s="142"/>
      <c r="H1797" s="142"/>
      <c r="I1797" s="142"/>
      <c r="J1797" s="142"/>
    </row>
    <row r="1798" spans="1:10" x14ac:dyDescent="0.25">
      <c r="A1798" s="28"/>
      <c r="B1798" s="180"/>
      <c r="C1798" s="35"/>
      <c r="D1798" s="36"/>
      <c r="E1798" s="36"/>
      <c r="F1798" s="142"/>
      <c r="G1798" s="142"/>
      <c r="H1798" s="142"/>
      <c r="I1798" s="142"/>
      <c r="J1798" s="142"/>
    </row>
    <row r="1799" spans="1:10" x14ac:dyDescent="0.25">
      <c r="A1799" s="28"/>
      <c r="B1799" s="180"/>
      <c r="C1799" s="35"/>
      <c r="D1799" s="36"/>
      <c r="E1799" s="36"/>
      <c r="F1799" s="142"/>
      <c r="G1799" s="142"/>
      <c r="H1799" s="142"/>
      <c r="I1799" s="142"/>
      <c r="J1799" s="142"/>
    </row>
    <row r="1800" spans="1:10" x14ac:dyDescent="0.25">
      <c r="A1800" s="28"/>
      <c r="B1800" s="180"/>
      <c r="C1800" s="35"/>
      <c r="D1800" s="36"/>
      <c r="E1800" s="36"/>
      <c r="F1800" s="142"/>
      <c r="G1800" s="142"/>
      <c r="H1800" s="142"/>
      <c r="I1800" s="142"/>
      <c r="J1800" s="142"/>
    </row>
    <row r="1801" spans="1:10" x14ac:dyDescent="0.25">
      <c r="A1801" s="28"/>
      <c r="B1801" s="180"/>
      <c r="C1801" s="35"/>
      <c r="D1801" s="36"/>
      <c r="E1801" s="36"/>
      <c r="F1801" s="142"/>
      <c r="G1801" s="142"/>
      <c r="H1801" s="142"/>
      <c r="I1801" s="142"/>
      <c r="J1801" s="142"/>
    </row>
    <row r="1802" spans="1:10" x14ac:dyDescent="0.25">
      <c r="A1802" s="28"/>
      <c r="B1802" s="180"/>
      <c r="C1802" s="35"/>
      <c r="D1802" s="36"/>
      <c r="E1802" s="36"/>
      <c r="F1802" s="142"/>
      <c r="G1802" s="142"/>
      <c r="H1802" s="142"/>
      <c r="I1802" s="142"/>
      <c r="J1802" s="142"/>
    </row>
    <row r="1803" spans="1:10" x14ac:dyDescent="0.25">
      <c r="A1803" s="28"/>
      <c r="B1803" s="180"/>
      <c r="C1803" s="35"/>
      <c r="D1803" s="36"/>
      <c r="E1803" s="36"/>
      <c r="F1803" s="142"/>
      <c r="G1803" s="142"/>
      <c r="H1803" s="142"/>
      <c r="I1803" s="142"/>
      <c r="J1803" s="142"/>
    </row>
    <row r="1804" spans="1:10" x14ac:dyDescent="0.25">
      <c r="A1804" s="28"/>
      <c r="B1804" s="180"/>
      <c r="C1804" s="35"/>
      <c r="D1804" s="36"/>
      <c r="E1804" s="36"/>
      <c r="F1804" s="142"/>
      <c r="G1804" s="142"/>
      <c r="H1804" s="142"/>
      <c r="I1804" s="142"/>
      <c r="J1804" s="142"/>
    </row>
    <row r="1805" spans="1:10" x14ac:dyDescent="0.25">
      <c r="A1805" s="28"/>
      <c r="B1805" s="180"/>
      <c r="C1805" s="35"/>
      <c r="D1805" s="36"/>
      <c r="E1805" s="36"/>
      <c r="F1805" s="142"/>
      <c r="G1805" s="142"/>
      <c r="H1805" s="142"/>
      <c r="I1805" s="142"/>
      <c r="J1805" s="142"/>
    </row>
    <row r="1806" spans="1:10" x14ac:dyDescent="0.25">
      <c r="A1806" s="28"/>
      <c r="B1806" s="180"/>
      <c r="C1806" s="35"/>
      <c r="D1806" s="36"/>
      <c r="E1806" s="36"/>
      <c r="F1806" s="142"/>
      <c r="G1806" s="142"/>
      <c r="H1806" s="142"/>
      <c r="I1806" s="142"/>
      <c r="J1806" s="142"/>
    </row>
    <row r="1807" spans="1:10" x14ac:dyDescent="0.25">
      <c r="A1807" s="28"/>
      <c r="B1807" s="180"/>
      <c r="C1807" s="35"/>
      <c r="D1807" s="36"/>
      <c r="E1807" s="36"/>
      <c r="F1807" s="142"/>
      <c r="G1807" s="142"/>
      <c r="H1807" s="142"/>
      <c r="I1807" s="142"/>
      <c r="J1807" s="142"/>
    </row>
    <row r="1808" spans="1:10" x14ac:dyDescent="0.25">
      <c r="A1808" s="28"/>
      <c r="B1808" s="180"/>
      <c r="C1808" s="35"/>
      <c r="D1808" s="36"/>
      <c r="E1808" s="36"/>
      <c r="F1808" s="142"/>
      <c r="G1808" s="142"/>
      <c r="H1808" s="142"/>
      <c r="I1808" s="142"/>
      <c r="J1808" s="142"/>
    </row>
    <row r="1809" spans="1:10" x14ac:dyDescent="0.25">
      <c r="A1809" s="28"/>
      <c r="B1809" s="180"/>
      <c r="C1809" s="35"/>
      <c r="D1809" s="36"/>
      <c r="E1809" s="36"/>
      <c r="F1809" s="142"/>
      <c r="G1809" s="142"/>
      <c r="H1809" s="142"/>
      <c r="I1809" s="142"/>
      <c r="J1809" s="142"/>
    </row>
    <row r="1810" spans="1:10" x14ac:dyDescent="0.25">
      <c r="A1810" s="28"/>
      <c r="B1810" s="180"/>
      <c r="C1810" s="35"/>
      <c r="D1810" s="36"/>
      <c r="E1810" s="36"/>
      <c r="F1810" s="142"/>
      <c r="G1810" s="142"/>
      <c r="H1810" s="142"/>
      <c r="I1810" s="142"/>
      <c r="J1810" s="142"/>
    </row>
    <row r="1811" spans="1:10" x14ac:dyDescent="0.25">
      <c r="A1811" s="28"/>
      <c r="B1811" s="180"/>
      <c r="C1811" s="35"/>
      <c r="D1811" s="36"/>
      <c r="E1811" s="36"/>
      <c r="F1811" s="142"/>
      <c r="G1811" s="142"/>
      <c r="H1811" s="142"/>
      <c r="I1811" s="142"/>
      <c r="J1811" s="142"/>
    </row>
    <row r="1812" spans="1:10" x14ac:dyDescent="0.25">
      <c r="A1812" s="28"/>
      <c r="B1812" s="180"/>
      <c r="C1812" s="35"/>
      <c r="D1812" s="36"/>
      <c r="E1812" s="36"/>
      <c r="F1812" s="142"/>
      <c r="G1812" s="142"/>
      <c r="H1812" s="142"/>
      <c r="I1812" s="142"/>
      <c r="J1812" s="142"/>
    </row>
    <row r="1813" spans="1:10" x14ac:dyDescent="0.25">
      <c r="A1813" s="28"/>
      <c r="B1813" s="180"/>
      <c r="C1813" s="35"/>
      <c r="D1813" s="36"/>
      <c r="E1813" s="36"/>
      <c r="F1813" s="142"/>
      <c r="G1813" s="142"/>
      <c r="H1813" s="142"/>
      <c r="I1813" s="142"/>
      <c r="J1813" s="142"/>
    </row>
    <row r="1814" spans="1:10" x14ac:dyDescent="0.25">
      <c r="A1814" s="28"/>
      <c r="B1814" s="180"/>
      <c r="C1814" s="35"/>
      <c r="D1814" s="36"/>
      <c r="E1814" s="36"/>
      <c r="F1814" s="142"/>
      <c r="G1814" s="142"/>
      <c r="H1814" s="142"/>
      <c r="I1814" s="142"/>
      <c r="J1814" s="142"/>
    </row>
    <row r="1815" spans="1:10" x14ac:dyDescent="0.25">
      <c r="A1815" s="28"/>
      <c r="B1815" s="180"/>
      <c r="C1815" s="35"/>
      <c r="D1815" s="36"/>
      <c r="E1815" s="36"/>
      <c r="F1815" s="142"/>
      <c r="G1815" s="142"/>
      <c r="H1815" s="142"/>
      <c r="I1815" s="142"/>
      <c r="J1815" s="142"/>
    </row>
    <row r="1816" spans="1:10" x14ac:dyDescent="0.25">
      <c r="A1816" s="28"/>
      <c r="B1816" s="180"/>
      <c r="C1816" s="35"/>
      <c r="D1816" s="36"/>
      <c r="E1816" s="36"/>
      <c r="F1816" s="142"/>
      <c r="G1816" s="142"/>
      <c r="H1816" s="142"/>
      <c r="I1816" s="142"/>
      <c r="J1816" s="142"/>
    </row>
    <row r="1817" spans="1:10" x14ac:dyDescent="0.25">
      <c r="A1817" s="28"/>
      <c r="B1817" s="180"/>
      <c r="C1817" s="35"/>
      <c r="D1817" s="36"/>
      <c r="E1817" s="36"/>
      <c r="F1817" s="142"/>
      <c r="G1817" s="142"/>
      <c r="H1817" s="142"/>
      <c r="I1817" s="142"/>
      <c r="J1817" s="142"/>
    </row>
    <row r="1818" spans="1:10" x14ac:dyDescent="0.25">
      <c r="A1818" s="28"/>
      <c r="B1818" s="180"/>
      <c r="C1818" s="35"/>
      <c r="D1818" s="36"/>
      <c r="E1818" s="36"/>
      <c r="F1818" s="142"/>
      <c r="G1818" s="142"/>
      <c r="H1818" s="142"/>
      <c r="I1818" s="142"/>
      <c r="J1818" s="142"/>
    </row>
    <row r="1819" spans="1:10" x14ac:dyDescent="0.25">
      <c r="A1819" s="28"/>
      <c r="B1819" s="180"/>
      <c r="C1819" s="35"/>
      <c r="D1819" s="36"/>
      <c r="E1819" s="36"/>
      <c r="F1819" s="142"/>
      <c r="G1819" s="142"/>
      <c r="H1819" s="142"/>
      <c r="I1819" s="142"/>
      <c r="J1819" s="142"/>
    </row>
    <row r="1820" spans="1:10" x14ac:dyDescent="0.25">
      <c r="A1820" s="28"/>
      <c r="B1820" s="180"/>
      <c r="C1820" s="35"/>
      <c r="D1820" s="36"/>
      <c r="E1820" s="36"/>
      <c r="F1820" s="142"/>
      <c r="G1820" s="142"/>
      <c r="H1820" s="142"/>
      <c r="I1820" s="142"/>
      <c r="J1820" s="142"/>
    </row>
    <row r="1821" spans="1:10" x14ac:dyDescent="0.25">
      <c r="A1821" s="28"/>
      <c r="B1821" s="180"/>
      <c r="C1821" s="35"/>
      <c r="D1821" s="36"/>
      <c r="E1821" s="36"/>
      <c r="F1821" s="142"/>
      <c r="G1821" s="142"/>
      <c r="H1821" s="142"/>
      <c r="I1821" s="142"/>
      <c r="J1821" s="142"/>
    </row>
    <row r="1822" spans="1:10" x14ac:dyDescent="0.25">
      <c r="A1822" s="28"/>
      <c r="B1822" s="180"/>
      <c r="C1822" s="35"/>
      <c r="D1822" s="36"/>
      <c r="E1822" s="36"/>
      <c r="F1822" s="142"/>
      <c r="G1822" s="142"/>
      <c r="H1822" s="142"/>
      <c r="I1822" s="142"/>
      <c r="J1822" s="142"/>
    </row>
    <row r="1823" spans="1:10" x14ac:dyDescent="0.25">
      <c r="A1823" s="28"/>
      <c r="B1823" s="180"/>
      <c r="C1823" s="35"/>
      <c r="D1823" s="36"/>
      <c r="E1823" s="36"/>
      <c r="F1823" s="142"/>
      <c r="G1823" s="142"/>
      <c r="H1823" s="142"/>
      <c r="I1823" s="142"/>
      <c r="J1823" s="142"/>
    </row>
    <row r="1824" spans="1:10" x14ac:dyDescent="0.25">
      <c r="A1824" s="28"/>
      <c r="B1824" s="180"/>
      <c r="C1824" s="35"/>
      <c r="D1824" s="36"/>
      <c r="E1824" s="36"/>
      <c r="F1824" s="142"/>
      <c r="G1824" s="142"/>
      <c r="H1824" s="142"/>
      <c r="I1824" s="142"/>
      <c r="J1824" s="142"/>
    </row>
    <row r="1825" spans="1:10" x14ac:dyDescent="0.25">
      <c r="A1825" s="28"/>
      <c r="B1825" s="180"/>
      <c r="C1825" s="35"/>
      <c r="D1825" s="36"/>
      <c r="E1825" s="36"/>
      <c r="F1825" s="142"/>
      <c r="G1825" s="142"/>
      <c r="H1825" s="142"/>
      <c r="I1825" s="142"/>
      <c r="J1825" s="142"/>
    </row>
    <row r="1826" spans="1:10" x14ac:dyDescent="0.25">
      <c r="A1826" s="28"/>
      <c r="B1826" s="180"/>
      <c r="C1826" s="35"/>
      <c r="D1826" s="36"/>
      <c r="E1826" s="36"/>
      <c r="F1826" s="142"/>
      <c r="G1826" s="142"/>
      <c r="H1826" s="142"/>
      <c r="I1826" s="142"/>
      <c r="J1826" s="142"/>
    </row>
    <row r="1827" spans="1:10" x14ac:dyDescent="0.25">
      <c r="A1827" s="28"/>
      <c r="B1827" s="180"/>
      <c r="C1827" s="35"/>
      <c r="D1827" s="36"/>
      <c r="E1827" s="36"/>
      <c r="F1827" s="142"/>
      <c r="G1827" s="142"/>
      <c r="H1827" s="142"/>
      <c r="I1827" s="142"/>
      <c r="J1827" s="142"/>
    </row>
    <row r="1828" spans="1:10" x14ac:dyDescent="0.25">
      <c r="A1828" s="28"/>
      <c r="B1828" s="180"/>
      <c r="C1828" s="35"/>
      <c r="D1828" s="36"/>
      <c r="E1828" s="36"/>
      <c r="F1828" s="142"/>
      <c r="G1828" s="142"/>
      <c r="H1828" s="142"/>
      <c r="I1828" s="142"/>
      <c r="J1828" s="142"/>
    </row>
    <row r="1829" spans="1:10" x14ac:dyDescent="0.25">
      <c r="A1829" s="28"/>
      <c r="B1829" s="180"/>
      <c r="C1829" s="35"/>
      <c r="D1829" s="36"/>
      <c r="E1829" s="36"/>
      <c r="F1829" s="142"/>
      <c r="G1829" s="142"/>
      <c r="H1829" s="142"/>
      <c r="I1829" s="142"/>
      <c r="J1829" s="142"/>
    </row>
    <row r="1830" spans="1:10" x14ac:dyDescent="0.25">
      <c r="A1830" s="28"/>
      <c r="B1830" s="180"/>
      <c r="C1830" s="35"/>
      <c r="D1830" s="36"/>
      <c r="E1830" s="36"/>
      <c r="F1830" s="142"/>
      <c r="G1830" s="142"/>
      <c r="H1830" s="142"/>
      <c r="I1830" s="142"/>
      <c r="J1830" s="142"/>
    </row>
    <row r="1831" spans="1:10" x14ac:dyDescent="0.25">
      <c r="A1831" s="28"/>
      <c r="B1831" s="180"/>
      <c r="C1831" s="35"/>
      <c r="D1831" s="36"/>
      <c r="E1831" s="36"/>
      <c r="F1831" s="142"/>
      <c r="G1831" s="142"/>
      <c r="H1831" s="142"/>
      <c r="I1831" s="142"/>
      <c r="J1831" s="142"/>
    </row>
    <row r="1832" spans="1:10" x14ac:dyDescent="0.25">
      <c r="A1832" s="28"/>
      <c r="B1832" s="180"/>
      <c r="C1832" s="35"/>
      <c r="D1832" s="36"/>
      <c r="E1832" s="36"/>
      <c r="F1832" s="142"/>
      <c r="G1832" s="142"/>
      <c r="H1832" s="142"/>
      <c r="I1832" s="142"/>
      <c r="J1832" s="142"/>
    </row>
    <row r="1833" spans="1:10" x14ac:dyDescent="0.25">
      <c r="A1833" s="28"/>
      <c r="B1833" s="180"/>
      <c r="C1833" s="35"/>
      <c r="D1833" s="36"/>
      <c r="E1833" s="36"/>
      <c r="F1833" s="142"/>
      <c r="G1833" s="142"/>
      <c r="H1833" s="142"/>
      <c r="I1833" s="142"/>
      <c r="J1833" s="142"/>
    </row>
    <row r="1834" spans="1:10" x14ac:dyDescent="0.25">
      <c r="A1834" s="28"/>
      <c r="B1834" s="180"/>
      <c r="C1834" s="35"/>
      <c r="D1834" s="36"/>
      <c r="E1834" s="36"/>
      <c r="F1834" s="142"/>
      <c r="G1834" s="142"/>
      <c r="H1834" s="142"/>
      <c r="I1834" s="142"/>
      <c r="J1834" s="142"/>
    </row>
    <row r="1835" spans="1:10" x14ac:dyDescent="0.25">
      <c r="A1835" s="28"/>
      <c r="B1835" s="180"/>
      <c r="C1835" s="35"/>
      <c r="D1835" s="36"/>
      <c r="E1835" s="36"/>
      <c r="F1835" s="142"/>
      <c r="G1835" s="142"/>
      <c r="H1835" s="142"/>
      <c r="I1835" s="142"/>
      <c r="J1835" s="142"/>
    </row>
    <row r="1836" spans="1:10" x14ac:dyDescent="0.25">
      <c r="A1836" s="28"/>
      <c r="B1836" s="180"/>
      <c r="C1836" s="35"/>
      <c r="D1836" s="36"/>
      <c r="E1836" s="36"/>
      <c r="F1836" s="142"/>
      <c r="G1836" s="142"/>
      <c r="H1836" s="142"/>
      <c r="I1836" s="142"/>
      <c r="J1836" s="142"/>
    </row>
    <row r="1837" spans="1:10" x14ac:dyDescent="0.25">
      <c r="A1837" s="28"/>
      <c r="B1837" s="180"/>
      <c r="C1837" s="35"/>
      <c r="D1837" s="36"/>
      <c r="E1837" s="36"/>
      <c r="F1837" s="142"/>
      <c r="G1837" s="142"/>
      <c r="H1837" s="142"/>
      <c r="I1837" s="142"/>
      <c r="J1837" s="142"/>
    </row>
    <row r="1838" spans="1:10" x14ac:dyDescent="0.25">
      <c r="A1838" s="28"/>
      <c r="B1838" s="180"/>
      <c r="C1838" s="35"/>
      <c r="D1838" s="36"/>
      <c r="E1838" s="36"/>
      <c r="F1838" s="142"/>
      <c r="G1838" s="142"/>
      <c r="H1838" s="142"/>
      <c r="I1838" s="142"/>
      <c r="J1838" s="142"/>
    </row>
    <row r="1839" spans="1:10" x14ac:dyDescent="0.25">
      <c r="A1839" s="28"/>
      <c r="B1839" s="180"/>
      <c r="C1839" s="35"/>
      <c r="D1839" s="36"/>
      <c r="E1839" s="36"/>
      <c r="F1839" s="142"/>
      <c r="G1839" s="142"/>
      <c r="H1839" s="142"/>
      <c r="I1839" s="142"/>
      <c r="J1839" s="142"/>
    </row>
    <row r="1840" spans="1:10" x14ac:dyDescent="0.25">
      <c r="A1840" s="28"/>
      <c r="B1840" s="180"/>
      <c r="C1840" s="35"/>
      <c r="D1840" s="36"/>
      <c r="E1840" s="36"/>
      <c r="F1840" s="142"/>
      <c r="G1840" s="142"/>
      <c r="H1840" s="142"/>
      <c r="I1840" s="142"/>
      <c r="J1840" s="142"/>
    </row>
    <row r="1841" spans="1:10" x14ac:dyDescent="0.25">
      <c r="A1841" s="28"/>
      <c r="B1841" s="180"/>
      <c r="C1841" s="35"/>
      <c r="D1841" s="36"/>
      <c r="E1841" s="36"/>
      <c r="F1841" s="142"/>
      <c r="G1841" s="142"/>
      <c r="H1841" s="142"/>
      <c r="I1841" s="142"/>
      <c r="J1841" s="142"/>
    </row>
    <row r="1842" spans="1:10" x14ac:dyDescent="0.25">
      <c r="A1842" s="28"/>
      <c r="B1842" s="180"/>
      <c r="C1842" s="35"/>
      <c r="D1842" s="36"/>
      <c r="E1842" s="36"/>
      <c r="F1842" s="142"/>
      <c r="G1842" s="142"/>
      <c r="H1842" s="142"/>
      <c r="I1842" s="142"/>
      <c r="J1842" s="142"/>
    </row>
    <row r="1843" spans="1:10" x14ac:dyDescent="0.25">
      <c r="A1843" s="28"/>
      <c r="B1843" s="180"/>
      <c r="C1843" s="35"/>
      <c r="D1843" s="36"/>
      <c r="E1843" s="36"/>
      <c r="F1843" s="142"/>
      <c r="G1843" s="142"/>
      <c r="H1843" s="142"/>
      <c r="I1843" s="142"/>
      <c r="J1843" s="142"/>
    </row>
    <row r="1844" spans="1:10" x14ac:dyDescent="0.25">
      <c r="A1844" s="28"/>
      <c r="B1844" s="180"/>
      <c r="C1844" s="35"/>
      <c r="D1844" s="36"/>
      <c r="E1844" s="36"/>
      <c r="F1844" s="142"/>
      <c r="G1844" s="142"/>
      <c r="H1844" s="142"/>
      <c r="I1844" s="142"/>
      <c r="J1844" s="142"/>
    </row>
    <row r="1845" spans="1:10" x14ac:dyDescent="0.25">
      <c r="A1845" s="28"/>
      <c r="B1845" s="180"/>
      <c r="C1845" s="35"/>
      <c r="D1845" s="36"/>
      <c r="E1845" s="36"/>
      <c r="F1845" s="142"/>
      <c r="G1845" s="142"/>
      <c r="H1845" s="142"/>
      <c r="I1845" s="142"/>
      <c r="J1845" s="142"/>
    </row>
    <row r="1846" spans="1:10" x14ac:dyDescent="0.25">
      <c r="A1846" s="28"/>
      <c r="B1846" s="180"/>
      <c r="C1846" s="35"/>
      <c r="D1846" s="36"/>
      <c r="E1846" s="36"/>
      <c r="F1846" s="142"/>
      <c r="G1846" s="142"/>
      <c r="H1846" s="142"/>
      <c r="I1846" s="142"/>
      <c r="J1846" s="142"/>
    </row>
    <row r="1847" spans="1:10" x14ac:dyDescent="0.25">
      <c r="A1847" s="28"/>
      <c r="B1847" s="180"/>
      <c r="C1847" s="35"/>
      <c r="D1847" s="36"/>
      <c r="E1847" s="36"/>
      <c r="F1847" s="142"/>
      <c r="G1847" s="142"/>
      <c r="H1847" s="142"/>
      <c r="I1847" s="142"/>
      <c r="J1847" s="142"/>
    </row>
    <row r="1848" spans="1:10" x14ac:dyDescent="0.25">
      <c r="A1848" s="28"/>
      <c r="B1848" s="180"/>
      <c r="C1848" s="35"/>
      <c r="D1848" s="36"/>
      <c r="E1848" s="36"/>
      <c r="F1848" s="142"/>
      <c r="G1848" s="142"/>
      <c r="H1848" s="142"/>
      <c r="I1848" s="142"/>
      <c r="J1848" s="142"/>
    </row>
    <row r="1849" spans="1:10" x14ac:dyDescent="0.25">
      <c r="A1849" s="28"/>
      <c r="B1849" s="180"/>
      <c r="C1849" s="35"/>
      <c r="D1849" s="36"/>
      <c r="E1849" s="36"/>
      <c r="F1849" s="142"/>
      <c r="G1849" s="142"/>
      <c r="H1849" s="142"/>
      <c r="I1849" s="142"/>
      <c r="J1849" s="142"/>
    </row>
    <row r="1850" spans="1:10" x14ac:dyDescent="0.25">
      <c r="A1850" s="28"/>
      <c r="B1850" s="180"/>
      <c r="C1850" s="35"/>
      <c r="D1850" s="36"/>
      <c r="E1850" s="36"/>
      <c r="F1850" s="142"/>
      <c r="G1850" s="142"/>
      <c r="H1850" s="142"/>
      <c r="I1850" s="142"/>
      <c r="J1850" s="142"/>
    </row>
    <row r="1851" spans="1:10" x14ac:dyDescent="0.25">
      <c r="A1851" s="28"/>
      <c r="B1851" s="180"/>
      <c r="C1851" s="35"/>
      <c r="D1851" s="36"/>
      <c r="E1851" s="36"/>
      <c r="F1851" s="142"/>
      <c r="G1851" s="142"/>
      <c r="H1851" s="142"/>
      <c r="I1851" s="142"/>
      <c r="J1851" s="142"/>
    </row>
    <row r="1852" spans="1:10" x14ac:dyDescent="0.25">
      <c r="A1852" s="28"/>
      <c r="B1852" s="180"/>
      <c r="C1852" s="35"/>
      <c r="D1852" s="36"/>
      <c r="E1852" s="36"/>
      <c r="F1852" s="142"/>
      <c r="G1852" s="142"/>
      <c r="H1852" s="142"/>
      <c r="I1852" s="142"/>
      <c r="J1852" s="142"/>
    </row>
    <row r="1853" spans="1:10" x14ac:dyDescent="0.25">
      <c r="A1853" s="28"/>
      <c r="B1853" s="180"/>
      <c r="C1853" s="35"/>
      <c r="D1853" s="36"/>
      <c r="E1853" s="36"/>
      <c r="F1853" s="142"/>
      <c r="G1853" s="142"/>
      <c r="H1853" s="142"/>
      <c r="I1853" s="142"/>
      <c r="J1853" s="142"/>
    </row>
    <row r="1854" spans="1:10" x14ac:dyDescent="0.25">
      <c r="A1854" s="28"/>
      <c r="B1854" s="180"/>
      <c r="C1854" s="35"/>
      <c r="D1854" s="36"/>
      <c r="E1854" s="36"/>
      <c r="F1854" s="142"/>
      <c r="G1854" s="142"/>
      <c r="H1854" s="142"/>
      <c r="I1854" s="142"/>
      <c r="J1854" s="142"/>
    </row>
    <row r="1855" spans="1:10" x14ac:dyDescent="0.25">
      <c r="A1855" s="28"/>
      <c r="B1855" s="180"/>
      <c r="C1855" s="35"/>
      <c r="D1855" s="36"/>
      <c r="E1855" s="36"/>
      <c r="F1855" s="142"/>
      <c r="G1855" s="142"/>
      <c r="H1855" s="142"/>
      <c r="I1855" s="142"/>
      <c r="J1855" s="142"/>
    </row>
    <row r="1856" spans="1:10" x14ac:dyDescent="0.25">
      <c r="A1856" s="28"/>
      <c r="B1856" s="180"/>
      <c r="C1856" s="35"/>
      <c r="D1856" s="36"/>
      <c r="E1856" s="36"/>
      <c r="F1856" s="142"/>
      <c r="G1856" s="142"/>
      <c r="H1856" s="142"/>
      <c r="I1856" s="142"/>
      <c r="J1856" s="142"/>
    </row>
    <row r="1857" spans="1:10" x14ac:dyDescent="0.25">
      <c r="A1857" s="28"/>
      <c r="B1857" s="180"/>
      <c r="C1857" s="35"/>
      <c r="D1857" s="36"/>
      <c r="E1857" s="36"/>
      <c r="F1857" s="142"/>
      <c r="G1857" s="142"/>
      <c r="H1857" s="142"/>
      <c r="I1857" s="142"/>
      <c r="J1857" s="142"/>
    </row>
    <row r="1858" spans="1:10" x14ac:dyDescent="0.25">
      <c r="A1858" s="28"/>
      <c r="B1858" s="180"/>
      <c r="C1858" s="35"/>
      <c r="D1858" s="36"/>
      <c r="E1858" s="36"/>
      <c r="F1858" s="142"/>
      <c r="G1858" s="142"/>
      <c r="H1858" s="142"/>
      <c r="I1858" s="142"/>
      <c r="J1858" s="142"/>
    </row>
    <row r="1859" spans="1:10" x14ac:dyDescent="0.25">
      <c r="A1859" s="28"/>
      <c r="B1859" s="180"/>
      <c r="C1859" s="35"/>
      <c r="D1859" s="36"/>
      <c r="E1859" s="36"/>
      <c r="F1859" s="142"/>
      <c r="G1859" s="142"/>
      <c r="H1859" s="142"/>
      <c r="I1859" s="142"/>
      <c r="J1859" s="142"/>
    </row>
    <row r="1860" spans="1:10" x14ac:dyDescent="0.25">
      <c r="A1860" s="28"/>
      <c r="B1860" s="180"/>
      <c r="C1860" s="35"/>
      <c r="D1860" s="36"/>
      <c r="E1860" s="36"/>
      <c r="F1860" s="142"/>
      <c r="G1860" s="142"/>
      <c r="H1860" s="142"/>
      <c r="I1860" s="142"/>
      <c r="J1860" s="142"/>
    </row>
    <row r="1861" spans="1:10" x14ac:dyDescent="0.25">
      <c r="A1861" s="28"/>
      <c r="B1861" s="180"/>
      <c r="C1861" s="35"/>
      <c r="D1861" s="36"/>
      <c r="E1861" s="36"/>
      <c r="F1861" s="142"/>
      <c r="G1861" s="142"/>
      <c r="H1861" s="142"/>
      <c r="I1861" s="142"/>
      <c r="J1861" s="142"/>
    </row>
    <row r="1862" spans="1:10" x14ac:dyDescent="0.25">
      <c r="A1862" s="28"/>
      <c r="B1862" s="180"/>
      <c r="C1862" s="35"/>
      <c r="D1862" s="36"/>
      <c r="E1862" s="36"/>
      <c r="F1862" s="142"/>
      <c r="G1862" s="142"/>
      <c r="H1862" s="142"/>
      <c r="I1862" s="142"/>
      <c r="J1862" s="142"/>
    </row>
    <row r="1863" spans="1:10" x14ac:dyDescent="0.25">
      <c r="A1863" s="28"/>
      <c r="B1863" s="180"/>
      <c r="C1863" s="35"/>
      <c r="D1863" s="36"/>
      <c r="E1863" s="36"/>
      <c r="F1863" s="142"/>
      <c r="G1863" s="142"/>
      <c r="H1863" s="142"/>
      <c r="I1863" s="142"/>
      <c r="J1863" s="142"/>
    </row>
    <row r="1864" spans="1:10" x14ac:dyDescent="0.25">
      <c r="A1864" s="28"/>
      <c r="B1864" s="180"/>
      <c r="C1864" s="35"/>
      <c r="D1864" s="36"/>
      <c r="E1864" s="36"/>
      <c r="F1864" s="142"/>
      <c r="G1864" s="142"/>
      <c r="H1864" s="142"/>
      <c r="I1864" s="142"/>
      <c r="J1864" s="142"/>
    </row>
    <row r="1865" spans="1:10" x14ac:dyDescent="0.25">
      <c r="A1865" s="28"/>
      <c r="B1865" s="180"/>
      <c r="C1865" s="35"/>
      <c r="D1865" s="36"/>
      <c r="E1865" s="36"/>
      <c r="F1865" s="142"/>
      <c r="G1865" s="142"/>
      <c r="H1865" s="142"/>
      <c r="I1865" s="142"/>
      <c r="J1865" s="142"/>
    </row>
    <row r="1866" spans="1:10" x14ac:dyDescent="0.25">
      <c r="A1866" s="28"/>
      <c r="B1866" s="180"/>
      <c r="C1866" s="35"/>
      <c r="D1866" s="36"/>
      <c r="E1866" s="36"/>
      <c r="F1866" s="142"/>
      <c r="G1866" s="142"/>
      <c r="H1866" s="142"/>
      <c r="I1866" s="142"/>
      <c r="J1866" s="142"/>
    </row>
    <row r="1867" spans="1:10" x14ac:dyDescent="0.25">
      <c r="A1867" s="28"/>
      <c r="B1867" s="180"/>
      <c r="C1867" s="35"/>
      <c r="D1867" s="36"/>
      <c r="E1867" s="36"/>
      <c r="F1867" s="142"/>
      <c r="G1867" s="142"/>
      <c r="H1867" s="142"/>
      <c r="I1867" s="142"/>
      <c r="J1867" s="142"/>
    </row>
    <row r="1868" spans="1:10" x14ac:dyDescent="0.25">
      <c r="A1868" s="28"/>
      <c r="B1868" s="180"/>
      <c r="C1868" s="35"/>
      <c r="D1868" s="36"/>
      <c r="E1868" s="36"/>
      <c r="F1868" s="142"/>
      <c r="G1868" s="142"/>
      <c r="H1868" s="142"/>
      <c r="I1868" s="142"/>
      <c r="J1868" s="142"/>
    </row>
    <row r="1869" spans="1:10" x14ac:dyDescent="0.25">
      <c r="A1869" s="28"/>
      <c r="B1869" s="180"/>
      <c r="C1869" s="35"/>
      <c r="D1869" s="36"/>
      <c r="E1869" s="36"/>
      <c r="F1869" s="142"/>
      <c r="G1869" s="142"/>
      <c r="H1869" s="142"/>
      <c r="I1869" s="142"/>
      <c r="J1869" s="142"/>
    </row>
    <row r="1870" spans="1:10" x14ac:dyDescent="0.25">
      <c r="A1870" s="28"/>
      <c r="B1870" s="180"/>
      <c r="C1870" s="35"/>
      <c r="D1870" s="36"/>
      <c r="E1870" s="36"/>
      <c r="F1870" s="142"/>
      <c r="G1870" s="142"/>
      <c r="H1870" s="142"/>
      <c r="I1870" s="142"/>
      <c r="J1870" s="142"/>
    </row>
    <row r="1871" spans="1:10" x14ac:dyDescent="0.25">
      <c r="A1871" s="28"/>
      <c r="B1871" s="180"/>
      <c r="C1871" s="35"/>
      <c r="D1871" s="36"/>
      <c r="E1871" s="36"/>
      <c r="F1871" s="142"/>
      <c r="G1871" s="142"/>
      <c r="H1871" s="142"/>
      <c r="I1871" s="142"/>
      <c r="J1871" s="142"/>
    </row>
    <row r="1872" spans="1:10" x14ac:dyDescent="0.25">
      <c r="A1872" s="28"/>
      <c r="B1872" s="180"/>
      <c r="C1872" s="35"/>
      <c r="D1872" s="36"/>
      <c r="E1872" s="36"/>
      <c r="F1872" s="142"/>
      <c r="G1872" s="142"/>
      <c r="H1872" s="142"/>
      <c r="I1872" s="142"/>
      <c r="J1872" s="142"/>
    </row>
    <row r="1873" spans="1:10" x14ac:dyDescent="0.25">
      <c r="A1873" s="28"/>
      <c r="B1873" s="180"/>
      <c r="C1873" s="35"/>
      <c r="D1873" s="36"/>
      <c r="E1873" s="36"/>
      <c r="F1873" s="142"/>
      <c r="G1873" s="142"/>
      <c r="H1873" s="142"/>
      <c r="I1873" s="142"/>
      <c r="J1873" s="142"/>
    </row>
    <row r="1874" spans="1:10" x14ac:dyDescent="0.25">
      <c r="A1874" s="28"/>
      <c r="B1874" s="180"/>
      <c r="C1874" s="35"/>
      <c r="D1874" s="36"/>
      <c r="E1874" s="36"/>
      <c r="F1874" s="142"/>
      <c r="G1874" s="142"/>
      <c r="H1874" s="142"/>
      <c r="I1874" s="142"/>
      <c r="J1874" s="142"/>
    </row>
    <row r="1875" spans="1:10" x14ac:dyDescent="0.25">
      <c r="A1875" s="28"/>
      <c r="B1875" s="180"/>
      <c r="C1875" s="35"/>
      <c r="D1875" s="36"/>
      <c r="E1875" s="36"/>
      <c r="F1875" s="142"/>
      <c r="G1875" s="142"/>
      <c r="H1875" s="142"/>
      <c r="I1875" s="142"/>
      <c r="J1875" s="142"/>
    </row>
    <row r="1876" spans="1:10" x14ac:dyDescent="0.25">
      <c r="A1876" s="28"/>
      <c r="B1876" s="180"/>
      <c r="C1876" s="35"/>
      <c r="D1876" s="36"/>
      <c r="E1876" s="36"/>
      <c r="F1876" s="142"/>
      <c r="G1876" s="142"/>
      <c r="H1876" s="142"/>
      <c r="I1876" s="142"/>
      <c r="J1876" s="142"/>
    </row>
    <row r="1877" spans="1:10" x14ac:dyDescent="0.25">
      <c r="A1877" s="28"/>
      <c r="B1877" s="180"/>
      <c r="C1877" s="35"/>
      <c r="D1877" s="36"/>
      <c r="E1877" s="36"/>
      <c r="F1877" s="142"/>
      <c r="G1877" s="142"/>
      <c r="H1877" s="142"/>
      <c r="I1877" s="142"/>
      <c r="J1877" s="142"/>
    </row>
    <row r="1878" spans="1:10" x14ac:dyDescent="0.25">
      <c r="A1878" s="28"/>
      <c r="B1878" s="180"/>
      <c r="C1878" s="35"/>
      <c r="D1878" s="36"/>
      <c r="E1878" s="36"/>
      <c r="F1878" s="142"/>
      <c r="G1878" s="142"/>
      <c r="H1878" s="142"/>
      <c r="I1878" s="142"/>
      <c r="J1878" s="142"/>
    </row>
    <row r="1879" spans="1:10" x14ac:dyDescent="0.25">
      <c r="A1879" s="28"/>
      <c r="B1879" s="180"/>
      <c r="C1879" s="35"/>
      <c r="D1879" s="36"/>
      <c r="E1879" s="36"/>
      <c r="F1879" s="142"/>
      <c r="G1879" s="142"/>
      <c r="H1879" s="142"/>
      <c r="I1879" s="142"/>
      <c r="J1879" s="142"/>
    </row>
    <row r="1880" spans="1:10" x14ac:dyDescent="0.25">
      <c r="A1880" s="28"/>
      <c r="B1880" s="180"/>
      <c r="C1880" s="35"/>
      <c r="D1880" s="36"/>
      <c r="E1880" s="36"/>
      <c r="F1880" s="142"/>
      <c r="G1880" s="142"/>
      <c r="H1880" s="142"/>
      <c r="I1880" s="142"/>
      <c r="J1880" s="142"/>
    </row>
    <row r="1881" spans="1:10" x14ac:dyDescent="0.25">
      <c r="A1881" s="28"/>
      <c r="B1881" s="180"/>
      <c r="C1881" s="35"/>
      <c r="D1881" s="36"/>
      <c r="E1881" s="36"/>
      <c r="F1881" s="142"/>
      <c r="G1881" s="142"/>
      <c r="H1881" s="142"/>
      <c r="I1881" s="142"/>
      <c r="J1881" s="142"/>
    </row>
    <row r="1882" spans="1:10" x14ac:dyDescent="0.25">
      <c r="A1882" s="28"/>
      <c r="B1882" s="180"/>
      <c r="C1882" s="35"/>
      <c r="D1882" s="36"/>
      <c r="E1882" s="36"/>
      <c r="F1882" s="142"/>
      <c r="G1882" s="142"/>
      <c r="H1882" s="142"/>
      <c r="I1882" s="142"/>
      <c r="J1882" s="142"/>
    </row>
    <row r="1883" spans="1:10" x14ac:dyDescent="0.25">
      <c r="A1883" s="28"/>
      <c r="B1883" s="180"/>
      <c r="C1883" s="35"/>
      <c r="D1883" s="36"/>
      <c r="E1883" s="36"/>
      <c r="F1883" s="142"/>
      <c r="G1883" s="142"/>
      <c r="H1883" s="142"/>
      <c r="I1883" s="142"/>
      <c r="J1883" s="142"/>
    </row>
    <row r="1884" spans="1:10" x14ac:dyDescent="0.25">
      <c r="A1884" s="28"/>
      <c r="B1884" s="180"/>
      <c r="C1884" s="35"/>
      <c r="D1884" s="36"/>
      <c r="E1884" s="36"/>
      <c r="F1884" s="142"/>
      <c r="G1884" s="142"/>
      <c r="H1884" s="142"/>
      <c r="I1884" s="142"/>
      <c r="J1884" s="142"/>
    </row>
    <row r="1885" spans="1:10" x14ac:dyDescent="0.25">
      <c r="A1885" s="28"/>
      <c r="B1885" s="180"/>
      <c r="C1885" s="35"/>
      <c r="D1885" s="36"/>
      <c r="E1885" s="36"/>
      <c r="F1885" s="142"/>
      <c r="G1885" s="142"/>
      <c r="H1885" s="142"/>
      <c r="I1885" s="142"/>
      <c r="J1885" s="142"/>
    </row>
    <row r="1886" spans="1:10" x14ac:dyDescent="0.25">
      <c r="A1886" s="28"/>
      <c r="B1886" s="180"/>
      <c r="C1886" s="35"/>
      <c r="D1886" s="36"/>
      <c r="E1886" s="36"/>
      <c r="F1886" s="142"/>
      <c r="G1886" s="142"/>
      <c r="H1886" s="142"/>
      <c r="I1886" s="142"/>
      <c r="J1886" s="142"/>
    </row>
    <row r="1887" spans="1:10" x14ac:dyDescent="0.25">
      <c r="A1887" s="28"/>
      <c r="B1887" s="180"/>
      <c r="C1887" s="35"/>
      <c r="D1887" s="36"/>
      <c r="E1887" s="36"/>
      <c r="F1887" s="142"/>
      <c r="G1887" s="142"/>
      <c r="H1887" s="142"/>
      <c r="I1887" s="142"/>
      <c r="J1887" s="142"/>
    </row>
    <row r="1888" spans="1:10" x14ac:dyDescent="0.25">
      <c r="A1888" s="28"/>
      <c r="B1888" s="180"/>
      <c r="C1888" s="35"/>
      <c r="D1888" s="36"/>
      <c r="E1888" s="36"/>
      <c r="F1888" s="142"/>
      <c r="G1888" s="142"/>
      <c r="H1888" s="142"/>
      <c r="I1888" s="142"/>
      <c r="J1888" s="142"/>
    </row>
    <row r="1889" spans="1:10" x14ac:dyDescent="0.25">
      <c r="A1889" s="28"/>
      <c r="B1889" s="180"/>
      <c r="C1889" s="35"/>
      <c r="D1889" s="36"/>
      <c r="E1889" s="36"/>
      <c r="F1889" s="142"/>
      <c r="G1889" s="142"/>
      <c r="H1889" s="142"/>
      <c r="I1889" s="142"/>
      <c r="J1889" s="142"/>
    </row>
    <row r="1890" spans="1:10" x14ac:dyDescent="0.25">
      <c r="A1890" s="28"/>
      <c r="B1890" s="180"/>
      <c r="C1890" s="35"/>
      <c r="D1890" s="36"/>
      <c r="E1890" s="36"/>
      <c r="F1890" s="142"/>
      <c r="G1890" s="142"/>
      <c r="H1890" s="142"/>
      <c r="I1890" s="142"/>
      <c r="J1890" s="142"/>
    </row>
    <row r="1891" spans="1:10" x14ac:dyDescent="0.25">
      <c r="A1891" s="28"/>
      <c r="B1891" s="180"/>
      <c r="C1891" s="35"/>
      <c r="D1891" s="36"/>
      <c r="E1891" s="36"/>
      <c r="F1891" s="142"/>
      <c r="G1891" s="142"/>
      <c r="H1891" s="142"/>
      <c r="I1891" s="142"/>
      <c r="J1891" s="142"/>
    </row>
    <row r="1892" spans="1:10" x14ac:dyDescent="0.25">
      <c r="A1892" s="28"/>
      <c r="B1892" s="180"/>
      <c r="C1892" s="35"/>
      <c r="D1892" s="36"/>
      <c r="E1892" s="36"/>
      <c r="F1892" s="142"/>
      <c r="G1892" s="142"/>
      <c r="H1892" s="142"/>
      <c r="I1892" s="142"/>
      <c r="J1892" s="142"/>
    </row>
    <row r="1893" spans="1:10" x14ac:dyDescent="0.25">
      <c r="A1893" s="28"/>
      <c r="B1893" s="180"/>
      <c r="C1893" s="35"/>
      <c r="D1893" s="36"/>
      <c r="E1893" s="36"/>
      <c r="F1893" s="142"/>
      <c r="G1893" s="142"/>
      <c r="H1893" s="142"/>
      <c r="I1893" s="142"/>
      <c r="J1893" s="142"/>
    </row>
    <row r="1894" spans="1:10" x14ac:dyDescent="0.25">
      <c r="A1894" s="28"/>
      <c r="B1894" s="180"/>
      <c r="C1894" s="35"/>
      <c r="D1894" s="36"/>
      <c r="E1894" s="36"/>
      <c r="F1894" s="142"/>
      <c r="G1894" s="142"/>
      <c r="H1894" s="142"/>
      <c r="I1894" s="142"/>
      <c r="J1894" s="142"/>
    </row>
    <row r="1895" spans="1:10" x14ac:dyDescent="0.25">
      <c r="A1895" s="28"/>
      <c r="B1895" s="180"/>
      <c r="C1895" s="35"/>
      <c r="D1895" s="36"/>
      <c r="E1895" s="36"/>
      <c r="F1895" s="142"/>
      <c r="G1895" s="142"/>
      <c r="H1895" s="142"/>
      <c r="I1895" s="142"/>
      <c r="J1895" s="142"/>
    </row>
    <row r="1896" spans="1:10" x14ac:dyDescent="0.25">
      <c r="A1896" s="28"/>
      <c r="B1896" s="180"/>
      <c r="C1896" s="35"/>
      <c r="D1896" s="36"/>
      <c r="E1896" s="36"/>
      <c r="F1896" s="142"/>
      <c r="G1896" s="142"/>
      <c r="H1896" s="142"/>
      <c r="I1896" s="142"/>
      <c r="J1896" s="142"/>
    </row>
    <row r="1897" spans="1:10" x14ac:dyDescent="0.25">
      <c r="A1897" s="28"/>
      <c r="B1897" s="180"/>
      <c r="C1897" s="35"/>
      <c r="D1897" s="36"/>
      <c r="E1897" s="36"/>
      <c r="F1897" s="142"/>
      <c r="G1897" s="142"/>
      <c r="H1897" s="142"/>
      <c r="I1897" s="142"/>
      <c r="J1897" s="142"/>
    </row>
    <row r="1898" spans="1:10" x14ac:dyDescent="0.25">
      <c r="A1898" s="28"/>
      <c r="B1898" s="180"/>
      <c r="C1898" s="35"/>
      <c r="D1898" s="36"/>
      <c r="E1898" s="36"/>
      <c r="F1898" s="142"/>
      <c r="G1898" s="142"/>
      <c r="H1898" s="142"/>
      <c r="I1898" s="142"/>
      <c r="J1898" s="142"/>
    </row>
    <row r="1899" spans="1:10" x14ac:dyDescent="0.25">
      <c r="A1899" s="28"/>
      <c r="B1899" s="180"/>
      <c r="C1899" s="35"/>
      <c r="D1899" s="36"/>
      <c r="E1899" s="36"/>
      <c r="F1899" s="142"/>
      <c r="G1899" s="142"/>
      <c r="H1899" s="142"/>
      <c r="I1899" s="142"/>
      <c r="J1899" s="142"/>
    </row>
    <row r="1900" spans="1:10" x14ac:dyDescent="0.25">
      <c r="A1900" s="28"/>
      <c r="B1900" s="180"/>
      <c r="C1900" s="35"/>
      <c r="D1900" s="36"/>
      <c r="E1900" s="36"/>
      <c r="F1900" s="142"/>
      <c r="G1900" s="142"/>
      <c r="H1900" s="142"/>
      <c r="I1900" s="142"/>
      <c r="J1900" s="142"/>
    </row>
    <row r="1901" spans="1:10" x14ac:dyDescent="0.25">
      <c r="A1901" s="28"/>
      <c r="B1901" s="180"/>
      <c r="C1901" s="35"/>
      <c r="D1901" s="36"/>
      <c r="E1901" s="36"/>
      <c r="F1901" s="142"/>
      <c r="G1901" s="142"/>
      <c r="H1901" s="142"/>
      <c r="I1901" s="142"/>
      <c r="J1901" s="142"/>
    </row>
    <row r="1902" spans="1:10" x14ac:dyDescent="0.25">
      <c r="A1902" s="28"/>
      <c r="B1902" s="180"/>
      <c r="C1902" s="35"/>
      <c r="D1902" s="36"/>
      <c r="E1902" s="36"/>
      <c r="F1902" s="142"/>
      <c r="G1902" s="142"/>
      <c r="H1902" s="142"/>
      <c r="I1902" s="142"/>
      <c r="J1902" s="142"/>
    </row>
    <row r="1903" spans="1:10" x14ac:dyDescent="0.25">
      <c r="A1903" s="28"/>
      <c r="B1903" s="180"/>
      <c r="C1903" s="35"/>
      <c r="D1903" s="36"/>
      <c r="E1903" s="36"/>
      <c r="F1903" s="142"/>
      <c r="G1903" s="142"/>
      <c r="H1903" s="142"/>
      <c r="I1903" s="142"/>
      <c r="J1903" s="142"/>
    </row>
    <row r="1904" spans="1:10" x14ac:dyDescent="0.25">
      <c r="A1904" s="28"/>
      <c r="B1904" s="180"/>
      <c r="C1904" s="35"/>
      <c r="D1904" s="36"/>
      <c r="E1904" s="36"/>
      <c r="F1904" s="142"/>
      <c r="G1904" s="142"/>
      <c r="H1904" s="142"/>
      <c r="I1904" s="142"/>
      <c r="J1904" s="142"/>
    </row>
    <row r="1905" spans="1:10" x14ac:dyDescent="0.25">
      <c r="A1905" s="28"/>
      <c r="B1905" s="180"/>
      <c r="C1905" s="35"/>
      <c r="D1905" s="36"/>
      <c r="E1905" s="36"/>
      <c r="F1905" s="142"/>
      <c r="G1905" s="142"/>
      <c r="H1905" s="142"/>
      <c r="I1905" s="142"/>
      <c r="J1905" s="142"/>
    </row>
    <row r="1906" spans="1:10" x14ac:dyDescent="0.25">
      <c r="A1906" s="28"/>
      <c r="B1906" s="180"/>
      <c r="C1906" s="35"/>
      <c r="D1906" s="36"/>
      <c r="E1906" s="36"/>
      <c r="F1906" s="142"/>
      <c r="G1906" s="142"/>
      <c r="H1906" s="142"/>
      <c r="I1906" s="142"/>
      <c r="J1906" s="142"/>
    </row>
    <row r="1907" spans="1:10" x14ac:dyDescent="0.25">
      <c r="A1907" s="28"/>
      <c r="B1907" s="180"/>
      <c r="C1907" s="35"/>
      <c r="D1907" s="36"/>
      <c r="E1907" s="36"/>
      <c r="F1907" s="142"/>
      <c r="G1907" s="142"/>
      <c r="H1907" s="142"/>
      <c r="I1907" s="142"/>
      <c r="J1907" s="142"/>
    </row>
    <row r="1908" spans="1:10" x14ac:dyDescent="0.25">
      <c r="A1908" s="28"/>
      <c r="B1908" s="180"/>
      <c r="C1908" s="35"/>
      <c r="D1908" s="36"/>
      <c r="E1908" s="36"/>
      <c r="F1908" s="142"/>
      <c r="G1908" s="142"/>
      <c r="H1908" s="142"/>
      <c r="I1908" s="142"/>
      <c r="J1908" s="142"/>
    </row>
    <row r="1909" spans="1:10" x14ac:dyDescent="0.25">
      <c r="A1909" s="28"/>
      <c r="B1909" s="180"/>
      <c r="C1909" s="35"/>
      <c r="D1909" s="36"/>
      <c r="E1909" s="36"/>
      <c r="F1909" s="142"/>
      <c r="G1909" s="142"/>
      <c r="H1909" s="142"/>
      <c r="I1909" s="142"/>
      <c r="J1909" s="142"/>
    </row>
    <row r="1910" spans="1:10" x14ac:dyDescent="0.25">
      <c r="A1910" s="28"/>
      <c r="B1910" s="180"/>
      <c r="C1910" s="35"/>
      <c r="D1910" s="36"/>
      <c r="E1910" s="36"/>
      <c r="F1910" s="142"/>
      <c r="G1910" s="142"/>
      <c r="H1910" s="142"/>
      <c r="I1910" s="142"/>
      <c r="J1910" s="142"/>
    </row>
    <row r="1911" spans="1:10" x14ac:dyDescent="0.25">
      <c r="A1911" s="28"/>
      <c r="B1911" s="180"/>
      <c r="C1911" s="35"/>
      <c r="D1911" s="36"/>
      <c r="E1911" s="36"/>
      <c r="F1911" s="142"/>
      <c r="G1911" s="142"/>
      <c r="H1911" s="142"/>
      <c r="I1911" s="142"/>
      <c r="J1911" s="142"/>
    </row>
    <row r="1912" spans="1:10" x14ac:dyDescent="0.25">
      <c r="A1912" s="28"/>
      <c r="B1912" s="180"/>
      <c r="C1912" s="35"/>
      <c r="D1912" s="36"/>
      <c r="E1912" s="36"/>
      <c r="F1912" s="142"/>
      <c r="G1912" s="142"/>
      <c r="H1912" s="142"/>
      <c r="I1912" s="142"/>
      <c r="J1912" s="142"/>
    </row>
    <row r="1913" spans="1:10" x14ac:dyDescent="0.25">
      <c r="A1913" s="28"/>
      <c r="B1913" s="180"/>
      <c r="C1913" s="35"/>
      <c r="D1913" s="36"/>
      <c r="E1913" s="36"/>
      <c r="F1913" s="142"/>
      <c r="G1913" s="142"/>
      <c r="H1913" s="142"/>
      <c r="I1913" s="142"/>
      <c r="J1913" s="142"/>
    </row>
    <row r="1914" spans="1:10" x14ac:dyDescent="0.25">
      <c r="A1914" s="28"/>
      <c r="B1914" s="180"/>
      <c r="C1914" s="35"/>
      <c r="D1914" s="36"/>
      <c r="E1914" s="36"/>
      <c r="F1914" s="142"/>
      <c r="G1914" s="142"/>
      <c r="H1914" s="142"/>
      <c r="I1914" s="142"/>
      <c r="J1914" s="142"/>
    </row>
    <row r="1915" spans="1:10" x14ac:dyDescent="0.25">
      <c r="A1915" s="28"/>
      <c r="B1915" s="180"/>
      <c r="C1915" s="35"/>
      <c r="D1915" s="36"/>
      <c r="E1915" s="36"/>
      <c r="F1915" s="142"/>
      <c r="G1915" s="142"/>
      <c r="H1915" s="142"/>
      <c r="I1915" s="142"/>
      <c r="J1915" s="142"/>
    </row>
    <row r="1916" spans="1:10" x14ac:dyDescent="0.25">
      <c r="A1916" s="28"/>
      <c r="B1916" s="180"/>
      <c r="C1916" s="35"/>
      <c r="D1916" s="36"/>
      <c r="E1916" s="36"/>
      <c r="F1916" s="142"/>
      <c r="G1916" s="142"/>
      <c r="H1916" s="142"/>
      <c r="I1916" s="142"/>
      <c r="J1916" s="142"/>
    </row>
    <row r="1917" spans="1:10" x14ac:dyDescent="0.25">
      <c r="A1917" s="28"/>
      <c r="B1917" s="180"/>
      <c r="C1917" s="35"/>
      <c r="D1917" s="36"/>
      <c r="E1917" s="36"/>
      <c r="F1917" s="142"/>
      <c r="G1917" s="142"/>
      <c r="H1917" s="142"/>
      <c r="I1917" s="142"/>
      <c r="J1917" s="142"/>
    </row>
    <row r="1918" spans="1:10" x14ac:dyDescent="0.25">
      <c r="A1918" s="28"/>
      <c r="B1918" s="180"/>
      <c r="C1918" s="35"/>
      <c r="D1918" s="36"/>
      <c r="E1918" s="36"/>
      <c r="F1918" s="142"/>
      <c r="G1918" s="142"/>
      <c r="H1918" s="142"/>
      <c r="I1918" s="142"/>
      <c r="J1918" s="142"/>
    </row>
    <row r="1919" spans="1:10" x14ac:dyDescent="0.25">
      <c r="A1919" s="28"/>
      <c r="B1919" s="180"/>
      <c r="C1919" s="35"/>
      <c r="D1919" s="36"/>
      <c r="E1919" s="36"/>
      <c r="F1919" s="142"/>
      <c r="G1919" s="142"/>
      <c r="H1919" s="142"/>
      <c r="I1919" s="142"/>
      <c r="J1919" s="142"/>
    </row>
    <row r="1920" spans="1:10" x14ac:dyDescent="0.25">
      <c r="A1920" s="28"/>
      <c r="B1920" s="180"/>
      <c r="C1920" s="35"/>
      <c r="D1920" s="36"/>
      <c r="E1920" s="36"/>
      <c r="F1920" s="142"/>
      <c r="G1920" s="142"/>
      <c r="H1920" s="142"/>
      <c r="I1920" s="142"/>
      <c r="J1920" s="142"/>
    </row>
    <row r="1921" spans="1:10" x14ac:dyDescent="0.25">
      <c r="A1921" s="28"/>
      <c r="B1921" s="180"/>
      <c r="C1921" s="35"/>
      <c r="D1921" s="36"/>
      <c r="E1921" s="36"/>
      <c r="F1921" s="142"/>
      <c r="G1921" s="142"/>
      <c r="H1921" s="142"/>
      <c r="I1921" s="142"/>
      <c r="J1921" s="142"/>
    </row>
    <row r="1922" spans="1:10" x14ac:dyDescent="0.25">
      <c r="A1922" s="28"/>
      <c r="B1922" s="180"/>
      <c r="C1922" s="35"/>
      <c r="D1922" s="36"/>
      <c r="E1922" s="36"/>
      <c r="F1922" s="142"/>
      <c r="G1922" s="142"/>
      <c r="H1922" s="142"/>
      <c r="I1922" s="142"/>
      <c r="J1922" s="142"/>
    </row>
    <row r="1923" spans="1:10" x14ac:dyDescent="0.25">
      <c r="A1923" s="28"/>
      <c r="B1923" s="180"/>
      <c r="C1923" s="35"/>
      <c r="D1923" s="36"/>
      <c r="E1923" s="36"/>
      <c r="F1923" s="142"/>
      <c r="G1923" s="142"/>
      <c r="H1923" s="142"/>
      <c r="I1923" s="142"/>
      <c r="J1923" s="142"/>
    </row>
    <row r="1924" spans="1:10" x14ac:dyDescent="0.25">
      <c r="A1924" s="28"/>
      <c r="B1924" s="180"/>
      <c r="C1924" s="35"/>
      <c r="D1924" s="36"/>
      <c r="E1924" s="36"/>
      <c r="F1924" s="142"/>
      <c r="G1924" s="142"/>
      <c r="H1924" s="142"/>
      <c r="I1924" s="142"/>
      <c r="J1924" s="142"/>
    </row>
    <row r="1925" spans="1:10" x14ac:dyDescent="0.25">
      <c r="A1925" s="28"/>
      <c r="B1925" s="180"/>
      <c r="C1925" s="35"/>
      <c r="D1925" s="36"/>
      <c r="E1925" s="36"/>
      <c r="F1925" s="142"/>
      <c r="G1925" s="142"/>
      <c r="H1925" s="142"/>
      <c r="I1925" s="142"/>
      <c r="J1925" s="142"/>
    </row>
    <row r="1926" spans="1:10" x14ac:dyDescent="0.25">
      <c r="A1926" s="28"/>
      <c r="B1926" s="180"/>
      <c r="C1926" s="35"/>
      <c r="D1926" s="36"/>
      <c r="E1926" s="36"/>
      <c r="F1926" s="142"/>
      <c r="G1926" s="142"/>
      <c r="H1926" s="142"/>
      <c r="I1926" s="142"/>
      <c r="J1926" s="142"/>
    </row>
    <row r="1927" spans="1:10" x14ac:dyDescent="0.25">
      <c r="A1927" s="28"/>
      <c r="B1927" s="180"/>
      <c r="C1927" s="35"/>
      <c r="D1927" s="36"/>
      <c r="E1927" s="36"/>
      <c r="F1927" s="142"/>
      <c r="G1927" s="142"/>
      <c r="H1927" s="142"/>
      <c r="I1927" s="142"/>
      <c r="J1927" s="142"/>
    </row>
    <row r="1928" spans="1:10" x14ac:dyDescent="0.25">
      <c r="A1928" s="28"/>
      <c r="B1928" s="180"/>
      <c r="C1928" s="35"/>
      <c r="D1928" s="36"/>
      <c r="E1928" s="36"/>
      <c r="F1928" s="142"/>
      <c r="G1928" s="142"/>
      <c r="H1928" s="142"/>
      <c r="I1928" s="142"/>
      <c r="J1928" s="142"/>
    </row>
    <row r="1929" spans="1:10" x14ac:dyDescent="0.25">
      <c r="A1929" s="28"/>
      <c r="B1929" s="180"/>
      <c r="C1929" s="35"/>
      <c r="D1929" s="36"/>
      <c r="E1929" s="36"/>
      <c r="F1929" s="142"/>
      <c r="G1929" s="142"/>
      <c r="H1929" s="142"/>
      <c r="I1929" s="142"/>
      <c r="J1929" s="142"/>
    </row>
    <row r="1930" spans="1:10" x14ac:dyDescent="0.25">
      <c r="A1930" s="28"/>
      <c r="B1930" s="180"/>
      <c r="C1930" s="35"/>
      <c r="D1930" s="36"/>
      <c r="E1930" s="36"/>
      <c r="F1930" s="142"/>
      <c r="G1930" s="142"/>
      <c r="H1930" s="142"/>
      <c r="I1930" s="142"/>
      <c r="J1930" s="142"/>
    </row>
    <row r="1931" spans="1:10" x14ac:dyDescent="0.25">
      <c r="A1931" s="28"/>
      <c r="B1931" s="180"/>
      <c r="C1931" s="35"/>
      <c r="D1931" s="36"/>
      <c r="E1931" s="36"/>
      <c r="F1931" s="142"/>
      <c r="G1931" s="142"/>
      <c r="H1931" s="142"/>
      <c r="I1931" s="142"/>
      <c r="J1931" s="142"/>
    </row>
    <row r="1932" spans="1:10" x14ac:dyDescent="0.25">
      <c r="A1932" s="28"/>
      <c r="B1932" s="180"/>
      <c r="C1932" s="35"/>
      <c r="D1932" s="36"/>
      <c r="E1932" s="36"/>
      <c r="F1932" s="142"/>
      <c r="G1932" s="142"/>
      <c r="H1932" s="142"/>
      <c r="I1932" s="142"/>
      <c r="J1932" s="142"/>
    </row>
    <row r="1933" spans="1:10" x14ac:dyDescent="0.25">
      <c r="A1933" s="28"/>
      <c r="B1933" s="180"/>
      <c r="C1933" s="35"/>
      <c r="D1933" s="36"/>
      <c r="E1933" s="36"/>
      <c r="F1933" s="142"/>
      <c r="G1933" s="142"/>
      <c r="H1933" s="142"/>
      <c r="I1933" s="142"/>
      <c r="J1933" s="142"/>
    </row>
    <row r="1934" spans="1:10" x14ac:dyDescent="0.25">
      <c r="A1934" s="28"/>
      <c r="B1934" s="180"/>
      <c r="C1934" s="35"/>
      <c r="D1934" s="36"/>
      <c r="E1934" s="36"/>
      <c r="F1934" s="142"/>
      <c r="G1934" s="142"/>
      <c r="H1934" s="142"/>
      <c r="I1934" s="142"/>
      <c r="J1934" s="142"/>
    </row>
    <row r="1935" spans="1:10" x14ac:dyDescent="0.25">
      <c r="A1935" s="28"/>
      <c r="B1935" s="180"/>
      <c r="C1935" s="35"/>
      <c r="D1935" s="36"/>
      <c r="E1935" s="36"/>
      <c r="F1935" s="142"/>
      <c r="G1935" s="142"/>
      <c r="H1935" s="142"/>
      <c r="I1935" s="142"/>
      <c r="J1935" s="142"/>
    </row>
    <row r="1936" spans="1:10" x14ac:dyDescent="0.25">
      <c r="A1936" s="28"/>
      <c r="B1936" s="180"/>
      <c r="C1936" s="35"/>
      <c r="D1936" s="36"/>
      <c r="E1936" s="36"/>
      <c r="F1936" s="142"/>
      <c r="G1936" s="142"/>
      <c r="H1936" s="142"/>
      <c r="I1936" s="142"/>
      <c r="J1936" s="142"/>
    </row>
    <row r="1937" spans="1:10" x14ac:dyDescent="0.25">
      <c r="A1937" s="28"/>
      <c r="B1937" s="180"/>
      <c r="C1937" s="35"/>
      <c r="D1937" s="36"/>
      <c r="E1937" s="36"/>
      <c r="F1937" s="142"/>
      <c r="G1937" s="142"/>
      <c r="H1937" s="142"/>
      <c r="I1937" s="142"/>
      <c r="J1937" s="142"/>
    </row>
    <row r="1938" spans="1:10" x14ac:dyDescent="0.25">
      <c r="A1938" s="28"/>
      <c r="B1938" s="180"/>
      <c r="C1938" s="35"/>
      <c r="D1938" s="36"/>
      <c r="E1938" s="36"/>
      <c r="F1938" s="142"/>
      <c r="G1938" s="142"/>
      <c r="H1938" s="142"/>
      <c r="I1938" s="142"/>
      <c r="J1938" s="142"/>
    </row>
    <row r="1939" spans="1:10" x14ac:dyDescent="0.25">
      <c r="A1939" s="28"/>
      <c r="B1939" s="180"/>
      <c r="C1939" s="35"/>
      <c r="D1939" s="36"/>
      <c r="E1939" s="36"/>
      <c r="F1939" s="142"/>
      <c r="G1939" s="142"/>
      <c r="H1939" s="142"/>
      <c r="I1939" s="142"/>
      <c r="J1939" s="142"/>
    </row>
    <row r="1940" spans="1:10" x14ac:dyDescent="0.25">
      <c r="A1940" s="28"/>
      <c r="B1940" s="180"/>
      <c r="C1940" s="35"/>
      <c r="D1940" s="36"/>
      <c r="E1940" s="36"/>
      <c r="F1940" s="142"/>
      <c r="G1940" s="142"/>
      <c r="H1940" s="142"/>
      <c r="I1940" s="142"/>
      <c r="J1940" s="142"/>
    </row>
    <row r="1941" spans="1:10" x14ac:dyDescent="0.25">
      <c r="A1941" s="28"/>
      <c r="B1941" s="180"/>
      <c r="C1941" s="35"/>
      <c r="D1941" s="36"/>
      <c r="E1941" s="36"/>
      <c r="F1941" s="142"/>
      <c r="G1941" s="142"/>
      <c r="H1941" s="142"/>
      <c r="I1941" s="142"/>
      <c r="J1941" s="142"/>
    </row>
    <row r="1942" spans="1:10" x14ac:dyDescent="0.25">
      <c r="A1942" s="28"/>
      <c r="B1942" s="180"/>
      <c r="C1942" s="35"/>
      <c r="D1942" s="36"/>
      <c r="E1942" s="36"/>
      <c r="F1942" s="142"/>
      <c r="G1942" s="142"/>
      <c r="H1942" s="142"/>
      <c r="I1942" s="142"/>
      <c r="J1942" s="142"/>
    </row>
    <row r="1943" spans="1:10" x14ac:dyDescent="0.25">
      <c r="A1943" s="28"/>
      <c r="B1943" s="180"/>
      <c r="C1943" s="35"/>
      <c r="D1943" s="36"/>
      <c r="E1943" s="36"/>
      <c r="F1943" s="142"/>
      <c r="G1943" s="142"/>
      <c r="H1943" s="142"/>
      <c r="I1943" s="142"/>
      <c r="J1943" s="142"/>
    </row>
    <row r="1944" spans="1:10" x14ac:dyDescent="0.25">
      <c r="A1944" s="28"/>
      <c r="B1944" s="180"/>
      <c r="C1944" s="35"/>
      <c r="D1944" s="36"/>
      <c r="E1944" s="36"/>
      <c r="F1944" s="142"/>
      <c r="G1944" s="142"/>
      <c r="H1944" s="142"/>
      <c r="I1944" s="142"/>
      <c r="J1944" s="142"/>
    </row>
    <row r="1945" spans="1:10" x14ac:dyDescent="0.25">
      <c r="A1945" s="28"/>
      <c r="B1945" s="180"/>
      <c r="C1945" s="35"/>
      <c r="D1945" s="36"/>
      <c r="E1945" s="36"/>
      <c r="F1945" s="142"/>
      <c r="G1945" s="142"/>
      <c r="H1945" s="142"/>
      <c r="I1945" s="142"/>
      <c r="J1945" s="142"/>
    </row>
    <row r="1946" spans="1:10" x14ac:dyDescent="0.25">
      <c r="A1946" s="28"/>
      <c r="B1946" s="180"/>
      <c r="C1946" s="35"/>
      <c r="D1946" s="36"/>
      <c r="E1946" s="36"/>
      <c r="F1946" s="142"/>
      <c r="G1946" s="142"/>
      <c r="H1946" s="142"/>
      <c r="I1946" s="142"/>
      <c r="J1946" s="142"/>
    </row>
    <row r="1947" spans="1:10" x14ac:dyDescent="0.25">
      <c r="A1947" s="28"/>
      <c r="B1947" s="180"/>
      <c r="C1947" s="35"/>
      <c r="D1947" s="36"/>
      <c r="E1947" s="36"/>
      <c r="F1947" s="142"/>
      <c r="G1947" s="142"/>
      <c r="H1947" s="142"/>
      <c r="I1947" s="142"/>
      <c r="J1947" s="142"/>
    </row>
    <row r="1948" spans="1:10" x14ac:dyDescent="0.25">
      <c r="A1948" s="28"/>
      <c r="B1948" s="180"/>
      <c r="C1948" s="35"/>
      <c r="D1948" s="36"/>
      <c r="E1948" s="36"/>
      <c r="F1948" s="142"/>
      <c r="G1948" s="142"/>
      <c r="H1948" s="142"/>
      <c r="I1948" s="142"/>
      <c r="J1948" s="142"/>
    </row>
    <row r="1949" spans="1:10" x14ac:dyDescent="0.25">
      <c r="A1949" s="28"/>
      <c r="B1949" s="180"/>
      <c r="C1949" s="35"/>
      <c r="D1949" s="36"/>
      <c r="E1949" s="36"/>
      <c r="F1949" s="142"/>
      <c r="G1949" s="142"/>
      <c r="H1949" s="142"/>
      <c r="I1949" s="142"/>
      <c r="J1949" s="142"/>
    </row>
    <row r="1950" spans="1:10" x14ac:dyDescent="0.25">
      <c r="A1950" s="28"/>
      <c r="B1950" s="180"/>
      <c r="C1950" s="35"/>
      <c r="D1950" s="36"/>
      <c r="E1950" s="36"/>
      <c r="F1950" s="142"/>
      <c r="G1950" s="142"/>
      <c r="H1950" s="142"/>
      <c r="I1950" s="142"/>
      <c r="J1950" s="142"/>
    </row>
    <row r="1951" spans="1:10" x14ac:dyDescent="0.25">
      <c r="A1951" s="28"/>
      <c r="B1951" s="180"/>
      <c r="C1951" s="35"/>
      <c r="D1951" s="36"/>
      <c r="E1951" s="36"/>
      <c r="F1951" s="142"/>
      <c r="G1951" s="142"/>
      <c r="H1951" s="142"/>
      <c r="I1951" s="142"/>
      <c r="J1951" s="142"/>
    </row>
    <row r="1952" spans="1:10" x14ac:dyDescent="0.25">
      <c r="A1952" s="28"/>
      <c r="B1952" s="180"/>
      <c r="C1952" s="35"/>
      <c r="D1952" s="36"/>
      <c r="E1952" s="36"/>
      <c r="F1952" s="142"/>
      <c r="G1952" s="142"/>
      <c r="H1952" s="142"/>
      <c r="I1952" s="142"/>
      <c r="J1952" s="142"/>
    </row>
    <row r="1953" spans="1:10" x14ac:dyDescent="0.25">
      <c r="A1953" s="28"/>
      <c r="B1953" s="180"/>
      <c r="C1953" s="35"/>
      <c r="D1953" s="36"/>
      <c r="E1953" s="36"/>
      <c r="F1953" s="142"/>
      <c r="G1953" s="142"/>
      <c r="H1953" s="142"/>
      <c r="I1953" s="142"/>
      <c r="J1953" s="142"/>
    </row>
    <row r="1954" spans="1:10" x14ac:dyDescent="0.25">
      <c r="A1954" s="28"/>
      <c r="B1954" s="180"/>
      <c r="C1954" s="35"/>
      <c r="D1954" s="36"/>
      <c r="E1954" s="36"/>
      <c r="F1954" s="142"/>
      <c r="G1954" s="142"/>
      <c r="H1954" s="142"/>
      <c r="I1954" s="142"/>
      <c r="J1954" s="142"/>
    </row>
    <row r="1955" spans="1:10" x14ac:dyDescent="0.25">
      <c r="A1955" s="28"/>
      <c r="B1955" s="180"/>
      <c r="C1955" s="35"/>
      <c r="D1955" s="36"/>
      <c r="E1955" s="36"/>
      <c r="F1955" s="142"/>
      <c r="G1955" s="142"/>
      <c r="H1955" s="142"/>
      <c r="I1955" s="142"/>
      <c r="J1955" s="142"/>
    </row>
    <row r="1956" spans="1:10" x14ac:dyDescent="0.25">
      <c r="A1956" s="28"/>
      <c r="B1956" s="180"/>
      <c r="C1956" s="35"/>
      <c r="D1956" s="36"/>
      <c r="E1956" s="36"/>
      <c r="F1956" s="142"/>
      <c r="G1956" s="142"/>
      <c r="H1956" s="142"/>
      <c r="I1956" s="142"/>
      <c r="J1956" s="142"/>
    </row>
    <row r="1957" spans="1:10" x14ac:dyDescent="0.25">
      <c r="A1957" s="28"/>
      <c r="B1957" s="180"/>
      <c r="C1957" s="35"/>
      <c r="D1957" s="36"/>
      <c r="E1957" s="36"/>
      <c r="F1957" s="142"/>
      <c r="G1957" s="142"/>
      <c r="H1957" s="142"/>
      <c r="I1957" s="142"/>
      <c r="J1957" s="142"/>
    </row>
    <row r="1958" spans="1:10" x14ac:dyDescent="0.25">
      <c r="A1958" s="28"/>
      <c r="B1958" s="180"/>
      <c r="C1958" s="35"/>
      <c r="D1958" s="36"/>
      <c r="E1958" s="36"/>
      <c r="F1958" s="142"/>
      <c r="G1958" s="142"/>
      <c r="H1958" s="142"/>
      <c r="I1958" s="142"/>
      <c r="J1958" s="142"/>
    </row>
    <row r="1959" spans="1:10" x14ac:dyDescent="0.25">
      <c r="A1959" s="28"/>
      <c r="B1959" s="180"/>
      <c r="C1959" s="35"/>
      <c r="D1959" s="36"/>
      <c r="E1959" s="36"/>
      <c r="F1959" s="142"/>
      <c r="G1959" s="142"/>
      <c r="H1959" s="142"/>
      <c r="I1959" s="142"/>
      <c r="J1959" s="142"/>
    </row>
    <row r="1960" spans="1:10" x14ac:dyDescent="0.25">
      <c r="A1960" s="28"/>
      <c r="B1960" s="180"/>
      <c r="C1960" s="35"/>
      <c r="D1960" s="36"/>
      <c r="E1960" s="36"/>
      <c r="F1960" s="142"/>
      <c r="G1960" s="142"/>
      <c r="H1960" s="142"/>
      <c r="I1960" s="142"/>
      <c r="J1960" s="142"/>
    </row>
    <row r="1961" spans="1:10" x14ac:dyDescent="0.25">
      <c r="A1961" s="28"/>
      <c r="B1961" s="180"/>
      <c r="C1961" s="35"/>
      <c r="D1961" s="36"/>
      <c r="E1961" s="36"/>
      <c r="F1961" s="142"/>
      <c r="G1961" s="142"/>
      <c r="H1961" s="142"/>
      <c r="I1961" s="142"/>
      <c r="J1961" s="142"/>
    </row>
    <row r="1962" spans="1:10" x14ac:dyDescent="0.25">
      <c r="A1962" s="28"/>
      <c r="B1962" s="180"/>
      <c r="C1962" s="35"/>
      <c r="D1962" s="36"/>
      <c r="E1962" s="36"/>
      <c r="F1962" s="142"/>
      <c r="G1962" s="142"/>
      <c r="H1962" s="142"/>
      <c r="I1962" s="142"/>
      <c r="J1962" s="142"/>
    </row>
    <row r="1963" spans="1:10" x14ac:dyDescent="0.25">
      <c r="A1963" s="28"/>
      <c r="B1963" s="180"/>
      <c r="C1963" s="35"/>
      <c r="D1963" s="36"/>
      <c r="E1963" s="36"/>
      <c r="F1963" s="142"/>
      <c r="G1963" s="142"/>
      <c r="H1963" s="142"/>
      <c r="I1963" s="142"/>
      <c r="J1963" s="142"/>
    </row>
    <row r="1964" spans="1:10" x14ac:dyDescent="0.25">
      <c r="A1964" s="28"/>
      <c r="B1964" s="180"/>
      <c r="C1964" s="35"/>
      <c r="D1964" s="36"/>
      <c r="E1964" s="36"/>
      <c r="F1964" s="142"/>
      <c r="G1964" s="142"/>
      <c r="H1964" s="142"/>
      <c r="I1964" s="142"/>
      <c r="J1964" s="142"/>
    </row>
    <row r="1965" spans="1:10" x14ac:dyDescent="0.25">
      <c r="A1965" s="28"/>
      <c r="B1965" s="180"/>
      <c r="C1965" s="35"/>
      <c r="D1965" s="36"/>
      <c r="E1965" s="36"/>
      <c r="F1965" s="142"/>
      <c r="G1965" s="142"/>
      <c r="H1965" s="142"/>
      <c r="I1965" s="142"/>
      <c r="J1965" s="142"/>
    </row>
    <row r="1966" spans="1:10" x14ac:dyDescent="0.25">
      <c r="A1966" s="28"/>
      <c r="B1966" s="180"/>
      <c r="C1966" s="35"/>
      <c r="D1966" s="36"/>
      <c r="E1966" s="36"/>
      <c r="F1966" s="142"/>
      <c r="G1966" s="142"/>
      <c r="H1966" s="142"/>
      <c r="I1966" s="142"/>
      <c r="J1966" s="142"/>
    </row>
    <row r="1967" spans="1:10" x14ac:dyDescent="0.25">
      <c r="A1967" s="28"/>
      <c r="B1967" s="180"/>
      <c r="C1967" s="35"/>
      <c r="D1967" s="36"/>
      <c r="E1967" s="36"/>
      <c r="F1967" s="142"/>
      <c r="G1967" s="142"/>
      <c r="H1967" s="142"/>
      <c r="I1967" s="142"/>
      <c r="J1967" s="142"/>
    </row>
    <row r="1968" spans="1:10" x14ac:dyDescent="0.25">
      <c r="A1968" s="28"/>
      <c r="B1968" s="180"/>
      <c r="C1968" s="35"/>
      <c r="D1968" s="36"/>
      <c r="E1968" s="36"/>
      <c r="F1968" s="142"/>
      <c r="G1968" s="142"/>
      <c r="H1968" s="142"/>
      <c r="I1968" s="142"/>
      <c r="J1968" s="142"/>
    </row>
    <row r="1969" spans="1:10" x14ac:dyDescent="0.25">
      <c r="A1969" s="28"/>
      <c r="B1969" s="180"/>
      <c r="C1969" s="35"/>
      <c r="D1969" s="36"/>
      <c r="E1969" s="36"/>
      <c r="F1969" s="142"/>
      <c r="G1969" s="142"/>
      <c r="H1969" s="142"/>
      <c r="I1969" s="142"/>
      <c r="J1969" s="142"/>
    </row>
    <row r="1970" spans="1:10" x14ac:dyDescent="0.25">
      <c r="A1970" s="28"/>
      <c r="B1970" s="180"/>
      <c r="C1970" s="35"/>
      <c r="D1970" s="36"/>
      <c r="E1970" s="36"/>
      <c r="F1970" s="142"/>
      <c r="G1970" s="142"/>
      <c r="H1970" s="142"/>
      <c r="I1970" s="142"/>
      <c r="J1970" s="142"/>
    </row>
    <row r="1971" spans="1:10" x14ac:dyDescent="0.25">
      <c r="A1971" s="28"/>
      <c r="B1971" s="180"/>
      <c r="C1971" s="35"/>
      <c r="D1971" s="36"/>
      <c r="E1971" s="36"/>
      <c r="F1971" s="142"/>
      <c r="G1971" s="142"/>
      <c r="H1971" s="142"/>
      <c r="I1971" s="142"/>
      <c r="J1971" s="142"/>
    </row>
    <row r="1972" spans="1:10" x14ac:dyDescent="0.25">
      <c r="A1972" s="28"/>
      <c r="B1972" s="180"/>
      <c r="C1972" s="35"/>
      <c r="D1972" s="36"/>
      <c r="E1972" s="36"/>
      <c r="F1972" s="142"/>
      <c r="G1972" s="142"/>
      <c r="H1972" s="142"/>
      <c r="I1972" s="142"/>
      <c r="J1972" s="142"/>
    </row>
    <row r="1973" spans="1:10" x14ac:dyDescent="0.25">
      <c r="A1973" s="28"/>
      <c r="B1973" s="180"/>
      <c r="C1973" s="35"/>
      <c r="D1973" s="36"/>
      <c r="E1973" s="36"/>
      <c r="F1973" s="142"/>
      <c r="G1973" s="142"/>
      <c r="H1973" s="142"/>
      <c r="I1973" s="142"/>
      <c r="J1973" s="142"/>
    </row>
    <row r="1974" spans="1:10" x14ac:dyDescent="0.25">
      <c r="A1974" s="28"/>
      <c r="B1974" s="180"/>
      <c r="C1974" s="35"/>
      <c r="D1974" s="36"/>
      <c r="E1974" s="36"/>
      <c r="F1974" s="142"/>
      <c r="G1974" s="142"/>
      <c r="H1974" s="142"/>
      <c r="I1974" s="142"/>
      <c r="J1974" s="142"/>
    </row>
    <row r="1975" spans="1:10" x14ac:dyDescent="0.25">
      <c r="A1975" s="28"/>
      <c r="B1975" s="180"/>
      <c r="C1975" s="35"/>
      <c r="D1975" s="36"/>
      <c r="E1975" s="36"/>
      <c r="F1975" s="142"/>
      <c r="G1975" s="142"/>
      <c r="H1975" s="142"/>
      <c r="I1975" s="142"/>
      <c r="J1975" s="142"/>
    </row>
    <row r="1976" spans="1:10" x14ac:dyDescent="0.25">
      <c r="A1976" s="28"/>
      <c r="B1976" s="180"/>
      <c r="C1976" s="35"/>
      <c r="D1976" s="36"/>
      <c r="E1976" s="36"/>
      <c r="F1976" s="142"/>
      <c r="G1976" s="142"/>
      <c r="H1976" s="142"/>
      <c r="I1976" s="142"/>
      <c r="J1976" s="142"/>
    </row>
    <row r="1977" spans="1:10" x14ac:dyDescent="0.25">
      <c r="A1977" s="28"/>
      <c r="B1977" s="180"/>
      <c r="C1977" s="35"/>
      <c r="D1977" s="36"/>
      <c r="E1977" s="36"/>
      <c r="F1977" s="142"/>
      <c r="G1977" s="142"/>
      <c r="H1977" s="142"/>
      <c r="I1977" s="142"/>
      <c r="J1977" s="142"/>
    </row>
    <row r="1978" spans="1:10" x14ac:dyDescent="0.25">
      <c r="A1978" s="28"/>
      <c r="B1978" s="180"/>
      <c r="C1978" s="35"/>
      <c r="D1978" s="36"/>
      <c r="E1978" s="36"/>
      <c r="F1978" s="142"/>
      <c r="G1978" s="142"/>
      <c r="H1978" s="142"/>
      <c r="I1978" s="142"/>
      <c r="J1978" s="142"/>
    </row>
    <row r="1979" spans="1:10" x14ac:dyDescent="0.25">
      <c r="A1979" s="28"/>
      <c r="B1979" s="180"/>
      <c r="C1979" s="35"/>
      <c r="D1979" s="36"/>
      <c r="E1979" s="36"/>
      <c r="F1979" s="142"/>
      <c r="G1979" s="142"/>
      <c r="H1979" s="142"/>
      <c r="I1979" s="142"/>
      <c r="J1979" s="142"/>
    </row>
    <row r="1980" spans="1:10" x14ac:dyDescent="0.25">
      <c r="A1980" s="28"/>
      <c r="B1980" s="180"/>
      <c r="C1980" s="35"/>
      <c r="D1980" s="36"/>
      <c r="E1980" s="36"/>
      <c r="F1980" s="142"/>
      <c r="G1980" s="142"/>
      <c r="H1980" s="142"/>
      <c r="I1980" s="142"/>
      <c r="J1980" s="142"/>
    </row>
    <row r="1981" spans="1:10" x14ac:dyDescent="0.25">
      <c r="A1981" s="28"/>
      <c r="B1981" s="180"/>
      <c r="C1981" s="35"/>
      <c r="D1981" s="36"/>
      <c r="E1981" s="36"/>
      <c r="F1981" s="142"/>
      <c r="G1981" s="142"/>
      <c r="H1981" s="142"/>
      <c r="I1981" s="142"/>
      <c r="J1981" s="142"/>
    </row>
    <row r="1982" spans="1:10" x14ac:dyDescent="0.25">
      <c r="A1982" s="28"/>
      <c r="B1982" s="180"/>
      <c r="C1982" s="35"/>
      <c r="D1982" s="36"/>
      <c r="E1982" s="36"/>
      <c r="F1982" s="142"/>
      <c r="G1982" s="142"/>
      <c r="H1982" s="142"/>
      <c r="I1982" s="142"/>
      <c r="J1982" s="142"/>
    </row>
    <row r="1983" spans="1:10" x14ac:dyDescent="0.25">
      <c r="A1983" s="28"/>
      <c r="B1983" s="180"/>
      <c r="C1983" s="35"/>
      <c r="D1983" s="36"/>
      <c r="E1983" s="36"/>
      <c r="F1983" s="142"/>
      <c r="G1983" s="142"/>
      <c r="H1983" s="142"/>
      <c r="I1983" s="142"/>
      <c r="J1983" s="142"/>
    </row>
    <row r="1984" spans="1:10" x14ac:dyDescent="0.25">
      <c r="A1984" s="28"/>
      <c r="B1984" s="180"/>
      <c r="C1984" s="35"/>
      <c r="D1984" s="36"/>
      <c r="E1984" s="36"/>
      <c r="F1984" s="142"/>
      <c r="G1984" s="142"/>
      <c r="H1984" s="142"/>
      <c r="I1984" s="142"/>
      <c r="J1984" s="142"/>
    </row>
    <row r="1985" spans="1:10" x14ac:dyDescent="0.25">
      <c r="A1985" s="28"/>
      <c r="B1985" s="180"/>
      <c r="C1985" s="35"/>
      <c r="D1985" s="36"/>
      <c r="E1985" s="36"/>
      <c r="F1985" s="142"/>
      <c r="G1985" s="142"/>
      <c r="H1985" s="142"/>
      <c r="I1985" s="142"/>
      <c r="J1985" s="142"/>
    </row>
    <row r="1986" spans="1:10" x14ac:dyDescent="0.25">
      <c r="A1986" s="28"/>
      <c r="B1986" s="180"/>
      <c r="C1986" s="35"/>
      <c r="D1986" s="36"/>
      <c r="E1986" s="36"/>
      <c r="F1986" s="142"/>
      <c r="G1986" s="142"/>
      <c r="H1986" s="142"/>
      <c r="I1986" s="142"/>
      <c r="J1986" s="142"/>
    </row>
    <row r="1987" spans="1:10" x14ac:dyDescent="0.25">
      <c r="A1987" s="28"/>
      <c r="B1987" s="180"/>
      <c r="C1987" s="35"/>
      <c r="D1987" s="36"/>
      <c r="E1987" s="36"/>
      <c r="F1987" s="142"/>
      <c r="G1987" s="142"/>
      <c r="H1987" s="142"/>
      <c r="I1987" s="142"/>
      <c r="J1987" s="142"/>
    </row>
    <row r="1988" spans="1:10" x14ac:dyDescent="0.25">
      <c r="A1988" s="28"/>
      <c r="B1988" s="180"/>
      <c r="C1988" s="35"/>
      <c r="D1988" s="36"/>
      <c r="E1988" s="36"/>
      <c r="F1988" s="142"/>
      <c r="G1988" s="142"/>
      <c r="H1988" s="142"/>
      <c r="I1988" s="142"/>
      <c r="J1988" s="142"/>
    </row>
    <row r="1989" spans="1:10" x14ac:dyDescent="0.25">
      <c r="A1989" s="28"/>
      <c r="B1989" s="180"/>
      <c r="C1989" s="35"/>
      <c r="D1989" s="36"/>
      <c r="E1989" s="36"/>
      <c r="F1989" s="142"/>
      <c r="G1989" s="142"/>
      <c r="H1989" s="142"/>
      <c r="I1989" s="142"/>
      <c r="J1989" s="142"/>
    </row>
    <row r="1990" spans="1:10" x14ac:dyDescent="0.25">
      <c r="A1990" s="28"/>
      <c r="B1990" s="180"/>
      <c r="C1990" s="35"/>
      <c r="D1990" s="36"/>
      <c r="E1990" s="36"/>
      <c r="F1990" s="142"/>
      <c r="G1990" s="142"/>
      <c r="H1990" s="142"/>
      <c r="I1990" s="142"/>
      <c r="J1990" s="142"/>
    </row>
    <row r="1991" spans="1:10" x14ac:dyDescent="0.25">
      <c r="A1991" s="28"/>
      <c r="B1991" s="180"/>
      <c r="C1991" s="35"/>
      <c r="D1991" s="36"/>
      <c r="E1991" s="36"/>
      <c r="F1991" s="142"/>
      <c r="G1991" s="142"/>
      <c r="H1991" s="142"/>
      <c r="I1991" s="142"/>
      <c r="J1991" s="142"/>
    </row>
    <row r="1992" spans="1:10" x14ac:dyDescent="0.25">
      <c r="A1992" s="28"/>
      <c r="B1992" s="180"/>
      <c r="C1992" s="35"/>
      <c r="D1992" s="36"/>
      <c r="E1992" s="36"/>
      <c r="F1992" s="142"/>
      <c r="G1992" s="142"/>
      <c r="H1992" s="142"/>
      <c r="I1992" s="142"/>
      <c r="J1992" s="142"/>
    </row>
    <row r="1993" spans="1:10" x14ac:dyDescent="0.25">
      <c r="A1993" s="28"/>
      <c r="B1993" s="180"/>
      <c r="C1993" s="35"/>
      <c r="D1993" s="36"/>
      <c r="E1993" s="36"/>
      <c r="F1993" s="142"/>
      <c r="G1993" s="142"/>
      <c r="H1993" s="142"/>
      <c r="I1993" s="142"/>
      <c r="J1993" s="142"/>
    </row>
    <row r="1994" spans="1:10" x14ac:dyDescent="0.25">
      <c r="A1994" s="28"/>
      <c r="B1994" s="180"/>
      <c r="C1994" s="35"/>
      <c r="D1994" s="36"/>
      <c r="E1994" s="36"/>
      <c r="F1994" s="142"/>
      <c r="G1994" s="142"/>
      <c r="H1994" s="142"/>
      <c r="I1994" s="142"/>
      <c r="J1994" s="142"/>
    </row>
    <row r="1995" spans="1:10" x14ac:dyDescent="0.25">
      <c r="A1995" s="28"/>
      <c r="B1995" s="180"/>
      <c r="C1995" s="35"/>
      <c r="D1995" s="36"/>
      <c r="E1995" s="36"/>
      <c r="F1995" s="142"/>
      <c r="G1995" s="142"/>
      <c r="H1995" s="142"/>
      <c r="I1995" s="142"/>
      <c r="J1995" s="142"/>
    </row>
    <row r="1996" spans="1:10" x14ac:dyDescent="0.25">
      <c r="A1996" s="28"/>
      <c r="B1996" s="180"/>
      <c r="C1996" s="35"/>
      <c r="D1996" s="36"/>
      <c r="E1996" s="36"/>
      <c r="F1996" s="142"/>
      <c r="G1996" s="142"/>
      <c r="H1996" s="142"/>
      <c r="I1996" s="142"/>
      <c r="J1996" s="142"/>
    </row>
    <row r="1997" spans="1:10" x14ac:dyDescent="0.25">
      <c r="A1997" s="28"/>
      <c r="B1997" s="180"/>
      <c r="C1997" s="35"/>
      <c r="D1997" s="36"/>
      <c r="E1997" s="36"/>
      <c r="F1997" s="142"/>
      <c r="G1997" s="142"/>
      <c r="H1997" s="142"/>
      <c r="I1997" s="142"/>
      <c r="J1997" s="142"/>
    </row>
    <row r="1998" spans="1:10" x14ac:dyDescent="0.25">
      <c r="A1998" s="28"/>
      <c r="B1998" s="180"/>
      <c r="C1998" s="35"/>
      <c r="D1998" s="36"/>
      <c r="E1998" s="36"/>
      <c r="F1998" s="142"/>
      <c r="G1998" s="142"/>
      <c r="H1998" s="142"/>
      <c r="I1998" s="142"/>
      <c r="J1998" s="142"/>
    </row>
    <row r="1999" spans="1:10" x14ac:dyDescent="0.25">
      <c r="A1999" s="28"/>
      <c r="B1999" s="180"/>
      <c r="C1999" s="35"/>
      <c r="D1999" s="36"/>
      <c r="E1999" s="36"/>
      <c r="F1999" s="142"/>
      <c r="G1999" s="142"/>
      <c r="H1999" s="142"/>
      <c r="I1999" s="142"/>
      <c r="J1999" s="142"/>
    </row>
    <row r="2000" spans="1:10" x14ac:dyDescent="0.25">
      <c r="A2000" s="28"/>
      <c r="B2000" s="180"/>
      <c r="C2000" s="35"/>
      <c r="D2000" s="36"/>
      <c r="E2000" s="36"/>
      <c r="F2000" s="142"/>
      <c r="G2000" s="142"/>
      <c r="H2000" s="142"/>
      <c r="I2000" s="142"/>
      <c r="J2000" s="142"/>
    </row>
    <row r="2001" spans="1:10" x14ac:dyDescent="0.25">
      <c r="A2001" s="28"/>
      <c r="B2001" s="180"/>
      <c r="C2001" s="35"/>
      <c r="D2001" s="36"/>
      <c r="E2001" s="36"/>
      <c r="F2001" s="142"/>
      <c r="G2001" s="142"/>
      <c r="H2001" s="142"/>
      <c r="I2001" s="142"/>
      <c r="J2001" s="142"/>
    </row>
    <row r="2002" spans="1:10" x14ac:dyDescent="0.25">
      <c r="A2002" s="28"/>
      <c r="B2002" s="180"/>
      <c r="C2002" s="35"/>
      <c r="D2002" s="36"/>
      <c r="E2002" s="36"/>
      <c r="F2002" s="142"/>
      <c r="G2002" s="142"/>
      <c r="H2002" s="142"/>
      <c r="I2002" s="142"/>
      <c r="J2002" s="142"/>
    </row>
    <row r="2003" spans="1:10" x14ac:dyDescent="0.25">
      <c r="A2003" s="28"/>
      <c r="B2003" s="180"/>
      <c r="C2003" s="35"/>
      <c r="D2003" s="36"/>
      <c r="E2003" s="36"/>
      <c r="F2003" s="142"/>
      <c r="G2003" s="142"/>
      <c r="H2003" s="142"/>
      <c r="I2003" s="142"/>
      <c r="J2003" s="142"/>
    </row>
    <row r="2004" spans="1:10" x14ac:dyDescent="0.25">
      <c r="A2004" s="28"/>
      <c r="B2004" s="180"/>
      <c r="C2004" s="35"/>
      <c r="D2004" s="36"/>
      <c r="E2004" s="36"/>
      <c r="F2004" s="142"/>
      <c r="G2004" s="142"/>
      <c r="H2004" s="142"/>
      <c r="I2004" s="142"/>
      <c r="J2004" s="142"/>
    </row>
    <row r="2005" spans="1:10" x14ac:dyDescent="0.25">
      <c r="A2005" s="28"/>
      <c r="B2005" s="180"/>
      <c r="C2005" s="35"/>
      <c r="D2005" s="36"/>
      <c r="E2005" s="36"/>
      <c r="F2005" s="142"/>
      <c r="G2005" s="142"/>
      <c r="H2005" s="142"/>
      <c r="I2005" s="142"/>
      <c r="J2005" s="142"/>
    </row>
    <row r="2006" spans="1:10" x14ac:dyDescent="0.25">
      <c r="A2006" s="28"/>
      <c r="B2006" s="180"/>
      <c r="C2006" s="35"/>
      <c r="D2006" s="36"/>
      <c r="E2006" s="36"/>
      <c r="F2006" s="142"/>
      <c r="G2006" s="142"/>
      <c r="H2006" s="142"/>
      <c r="I2006" s="142"/>
      <c r="J2006" s="142"/>
    </row>
    <row r="2007" spans="1:10" x14ac:dyDescent="0.25">
      <c r="A2007" s="28"/>
      <c r="B2007" s="180"/>
      <c r="C2007" s="35"/>
      <c r="D2007" s="36"/>
      <c r="E2007" s="36"/>
      <c r="F2007" s="142"/>
      <c r="G2007" s="142"/>
      <c r="H2007" s="142"/>
      <c r="I2007" s="142"/>
      <c r="J2007" s="142"/>
    </row>
    <row r="2008" spans="1:10" x14ac:dyDescent="0.25">
      <c r="A2008" s="28"/>
      <c r="B2008" s="180"/>
      <c r="C2008" s="35"/>
      <c r="D2008" s="36"/>
      <c r="E2008" s="36"/>
      <c r="F2008" s="142"/>
      <c r="G2008" s="142"/>
      <c r="H2008" s="142"/>
      <c r="I2008" s="142"/>
      <c r="J2008" s="142"/>
    </row>
    <row r="2009" spans="1:10" x14ac:dyDescent="0.25">
      <c r="A2009" s="28"/>
      <c r="B2009" s="180"/>
      <c r="C2009" s="35"/>
      <c r="D2009" s="36"/>
      <c r="E2009" s="36"/>
      <c r="F2009" s="142"/>
      <c r="G2009" s="142"/>
      <c r="H2009" s="142"/>
      <c r="I2009" s="142"/>
      <c r="J2009" s="142"/>
    </row>
    <row r="2010" spans="1:10" x14ac:dyDescent="0.25">
      <c r="A2010" s="28"/>
      <c r="B2010" s="180"/>
      <c r="C2010" s="35"/>
      <c r="D2010" s="36"/>
      <c r="E2010" s="36"/>
      <c r="F2010" s="142"/>
      <c r="G2010" s="142"/>
      <c r="H2010" s="142"/>
      <c r="I2010" s="142"/>
      <c r="J2010" s="142"/>
    </row>
    <row r="2011" spans="1:10" x14ac:dyDescent="0.25">
      <c r="A2011" s="28"/>
      <c r="B2011" s="180"/>
      <c r="C2011" s="35"/>
      <c r="D2011" s="36"/>
      <c r="E2011" s="36"/>
      <c r="F2011" s="142"/>
      <c r="G2011" s="142"/>
      <c r="H2011" s="142"/>
      <c r="I2011" s="142"/>
      <c r="J2011" s="142"/>
    </row>
    <row r="2012" spans="1:10" x14ac:dyDescent="0.25">
      <c r="A2012" s="28"/>
      <c r="B2012" s="180"/>
      <c r="C2012" s="35"/>
      <c r="D2012" s="36"/>
      <c r="E2012" s="36"/>
      <c r="F2012" s="142"/>
      <c r="G2012" s="142"/>
      <c r="H2012" s="142"/>
      <c r="I2012" s="142"/>
      <c r="J2012" s="142"/>
    </row>
    <row r="2013" spans="1:10" x14ac:dyDescent="0.25">
      <c r="A2013" s="28"/>
      <c r="B2013" s="180"/>
      <c r="C2013" s="35"/>
      <c r="D2013" s="36"/>
      <c r="E2013" s="36"/>
      <c r="F2013" s="142"/>
      <c r="G2013" s="142"/>
      <c r="H2013" s="142"/>
      <c r="I2013" s="142"/>
      <c r="J2013" s="142"/>
    </row>
    <row r="2014" spans="1:10" x14ac:dyDescent="0.25">
      <c r="A2014" s="28"/>
      <c r="B2014" s="180"/>
      <c r="C2014" s="35"/>
      <c r="D2014" s="36"/>
      <c r="E2014" s="36"/>
      <c r="F2014" s="142"/>
      <c r="G2014" s="142"/>
      <c r="H2014" s="142"/>
      <c r="I2014" s="142"/>
      <c r="J2014" s="142"/>
    </row>
    <row r="2015" spans="1:10" x14ac:dyDescent="0.25">
      <c r="A2015" s="28"/>
      <c r="B2015" s="180"/>
      <c r="C2015" s="35"/>
      <c r="D2015" s="36"/>
      <c r="E2015" s="36"/>
      <c r="F2015" s="142"/>
      <c r="G2015" s="142"/>
      <c r="H2015" s="142"/>
      <c r="I2015" s="142"/>
      <c r="J2015" s="142"/>
    </row>
    <row r="2016" spans="1:10" x14ac:dyDescent="0.25">
      <c r="A2016" s="28"/>
      <c r="B2016" s="180"/>
      <c r="C2016" s="35"/>
      <c r="D2016" s="36"/>
      <c r="E2016" s="36"/>
      <c r="F2016" s="142"/>
      <c r="G2016" s="142"/>
      <c r="H2016" s="142"/>
      <c r="I2016" s="142"/>
      <c r="J2016" s="142"/>
    </row>
    <row r="2017" spans="1:10" x14ac:dyDescent="0.25">
      <c r="A2017" s="28"/>
      <c r="B2017" s="180"/>
      <c r="C2017" s="35"/>
      <c r="D2017" s="36"/>
      <c r="E2017" s="36"/>
      <c r="F2017" s="142"/>
      <c r="G2017" s="142"/>
      <c r="H2017" s="142"/>
      <c r="I2017" s="142"/>
      <c r="J2017" s="142"/>
    </row>
    <row r="2018" spans="1:10" x14ac:dyDescent="0.25">
      <c r="A2018" s="28"/>
      <c r="B2018" s="180"/>
      <c r="C2018" s="35"/>
      <c r="D2018" s="36"/>
      <c r="E2018" s="36"/>
      <c r="F2018" s="142"/>
      <c r="G2018" s="142"/>
      <c r="H2018" s="142"/>
      <c r="I2018" s="142"/>
      <c r="J2018" s="142"/>
    </row>
    <row r="2019" spans="1:10" x14ac:dyDescent="0.25">
      <c r="A2019" s="28"/>
      <c r="B2019" s="180"/>
      <c r="C2019" s="35"/>
      <c r="D2019" s="36"/>
      <c r="E2019" s="36"/>
      <c r="F2019" s="142"/>
      <c r="G2019" s="142"/>
      <c r="H2019" s="142"/>
      <c r="I2019" s="142"/>
      <c r="J2019" s="142"/>
    </row>
    <row r="2020" spans="1:10" x14ac:dyDescent="0.25">
      <c r="A2020" s="28"/>
      <c r="B2020" s="180"/>
      <c r="C2020" s="35"/>
      <c r="D2020" s="36"/>
      <c r="E2020" s="36"/>
      <c r="F2020" s="142"/>
      <c r="G2020" s="142"/>
      <c r="H2020" s="142"/>
      <c r="I2020" s="142"/>
      <c r="J2020" s="142"/>
    </row>
    <row r="2021" spans="1:10" x14ac:dyDescent="0.25">
      <c r="A2021" s="28"/>
      <c r="B2021" s="180"/>
      <c r="C2021" s="35"/>
      <c r="D2021" s="36"/>
      <c r="E2021" s="36"/>
      <c r="F2021" s="142"/>
      <c r="G2021" s="142"/>
      <c r="H2021" s="142"/>
      <c r="I2021" s="142"/>
      <c r="J2021" s="142"/>
    </row>
    <row r="2022" spans="1:10" x14ac:dyDescent="0.25">
      <c r="A2022" s="28"/>
      <c r="B2022" s="180"/>
      <c r="C2022" s="35"/>
      <c r="D2022" s="36"/>
      <c r="E2022" s="36"/>
      <c r="F2022" s="142"/>
      <c r="G2022" s="142"/>
      <c r="H2022" s="142"/>
      <c r="I2022" s="142"/>
      <c r="J2022" s="142"/>
    </row>
    <row r="2023" spans="1:10" x14ac:dyDescent="0.25">
      <c r="A2023" s="28"/>
      <c r="B2023" s="180"/>
      <c r="C2023" s="35"/>
      <c r="D2023" s="36"/>
      <c r="E2023" s="36"/>
      <c r="F2023" s="142"/>
      <c r="G2023" s="142"/>
      <c r="H2023" s="142"/>
      <c r="I2023" s="142"/>
      <c r="J2023" s="142"/>
    </row>
    <row r="2024" spans="1:10" x14ac:dyDescent="0.25">
      <c r="A2024" s="28"/>
      <c r="B2024" s="180"/>
      <c r="C2024" s="35"/>
      <c r="D2024" s="36"/>
      <c r="E2024" s="36"/>
      <c r="F2024" s="142"/>
      <c r="G2024" s="142"/>
      <c r="H2024" s="142"/>
      <c r="I2024" s="142"/>
      <c r="J2024" s="142"/>
    </row>
    <row r="2025" spans="1:10" x14ac:dyDescent="0.25">
      <c r="A2025" s="28"/>
      <c r="B2025" s="180"/>
      <c r="C2025" s="35"/>
      <c r="D2025" s="36"/>
      <c r="E2025" s="36"/>
      <c r="F2025" s="142"/>
      <c r="G2025" s="142"/>
      <c r="H2025" s="142"/>
      <c r="I2025" s="142"/>
      <c r="J2025" s="142"/>
    </row>
    <row r="2026" spans="1:10" x14ac:dyDescent="0.25">
      <c r="A2026" s="28"/>
      <c r="B2026" s="180"/>
      <c r="C2026" s="35"/>
      <c r="D2026" s="36"/>
      <c r="E2026" s="36"/>
      <c r="F2026" s="142"/>
      <c r="G2026" s="142"/>
      <c r="H2026" s="142"/>
      <c r="I2026" s="142"/>
      <c r="J2026" s="142"/>
    </row>
    <row r="2027" spans="1:10" x14ac:dyDescent="0.25">
      <c r="A2027" s="28"/>
      <c r="B2027" s="180"/>
      <c r="C2027" s="35"/>
      <c r="D2027" s="36"/>
      <c r="E2027" s="36"/>
      <c r="F2027" s="142"/>
      <c r="G2027" s="142"/>
      <c r="H2027" s="142"/>
      <c r="I2027" s="142"/>
      <c r="J2027" s="142"/>
    </row>
    <row r="2028" spans="1:10" x14ac:dyDescent="0.25">
      <c r="A2028" s="28"/>
      <c r="B2028" s="180"/>
      <c r="C2028" s="35"/>
      <c r="D2028" s="36"/>
      <c r="E2028" s="36"/>
      <c r="F2028" s="142"/>
      <c r="G2028" s="142"/>
      <c r="H2028" s="142"/>
      <c r="I2028" s="142"/>
      <c r="J2028" s="142"/>
    </row>
    <row r="2029" spans="1:10" x14ac:dyDescent="0.25">
      <c r="A2029" s="28"/>
      <c r="B2029" s="180"/>
      <c r="C2029" s="35"/>
      <c r="D2029" s="36"/>
      <c r="E2029" s="36"/>
      <c r="F2029" s="142"/>
      <c r="G2029" s="142"/>
      <c r="H2029" s="142"/>
      <c r="I2029" s="142"/>
      <c r="J2029" s="142"/>
    </row>
    <row r="2030" spans="1:10" x14ac:dyDescent="0.25">
      <c r="A2030" s="28"/>
      <c r="B2030" s="180"/>
      <c r="C2030" s="35"/>
      <c r="D2030" s="36"/>
      <c r="E2030" s="36"/>
      <c r="F2030" s="142"/>
      <c r="G2030" s="142"/>
      <c r="H2030" s="142"/>
      <c r="I2030" s="142"/>
      <c r="J2030" s="142"/>
    </row>
    <row r="2031" spans="1:10" x14ac:dyDescent="0.25">
      <c r="A2031" s="28"/>
      <c r="B2031" s="180"/>
      <c r="C2031" s="35"/>
      <c r="D2031" s="36"/>
      <c r="E2031" s="36"/>
      <c r="F2031" s="142"/>
      <c r="G2031" s="142"/>
      <c r="H2031" s="142"/>
      <c r="I2031" s="142"/>
      <c r="J2031" s="142"/>
    </row>
    <row r="2032" spans="1:10" x14ac:dyDescent="0.25">
      <c r="A2032" s="28"/>
      <c r="B2032" s="180"/>
      <c r="C2032" s="35"/>
      <c r="D2032" s="36"/>
      <c r="E2032" s="36"/>
      <c r="F2032" s="142"/>
      <c r="G2032" s="142"/>
      <c r="H2032" s="142"/>
      <c r="I2032" s="142"/>
      <c r="J2032" s="142"/>
    </row>
    <row r="2033" spans="1:10" x14ac:dyDescent="0.25">
      <c r="A2033" s="28"/>
      <c r="B2033" s="180"/>
      <c r="C2033" s="35"/>
      <c r="D2033" s="36"/>
      <c r="E2033" s="36"/>
      <c r="F2033" s="142"/>
      <c r="G2033" s="142"/>
      <c r="H2033" s="142"/>
      <c r="I2033" s="142"/>
      <c r="J2033" s="142"/>
    </row>
    <row r="2034" spans="1:10" x14ac:dyDescent="0.25">
      <c r="A2034" s="28"/>
      <c r="B2034" s="180"/>
      <c r="C2034" s="35"/>
      <c r="D2034" s="36"/>
      <c r="E2034" s="36"/>
      <c r="F2034" s="142"/>
      <c r="G2034" s="142"/>
      <c r="H2034" s="142"/>
      <c r="I2034" s="142"/>
      <c r="J2034" s="142"/>
    </row>
    <row r="2035" spans="1:10" x14ac:dyDescent="0.25">
      <c r="A2035" s="28"/>
      <c r="B2035" s="180"/>
      <c r="C2035" s="35"/>
      <c r="D2035" s="36"/>
      <c r="E2035" s="36"/>
      <c r="F2035" s="142"/>
      <c r="G2035" s="142"/>
      <c r="H2035" s="142"/>
      <c r="I2035" s="142"/>
      <c r="J2035" s="142"/>
    </row>
    <row r="2036" spans="1:10" x14ac:dyDescent="0.25">
      <c r="A2036" s="28"/>
      <c r="B2036" s="180"/>
      <c r="C2036" s="35"/>
      <c r="D2036" s="36"/>
      <c r="E2036" s="36"/>
      <c r="F2036" s="142"/>
      <c r="G2036" s="142"/>
      <c r="H2036" s="142"/>
      <c r="I2036" s="142"/>
      <c r="J2036" s="142"/>
    </row>
    <row r="2037" spans="1:10" x14ac:dyDescent="0.25">
      <c r="A2037" s="28"/>
      <c r="B2037" s="180"/>
      <c r="C2037" s="35"/>
      <c r="D2037" s="36"/>
      <c r="E2037" s="36"/>
      <c r="F2037" s="142"/>
      <c r="G2037" s="142"/>
      <c r="H2037" s="142"/>
      <c r="I2037" s="142"/>
      <c r="J2037" s="142"/>
    </row>
    <row r="2038" spans="1:10" x14ac:dyDescent="0.25">
      <c r="A2038" s="28"/>
      <c r="B2038" s="180"/>
      <c r="C2038" s="35"/>
      <c r="D2038" s="36"/>
      <c r="E2038" s="36"/>
      <c r="F2038" s="142"/>
      <c r="G2038" s="142"/>
      <c r="H2038" s="142"/>
      <c r="I2038" s="142"/>
      <c r="J2038" s="142"/>
    </row>
    <row r="2039" spans="1:10" x14ac:dyDescent="0.25">
      <c r="A2039" s="28"/>
      <c r="B2039" s="180"/>
      <c r="C2039" s="35"/>
      <c r="D2039" s="36"/>
      <c r="E2039" s="36"/>
      <c r="F2039" s="142"/>
      <c r="G2039" s="142"/>
      <c r="H2039" s="142"/>
      <c r="I2039" s="142"/>
      <c r="J2039" s="142"/>
    </row>
    <row r="2040" spans="1:10" x14ac:dyDescent="0.25">
      <c r="A2040" s="28"/>
      <c r="B2040" s="180"/>
      <c r="C2040" s="35"/>
      <c r="D2040" s="36"/>
      <c r="E2040" s="36"/>
      <c r="F2040" s="142"/>
      <c r="G2040" s="142"/>
      <c r="H2040" s="142"/>
      <c r="I2040" s="142"/>
      <c r="J2040" s="142"/>
    </row>
    <row r="2041" spans="1:10" x14ac:dyDescent="0.25">
      <c r="A2041" s="28"/>
      <c r="B2041" s="180"/>
      <c r="C2041" s="35"/>
      <c r="D2041" s="36"/>
      <c r="E2041" s="36"/>
      <c r="F2041" s="142"/>
      <c r="G2041" s="142"/>
      <c r="H2041" s="142"/>
      <c r="I2041" s="142"/>
      <c r="J2041" s="142"/>
    </row>
    <row r="2042" spans="1:10" x14ac:dyDescent="0.25">
      <c r="A2042" s="28"/>
      <c r="B2042" s="180"/>
      <c r="C2042" s="35"/>
      <c r="D2042" s="36"/>
      <c r="E2042" s="36"/>
      <c r="F2042" s="142"/>
      <c r="G2042" s="142"/>
      <c r="H2042" s="142"/>
      <c r="I2042" s="142"/>
      <c r="J2042" s="142"/>
    </row>
    <row r="2043" spans="1:10" x14ac:dyDescent="0.25">
      <c r="A2043" s="28"/>
      <c r="B2043" s="180"/>
      <c r="C2043" s="35"/>
      <c r="D2043" s="36"/>
      <c r="E2043" s="36"/>
      <c r="F2043" s="142"/>
      <c r="G2043" s="142"/>
      <c r="H2043" s="142"/>
      <c r="I2043" s="142"/>
      <c r="J2043" s="142"/>
    </row>
    <row r="2044" spans="1:10" x14ac:dyDescent="0.25">
      <c r="A2044" s="28"/>
      <c r="B2044" s="180"/>
      <c r="C2044" s="35"/>
      <c r="D2044" s="36"/>
      <c r="E2044" s="36"/>
      <c r="F2044" s="142"/>
      <c r="G2044" s="142"/>
      <c r="H2044" s="142"/>
      <c r="I2044" s="142"/>
      <c r="J2044" s="142"/>
    </row>
    <row r="2045" spans="1:10" x14ac:dyDescent="0.25">
      <c r="A2045" s="28"/>
      <c r="B2045" s="180"/>
      <c r="C2045" s="35"/>
      <c r="D2045" s="36"/>
      <c r="E2045" s="36"/>
      <c r="F2045" s="142"/>
      <c r="G2045" s="142"/>
      <c r="H2045" s="142"/>
      <c r="I2045" s="142"/>
      <c r="J2045" s="142"/>
    </row>
    <row r="2046" spans="1:10" x14ac:dyDescent="0.25">
      <c r="A2046" s="28"/>
      <c r="B2046" s="180"/>
      <c r="C2046" s="35"/>
      <c r="D2046" s="36"/>
      <c r="E2046" s="36"/>
      <c r="F2046" s="142"/>
      <c r="G2046" s="142"/>
      <c r="H2046" s="142"/>
      <c r="I2046" s="142"/>
      <c r="J2046" s="142"/>
    </row>
    <row r="2047" spans="1:10" x14ac:dyDescent="0.25">
      <c r="A2047" s="28"/>
      <c r="B2047" s="180"/>
      <c r="C2047" s="35"/>
      <c r="D2047" s="36"/>
      <c r="E2047" s="36"/>
      <c r="F2047" s="142"/>
      <c r="G2047" s="142"/>
      <c r="H2047" s="142"/>
      <c r="I2047" s="142"/>
      <c r="J2047" s="142"/>
    </row>
    <row r="2048" spans="1:10" x14ac:dyDescent="0.25">
      <c r="A2048" s="28"/>
      <c r="B2048" s="180"/>
      <c r="C2048" s="35"/>
      <c r="D2048" s="36"/>
      <c r="E2048" s="36"/>
      <c r="F2048" s="142"/>
      <c r="G2048" s="142"/>
      <c r="H2048" s="142"/>
      <c r="I2048" s="142"/>
      <c r="J2048" s="142"/>
    </row>
    <row r="2049" spans="1:10" x14ac:dyDescent="0.25">
      <c r="A2049" s="28"/>
      <c r="B2049" s="180"/>
      <c r="C2049" s="35"/>
      <c r="D2049" s="36"/>
      <c r="E2049" s="36"/>
      <c r="F2049" s="142"/>
      <c r="G2049" s="142"/>
      <c r="H2049" s="142"/>
      <c r="I2049" s="142"/>
      <c r="J2049" s="142"/>
    </row>
    <row r="2050" spans="1:10" x14ac:dyDescent="0.25">
      <c r="A2050" s="28"/>
      <c r="B2050" s="180"/>
      <c r="C2050" s="35"/>
      <c r="D2050" s="36"/>
      <c r="E2050" s="36"/>
      <c r="F2050" s="142"/>
      <c r="G2050" s="142"/>
      <c r="H2050" s="142"/>
      <c r="I2050" s="142"/>
      <c r="J2050" s="142"/>
    </row>
    <row r="2051" spans="1:10" x14ac:dyDescent="0.25">
      <c r="A2051" s="28"/>
      <c r="B2051" s="180"/>
      <c r="C2051" s="35"/>
      <c r="D2051" s="36"/>
      <c r="E2051" s="36"/>
      <c r="F2051" s="142"/>
      <c r="G2051" s="142"/>
      <c r="H2051" s="142"/>
      <c r="I2051" s="142"/>
      <c r="J2051" s="142"/>
    </row>
    <row r="2052" spans="1:10" x14ac:dyDescent="0.25">
      <c r="A2052" s="28"/>
      <c r="B2052" s="180"/>
      <c r="C2052" s="35"/>
      <c r="D2052" s="36"/>
      <c r="E2052" s="36"/>
      <c r="F2052" s="142"/>
      <c r="G2052" s="142"/>
      <c r="H2052" s="142"/>
      <c r="I2052" s="142"/>
      <c r="J2052" s="142"/>
    </row>
    <row r="2053" spans="1:10" x14ac:dyDescent="0.25">
      <c r="A2053" s="28"/>
      <c r="B2053" s="180"/>
      <c r="C2053" s="35"/>
      <c r="D2053" s="36"/>
      <c r="E2053" s="36"/>
      <c r="F2053" s="142"/>
      <c r="G2053" s="142"/>
      <c r="H2053" s="142"/>
      <c r="I2053" s="142"/>
      <c r="J2053" s="142"/>
    </row>
    <row r="2054" spans="1:10" x14ac:dyDescent="0.25">
      <c r="A2054" s="28"/>
      <c r="B2054" s="180"/>
      <c r="C2054" s="35"/>
      <c r="D2054" s="36"/>
      <c r="E2054" s="36"/>
      <c r="F2054" s="142"/>
      <c r="G2054" s="142"/>
      <c r="H2054" s="142"/>
      <c r="I2054" s="142"/>
      <c r="J2054" s="142"/>
    </row>
    <row r="2055" spans="1:10" x14ac:dyDescent="0.25">
      <c r="A2055" s="28"/>
      <c r="B2055" s="180"/>
      <c r="C2055" s="35"/>
      <c r="D2055" s="36"/>
      <c r="E2055" s="36"/>
      <c r="F2055" s="142"/>
      <c r="G2055" s="142"/>
      <c r="H2055" s="142"/>
      <c r="I2055" s="142"/>
      <c r="J2055" s="142"/>
    </row>
    <row r="2056" spans="1:10" x14ac:dyDescent="0.25">
      <c r="A2056" s="28"/>
      <c r="B2056" s="180"/>
      <c r="C2056" s="35"/>
      <c r="D2056" s="36"/>
      <c r="E2056" s="36"/>
      <c r="F2056" s="142"/>
      <c r="G2056" s="142"/>
      <c r="H2056" s="142"/>
      <c r="I2056" s="142"/>
      <c r="J2056" s="142"/>
    </row>
    <row r="2057" spans="1:10" x14ac:dyDescent="0.25">
      <c r="A2057" s="28"/>
      <c r="B2057" s="180"/>
      <c r="C2057" s="35"/>
      <c r="D2057" s="36"/>
      <c r="E2057" s="36"/>
      <c r="F2057" s="142"/>
      <c r="G2057" s="142"/>
      <c r="H2057" s="142"/>
      <c r="I2057" s="142"/>
      <c r="J2057" s="142"/>
    </row>
    <row r="2058" spans="1:10" x14ac:dyDescent="0.25">
      <c r="A2058" s="28"/>
      <c r="B2058" s="180"/>
      <c r="C2058" s="35"/>
      <c r="D2058" s="36"/>
      <c r="E2058" s="36"/>
      <c r="F2058" s="142"/>
      <c r="G2058" s="142"/>
      <c r="H2058" s="142"/>
      <c r="I2058" s="142"/>
      <c r="J2058" s="142"/>
    </row>
    <row r="2059" spans="1:10" x14ac:dyDescent="0.25">
      <c r="A2059" s="28"/>
      <c r="B2059" s="180"/>
      <c r="C2059" s="35"/>
      <c r="D2059" s="36"/>
      <c r="E2059" s="36"/>
      <c r="F2059" s="142"/>
      <c r="G2059" s="142"/>
      <c r="H2059" s="142"/>
      <c r="I2059" s="142"/>
      <c r="J2059" s="142"/>
    </row>
    <row r="2060" spans="1:10" x14ac:dyDescent="0.25">
      <c r="A2060" s="28"/>
      <c r="B2060" s="180"/>
      <c r="C2060" s="35"/>
      <c r="D2060" s="36"/>
      <c r="E2060" s="36"/>
      <c r="F2060" s="142"/>
      <c r="G2060" s="142"/>
      <c r="H2060" s="142"/>
      <c r="I2060" s="142"/>
      <c r="J2060" s="142"/>
    </row>
    <row r="2061" spans="1:10" x14ac:dyDescent="0.25">
      <c r="A2061" s="28"/>
      <c r="B2061" s="180"/>
      <c r="C2061" s="35"/>
      <c r="D2061" s="36"/>
      <c r="E2061" s="36"/>
      <c r="F2061" s="142"/>
      <c r="G2061" s="142"/>
      <c r="H2061" s="142"/>
      <c r="I2061" s="142"/>
      <c r="J2061" s="142"/>
    </row>
    <row r="2062" spans="1:10" x14ac:dyDescent="0.25">
      <c r="A2062" s="28"/>
      <c r="B2062" s="180"/>
      <c r="C2062" s="35"/>
      <c r="D2062" s="36"/>
      <c r="E2062" s="36"/>
      <c r="F2062" s="142"/>
      <c r="G2062" s="142"/>
      <c r="H2062" s="142"/>
      <c r="I2062" s="142"/>
      <c r="J2062" s="142"/>
    </row>
    <row r="2063" spans="1:10" x14ac:dyDescent="0.25">
      <c r="A2063" s="28"/>
      <c r="B2063" s="180"/>
      <c r="C2063" s="35"/>
      <c r="D2063" s="36"/>
      <c r="E2063" s="36"/>
      <c r="F2063" s="142"/>
      <c r="G2063" s="142"/>
      <c r="H2063" s="142"/>
      <c r="I2063" s="142"/>
      <c r="J2063" s="142"/>
    </row>
    <row r="2064" spans="1:10" x14ac:dyDescent="0.25">
      <c r="A2064" s="28"/>
      <c r="B2064" s="180"/>
      <c r="C2064" s="35"/>
      <c r="D2064" s="36"/>
      <c r="E2064" s="36"/>
      <c r="F2064" s="142"/>
      <c r="G2064" s="142"/>
      <c r="H2064" s="142"/>
      <c r="I2064" s="142"/>
      <c r="J2064" s="142"/>
    </row>
    <row r="2065" spans="1:10" x14ac:dyDescent="0.25">
      <c r="A2065" s="28"/>
      <c r="B2065" s="180"/>
      <c r="C2065" s="35"/>
      <c r="D2065" s="36"/>
      <c r="E2065" s="36"/>
      <c r="F2065" s="142"/>
      <c r="G2065" s="142"/>
      <c r="H2065" s="142"/>
      <c r="I2065" s="142"/>
      <c r="J2065" s="142"/>
    </row>
    <row r="2066" spans="1:10" x14ac:dyDescent="0.25">
      <c r="A2066" s="28"/>
      <c r="B2066" s="180"/>
      <c r="C2066" s="35"/>
      <c r="D2066" s="36"/>
      <c r="E2066" s="36"/>
      <c r="F2066" s="142"/>
      <c r="G2066" s="142"/>
      <c r="H2066" s="142"/>
      <c r="I2066" s="142"/>
      <c r="J2066" s="142"/>
    </row>
    <row r="2067" spans="1:10" x14ac:dyDescent="0.25">
      <c r="A2067" s="28"/>
      <c r="B2067" s="180"/>
      <c r="C2067" s="35"/>
      <c r="D2067" s="36"/>
      <c r="E2067" s="36"/>
      <c r="F2067" s="142"/>
      <c r="G2067" s="142"/>
      <c r="H2067" s="142"/>
      <c r="I2067" s="142"/>
      <c r="J2067" s="142"/>
    </row>
    <row r="2068" spans="1:10" x14ac:dyDescent="0.25">
      <c r="A2068" s="28"/>
      <c r="B2068" s="180"/>
      <c r="C2068" s="35"/>
      <c r="D2068" s="36"/>
      <c r="E2068" s="36"/>
      <c r="F2068" s="142"/>
      <c r="G2068" s="142"/>
      <c r="H2068" s="142"/>
      <c r="I2068" s="142"/>
      <c r="J2068" s="142"/>
    </row>
    <row r="2069" spans="1:10" x14ac:dyDescent="0.25">
      <c r="A2069" s="28"/>
      <c r="B2069" s="180"/>
      <c r="C2069" s="35"/>
      <c r="D2069" s="36"/>
      <c r="E2069" s="36"/>
      <c r="F2069" s="142"/>
      <c r="G2069" s="142"/>
      <c r="H2069" s="142"/>
      <c r="I2069" s="142"/>
      <c r="J2069" s="142"/>
    </row>
    <row r="2070" spans="1:10" x14ac:dyDescent="0.25">
      <c r="A2070" s="28"/>
      <c r="B2070" s="180"/>
      <c r="C2070" s="35"/>
      <c r="D2070" s="36"/>
      <c r="E2070" s="36"/>
      <c r="F2070" s="142"/>
      <c r="G2070" s="142"/>
      <c r="H2070" s="142"/>
      <c r="I2070" s="142"/>
      <c r="J2070" s="142"/>
    </row>
    <row r="2071" spans="1:10" x14ac:dyDescent="0.25">
      <c r="A2071" s="28"/>
      <c r="B2071" s="180"/>
      <c r="C2071" s="35"/>
      <c r="D2071" s="36"/>
      <c r="E2071" s="36"/>
      <c r="F2071" s="142"/>
      <c r="G2071" s="142"/>
      <c r="H2071" s="142"/>
      <c r="I2071" s="142"/>
      <c r="J2071" s="142"/>
    </row>
    <row r="2072" spans="1:10" x14ac:dyDescent="0.25">
      <c r="A2072" s="28"/>
      <c r="B2072" s="180"/>
      <c r="C2072" s="35"/>
      <c r="D2072" s="36"/>
      <c r="E2072" s="36"/>
      <c r="F2072" s="142"/>
      <c r="G2072" s="142"/>
      <c r="H2072" s="142"/>
      <c r="I2072" s="142"/>
      <c r="J2072" s="142"/>
    </row>
    <row r="2073" spans="1:10" x14ac:dyDescent="0.25">
      <c r="A2073" s="28"/>
      <c r="B2073" s="180"/>
      <c r="C2073" s="35"/>
      <c r="D2073" s="36"/>
      <c r="E2073" s="36"/>
      <c r="F2073" s="142"/>
      <c r="G2073" s="142"/>
      <c r="H2073" s="142"/>
      <c r="I2073" s="142"/>
      <c r="J2073" s="142"/>
    </row>
    <row r="2074" spans="1:10" x14ac:dyDescent="0.25">
      <c r="A2074" s="28"/>
      <c r="B2074" s="180"/>
      <c r="C2074" s="35"/>
      <c r="D2074" s="36"/>
      <c r="E2074" s="36"/>
      <c r="F2074" s="142"/>
      <c r="G2074" s="142"/>
      <c r="H2074" s="142"/>
      <c r="I2074" s="142"/>
      <c r="J2074" s="142"/>
    </row>
    <row r="2075" spans="1:10" x14ac:dyDescent="0.25">
      <c r="A2075" s="28"/>
      <c r="B2075" s="180"/>
      <c r="C2075" s="35"/>
      <c r="D2075" s="36"/>
      <c r="E2075" s="36"/>
      <c r="F2075" s="142"/>
      <c r="G2075" s="142"/>
      <c r="H2075" s="142"/>
      <c r="I2075" s="142"/>
      <c r="J2075" s="142"/>
    </row>
    <row r="2076" spans="1:10" x14ac:dyDescent="0.25">
      <c r="A2076" s="28"/>
      <c r="B2076" s="180"/>
      <c r="C2076" s="35"/>
      <c r="D2076" s="36"/>
      <c r="E2076" s="36"/>
      <c r="F2076" s="142"/>
      <c r="G2076" s="142"/>
      <c r="H2076" s="142"/>
      <c r="I2076" s="142"/>
      <c r="J2076" s="142"/>
    </row>
    <row r="2077" spans="1:10" x14ac:dyDescent="0.25">
      <c r="A2077" s="28"/>
      <c r="B2077" s="180"/>
      <c r="C2077" s="35"/>
      <c r="D2077" s="36"/>
      <c r="E2077" s="36"/>
      <c r="F2077" s="142"/>
      <c r="G2077" s="142"/>
      <c r="H2077" s="142"/>
      <c r="I2077" s="142"/>
      <c r="J2077" s="142"/>
    </row>
    <row r="2078" spans="1:10" x14ac:dyDescent="0.25">
      <c r="A2078" s="28"/>
      <c r="B2078" s="180"/>
      <c r="C2078" s="35"/>
      <c r="D2078" s="36"/>
      <c r="E2078" s="36"/>
      <c r="F2078" s="142"/>
      <c r="G2078" s="142"/>
      <c r="H2078" s="142"/>
      <c r="I2078" s="142"/>
      <c r="J2078" s="142"/>
    </row>
    <row r="2079" spans="1:10" x14ac:dyDescent="0.25">
      <c r="A2079" s="28"/>
      <c r="B2079" s="180"/>
      <c r="C2079" s="35"/>
      <c r="D2079" s="36"/>
      <c r="E2079" s="36"/>
      <c r="F2079" s="142"/>
      <c r="G2079" s="142"/>
      <c r="H2079" s="142"/>
      <c r="I2079" s="142"/>
      <c r="J2079" s="142"/>
    </row>
    <row r="2080" spans="1:10" x14ac:dyDescent="0.25">
      <c r="A2080" s="28"/>
      <c r="B2080" s="180"/>
      <c r="C2080" s="35"/>
      <c r="D2080" s="36"/>
      <c r="E2080" s="36"/>
      <c r="F2080" s="142"/>
      <c r="G2080" s="142"/>
      <c r="H2080" s="142"/>
      <c r="I2080" s="142"/>
      <c r="J2080" s="142"/>
    </row>
    <row r="2081" spans="1:10" x14ac:dyDescent="0.25">
      <c r="A2081" s="28"/>
      <c r="B2081" s="180"/>
      <c r="C2081" s="35"/>
      <c r="D2081" s="36"/>
      <c r="E2081" s="36"/>
      <c r="F2081" s="142"/>
      <c r="G2081" s="142"/>
      <c r="H2081" s="142"/>
      <c r="I2081" s="142"/>
      <c r="J2081" s="142"/>
    </row>
    <row r="2082" spans="1:10" x14ac:dyDescent="0.25">
      <c r="A2082" s="28"/>
      <c r="B2082" s="180"/>
      <c r="C2082" s="35"/>
      <c r="D2082" s="36"/>
      <c r="E2082" s="36"/>
      <c r="F2082" s="142"/>
      <c r="G2082" s="142"/>
      <c r="H2082" s="142"/>
      <c r="I2082" s="142"/>
      <c r="J2082" s="142"/>
    </row>
    <row r="2083" spans="1:10" x14ac:dyDescent="0.25">
      <c r="A2083" s="28"/>
      <c r="B2083" s="180"/>
      <c r="C2083" s="35"/>
      <c r="D2083" s="36"/>
      <c r="E2083" s="36"/>
      <c r="F2083" s="142"/>
      <c r="G2083" s="142"/>
      <c r="H2083" s="142"/>
      <c r="I2083" s="142"/>
      <c r="J2083" s="142"/>
    </row>
    <row r="2084" spans="1:10" x14ac:dyDescent="0.25">
      <c r="A2084" s="28"/>
      <c r="B2084" s="180"/>
      <c r="C2084" s="35"/>
      <c r="D2084" s="36"/>
      <c r="E2084" s="36"/>
      <c r="F2084" s="142"/>
      <c r="G2084" s="142"/>
      <c r="H2084" s="142"/>
      <c r="I2084" s="142"/>
      <c r="J2084" s="142"/>
    </row>
    <row r="2085" spans="1:10" x14ac:dyDescent="0.25">
      <c r="A2085" s="28"/>
      <c r="B2085" s="180"/>
      <c r="C2085" s="35"/>
      <c r="D2085" s="36"/>
      <c r="E2085" s="36"/>
      <c r="F2085" s="142"/>
      <c r="G2085" s="142"/>
      <c r="H2085" s="142"/>
      <c r="I2085" s="142"/>
      <c r="J2085" s="142"/>
    </row>
    <row r="2086" spans="1:10" x14ac:dyDescent="0.25">
      <c r="A2086" s="28"/>
      <c r="B2086" s="180"/>
      <c r="C2086" s="35"/>
      <c r="D2086" s="36"/>
      <c r="E2086" s="36"/>
      <c r="F2086" s="142"/>
      <c r="G2086" s="142"/>
      <c r="H2086" s="142"/>
      <c r="I2086" s="142"/>
      <c r="J2086" s="142"/>
    </row>
    <row r="2087" spans="1:10" x14ac:dyDescent="0.25">
      <c r="A2087" s="28"/>
      <c r="B2087" s="180"/>
      <c r="C2087" s="35"/>
      <c r="D2087" s="36"/>
      <c r="E2087" s="36"/>
      <c r="F2087" s="142"/>
      <c r="G2087" s="142"/>
      <c r="H2087" s="142"/>
      <c r="I2087" s="142"/>
      <c r="J2087" s="142"/>
    </row>
    <row r="2088" spans="1:10" x14ac:dyDescent="0.25">
      <c r="A2088" s="28"/>
      <c r="B2088" s="180"/>
      <c r="C2088" s="35"/>
      <c r="D2088" s="36"/>
      <c r="E2088" s="36"/>
      <c r="F2088" s="142"/>
      <c r="G2088" s="142"/>
      <c r="H2088" s="142"/>
      <c r="I2088" s="142"/>
      <c r="J2088" s="142"/>
    </row>
    <row r="2089" spans="1:10" x14ac:dyDescent="0.25">
      <c r="A2089" s="28"/>
      <c r="B2089" s="180"/>
      <c r="C2089" s="35"/>
      <c r="D2089" s="36"/>
      <c r="E2089" s="36"/>
      <c r="F2089" s="142"/>
      <c r="G2089" s="142"/>
      <c r="H2089" s="142"/>
      <c r="I2089" s="142"/>
      <c r="J2089" s="142"/>
    </row>
    <row r="2090" spans="1:10" x14ac:dyDescent="0.25">
      <c r="A2090" s="28"/>
      <c r="B2090" s="180"/>
      <c r="C2090" s="35"/>
      <c r="D2090" s="36"/>
      <c r="E2090" s="36"/>
      <c r="F2090" s="142"/>
      <c r="G2090" s="142"/>
      <c r="H2090" s="142"/>
      <c r="I2090" s="142"/>
      <c r="J2090" s="142"/>
    </row>
    <row r="2091" spans="1:10" x14ac:dyDescent="0.25">
      <c r="A2091" s="28"/>
      <c r="B2091" s="180"/>
      <c r="C2091" s="35"/>
      <c r="D2091" s="36"/>
      <c r="E2091" s="36"/>
      <c r="F2091" s="142"/>
      <c r="G2091" s="142"/>
      <c r="H2091" s="142"/>
      <c r="I2091" s="142"/>
      <c r="J2091" s="142"/>
    </row>
    <row r="2092" spans="1:10" x14ac:dyDescent="0.25">
      <c r="A2092" s="28"/>
      <c r="B2092" s="180"/>
      <c r="C2092" s="35"/>
      <c r="D2092" s="36"/>
      <c r="E2092" s="36"/>
      <c r="F2092" s="142"/>
      <c r="G2092" s="142"/>
      <c r="H2092" s="142"/>
      <c r="I2092" s="142"/>
      <c r="J2092" s="142"/>
    </row>
    <row r="2093" spans="1:10" x14ac:dyDescent="0.25">
      <c r="A2093" s="28"/>
      <c r="B2093" s="180"/>
      <c r="C2093" s="35"/>
      <c r="D2093" s="36"/>
      <c r="E2093" s="36"/>
      <c r="F2093" s="142"/>
      <c r="G2093" s="142"/>
      <c r="H2093" s="142"/>
      <c r="I2093" s="142"/>
      <c r="J2093" s="142"/>
    </row>
    <row r="2094" spans="1:10" x14ac:dyDescent="0.25">
      <c r="A2094" s="28"/>
      <c r="B2094" s="180"/>
      <c r="C2094" s="35"/>
      <c r="D2094" s="36"/>
      <c r="E2094" s="36"/>
      <c r="F2094" s="142"/>
      <c r="G2094" s="142"/>
      <c r="H2094" s="142"/>
      <c r="I2094" s="142"/>
      <c r="J2094" s="142"/>
    </row>
    <row r="2095" spans="1:10" x14ac:dyDescent="0.25">
      <c r="A2095" s="28"/>
      <c r="B2095" s="180"/>
      <c r="C2095" s="35"/>
      <c r="D2095" s="36"/>
      <c r="E2095" s="36"/>
      <c r="F2095" s="142"/>
      <c r="G2095" s="142"/>
      <c r="H2095" s="142"/>
      <c r="I2095" s="142"/>
      <c r="J2095" s="142"/>
    </row>
    <row r="2096" spans="1:10" x14ac:dyDescent="0.25">
      <c r="A2096" s="28"/>
      <c r="B2096" s="180"/>
      <c r="C2096" s="35"/>
      <c r="D2096" s="36"/>
      <c r="E2096" s="36"/>
      <c r="F2096" s="142"/>
      <c r="G2096" s="142"/>
      <c r="H2096" s="142"/>
      <c r="I2096" s="142"/>
      <c r="J2096" s="142"/>
    </row>
    <row r="2097" spans="1:10" x14ac:dyDescent="0.25">
      <c r="A2097" s="28"/>
      <c r="B2097" s="180"/>
      <c r="C2097" s="35"/>
      <c r="D2097" s="36"/>
      <c r="E2097" s="36"/>
      <c r="F2097" s="142"/>
      <c r="G2097" s="142"/>
      <c r="H2097" s="142"/>
      <c r="I2097" s="142"/>
      <c r="J2097" s="142"/>
    </row>
    <row r="2098" spans="1:10" x14ac:dyDescent="0.25">
      <c r="A2098" s="28"/>
      <c r="B2098" s="180"/>
      <c r="C2098" s="35"/>
      <c r="D2098" s="36"/>
      <c r="E2098" s="36"/>
      <c r="F2098" s="142"/>
      <c r="G2098" s="142"/>
      <c r="H2098" s="142"/>
      <c r="I2098" s="142"/>
      <c r="J2098" s="142"/>
    </row>
    <row r="2099" spans="1:10" x14ac:dyDescent="0.25">
      <c r="A2099" s="28"/>
      <c r="B2099" s="180"/>
      <c r="C2099" s="35"/>
      <c r="D2099" s="36"/>
      <c r="E2099" s="36"/>
      <c r="F2099" s="142"/>
      <c r="G2099" s="142"/>
      <c r="H2099" s="142"/>
      <c r="I2099" s="142"/>
      <c r="J2099" s="142"/>
    </row>
    <row r="2100" spans="1:10" x14ac:dyDescent="0.25">
      <c r="A2100" s="28"/>
      <c r="B2100" s="180"/>
      <c r="C2100" s="35"/>
      <c r="D2100" s="36"/>
      <c r="E2100" s="36"/>
      <c r="F2100" s="142"/>
      <c r="G2100" s="142"/>
      <c r="H2100" s="142"/>
      <c r="I2100" s="142"/>
      <c r="J2100" s="142"/>
    </row>
    <row r="2101" spans="1:10" x14ac:dyDescent="0.25">
      <c r="A2101" s="28"/>
      <c r="B2101" s="180"/>
      <c r="C2101" s="35"/>
      <c r="D2101" s="36"/>
      <c r="E2101" s="36"/>
      <c r="F2101" s="142"/>
      <c r="G2101" s="142"/>
      <c r="H2101" s="142"/>
      <c r="I2101" s="142"/>
      <c r="J2101" s="142"/>
    </row>
    <row r="2102" spans="1:10" x14ac:dyDescent="0.25">
      <c r="A2102" s="28"/>
      <c r="B2102" s="180"/>
      <c r="C2102" s="35"/>
      <c r="D2102" s="36"/>
      <c r="E2102" s="36"/>
      <c r="F2102" s="142"/>
      <c r="G2102" s="142"/>
      <c r="H2102" s="142"/>
      <c r="I2102" s="142"/>
      <c r="J2102" s="142"/>
    </row>
    <row r="2103" spans="1:10" x14ac:dyDescent="0.25">
      <c r="A2103" s="28"/>
      <c r="B2103" s="180"/>
      <c r="C2103" s="35"/>
      <c r="D2103" s="36"/>
      <c r="E2103" s="36"/>
      <c r="F2103" s="142"/>
      <c r="G2103" s="142"/>
      <c r="H2103" s="142"/>
      <c r="I2103" s="142"/>
      <c r="J2103" s="142"/>
    </row>
    <row r="2104" spans="1:10" x14ac:dyDescent="0.25">
      <c r="A2104" s="28"/>
      <c r="B2104" s="180"/>
      <c r="C2104" s="35"/>
      <c r="D2104" s="36"/>
      <c r="E2104" s="36"/>
      <c r="F2104" s="142"/>
      <c r="G2104" s="142"/>
      <c r="H2104" s="142"/>
      <c r="I2104" s="142"/>
      <c r="J2104" s="142"/>
    </row>
    <row r="2105" spans="1:10" x14ac:dyDescent="0.25">
      <c r="A2105" s="28"/>
      <c r="B2105" s="180"/>
      <c r="C2105" s="35"/>
      <c r="D2105" s="36"/>
      <c r="E2105" s="36"/>
      <c r="F2105" s="142"/>
      <c r="G2105" s="142"/>
      <c r="H2105" s="142"/>
      <c r="I2105" s="142"/>
      <c r="J2105" s="142"/>
    </row>
    <row r="2106" spans="1:10" x14ac:dyDescent="0.25">
      <c r="A2106" s="28"/>
      <c r="B2106" s="180"/>
      <c r="C2106" s="35"/>
      <c r="D2106" s="36"/>
      <c r="E2106" s="36"/>
      <c r="F2106" s="142"/>
      <c r="G2106" s="142"/>
      <c r="H2106" s="142"/>
      <c r="I2106" s="142"/>
      <c r="J2106" s="142"/>
    </row>
    <row r="2107" spans="1:10" x14ac:dyDescent="0.25">
      <c r="A2107" s="28"/>
      <c r="B2107" s="180"/>
      <c r="C2107" s="35"/>
      <c r="D2107" s="36"/>
      <c r="E2107" s="36"/>
      <c r="F2107" s="142"/>
      <c r="G2107" s="142"/>
      <c r="H2107" s="142"/>
      <c r="I2107" s="142"/>
      <c r="J2107" s="142"/>
    </row>
    <row r="2108" spans="1:10" x14ac:dyDescent="0.25">
      <c r="A2108" s="28"/>
      <c r="B2108" s="180"/>
      <c r="C2108" s="35"/>
      <c r="D2108" s="36"/>
      <c r="E2108" s="36"/>
      <c r="F2108" s="142"/>
      <c r="G2108" s="142"/>
      <c r="H2108" s="142"/>
      <c r="I2108" s="142"/>
      <c r="J2108" s="142"/>
    </row>
    <row r="2109" spans="1:10" x14ac:dyDescent="0.25">
      <c r="A2109" s="28"/>
      <c r="B2109" s="180"/>
      <c r="C2109" s="35"/>
      <c r="D2109" s="36"/>
      <c r="E2109" s="36"/>
      <c r="F2109" s="142"/>
      <c r="G2109" s="142"/>
      <c r="H2109" s="142"/>
      <c r="I2109" s="142"/>
      <c r="J2109" s="142"/>
    </row>
    <row r="2110" spans="1:10" x14ac:dyDescent="0.25">
      <c r="A2110" s="28"/>
      <c r="B2110" s="180"/>
      <c r="C2110" s="35"/>
      <c r="D2110" s="36"/>
      <c r="E2110" s="36"/>
      <c r="F2110" s="142"/>
      <c r="G2110" s="142"/>
      <c r="H2110" s="142"/>
      <c r="I2110" s="142"/>
      <c r="J2110" s="142"/>
    </row>
    <row r="2111" spans="1:10" x14ac:dyDescent="0.25">
      <c r="A2111" s="28"/>
      <c r="B2111" s="180"/>
      <c r="C2111" s="35"/>
      <c r="D2111" s="36"/>
      <c r="E2111" s="36"/>
      <c r="F2111" s="142"/>
      <c r="G2111" s="142"/>
      <c r="H2111" s="142"/>
      <c r="I2111" s="142"/>
      <c r="J2111" s="142"/>
    </row>
    <row r="2112" spans="1:10" x14ac:dyDescent="0.25">
      <c r="A2112" s="28"/>
      <c r="B2112" s="180"/>
      <c r="C2112" s="35"/>
      <c r="D2112" s="36"/>
      <c r="E2112" s="36"/>
      <c r="F2112" s="142"/>
      <c r="G2112" s="142"/>
      <c r="H2112" s="142"/>
      <c r="I2112" s="142"/>
      <c r="J2112" s="142"/>
    </row>
    <row r="2113" spans="1:10" x14ac:dyDescent="0.25">
      <c r="A2113" s="28"/>
      <c r="B2113" s="180"/>
      <c r="C2113" s="35"/>
      <c r="D2113" s="36"/>
      <c r="E2113" s="36"/>
      <c r="F2113" s="142"/>
      <c r="G2113" s="142"/>
      <c r="H2113" s="142"/>
      <c r="I2113" s="142"/>
      <c r="J2113" s="142"/>
    </row>
    <row r="2114" spans="1:10" x14ac:dyDescent="0.25">
      <c r="A2114" s="28"/>
      <c r="B2114" s="180"/>
      <c r="C2114" s="35"/>
      <c r="D2114" s="36"/>
      <c r="E2114" s="36"/>
      <c r="F2114" s="142"/>
      <c r="G2114" s="142"/>
      <c r="H2114" s="142"/>
      <c r="I2114" s="142"/>
      <c r="J2114" s="142"/>
    </row>
    <row r="2115" spans="1:10" x14ac:dyDescent="0.25">
      <c r="A2115" s="28"/>
      <c r="B2115" s="180"/>
      <c r="C2115" s="35"/>
      <c r="D2115" s="36"/>
      <c r="E2115" s="36"/>
      <c r="F2115" s="142"/>
      <c r="G2115" s="142"/>
      <c r="H2115" s="142"/>
      <c r="I2115" s="142"/>
      <c r="J2115" s="142"/>
    </row>
    <row r="2116" spans="1:10" x14ac:dyDescent="0.25">
      <c r="A2116" s="28"/>
      <c r="B2116" s="180"/>
      <c r="C2116" s="35"/>
      <c r="D2116" s="36"/>
      <c r="E2116" s="36"/>
      <c r="F2116" s="142"/>
      <c r="G2116" s="142"/>
      <c r="H2116" s="142"/>
      <c r="I2116" s="142"/>
      <c r="J2116" s="142"/>
    </row>
    <row r="2117" spans="1:10" x14ac:dyDescent="0.25">
      <c r="A2117" s="28"/>
      <c r="B2117" s="180"/>
      <c r="C2117" s="35"/>
      <c r="D2117" s="36"/>
      <c r="E2117" s="36"/>
      <c r="F2117" s="142"/>
      <c r="G2117" s="142"/>
      <c r="H2117" s="142"/>
      <c r="I2117" s="142"/>
      <c r="J2117" s="142"/>
    </row>
    <row r="2118" spans="1:10" x14ac:dyDescent="0.25">
      <c r="A2118" s="28"/>
      <c r="B2118" s="180"/>
      <c r="C2118" s="35"/>
      <c r="D2118" s="36"/>
      <c r="E2118" s="36"/>
      <c r="F2118" s="142"/>
      <c r="G2118" s="142"/>
      <c r="H2118" s="142"/>
      <c r="I2118" s="142"/>
      <c r="J2118" s="142"/>
    </row>
    <row r="2119" spans="1:10" x14ac:dyDescent="0.25">
      <c r="A2119" s="28"/>
      <c r="B2119" s="180"/>
      <c r="C2119" s="35"/>
      <c r="D2119" s="36"/>
      <c r="E2119" s="36"/>
      <c r="F2119" s="142"/>
      <c r="G2119" s="142"/>
      <c r="H2119" s="142"/>
      <c r="I2119" s="142"/>
      <c r="J2119" s="142"/>
    </row>
    <row r="2120" spans="1:10" x14ac:dyDescent="0.25">
      <c r="A2120" s="28"/>
      <c r="B2120" s="180"/>
      <c r="C2120" s="35"/>
      <c r="D2120" s="36"/>
      <c r="E2120" s="36"/>
      <c r="F2120" s="142"/>
      <c r="G2120" s="142"/>
      <c r="H2120" s="142"/>
      <c r="I2120" s="142"/>
      <c r="J2120" s="142"/>
    </row>
    <row r="2121" spans="1:10" x14ac:dyDescent="0.25">
      <c r="A2121" s="28"/>
      <c r="B2121" s="180"/>
      <c r="C2121" s="35"/>
      <c r="D2121" s="36"/>
      <c r="E2121" s="36"/>
      <c r="F2121" s="142"/>
      <c r="G2121" s="142"/>
      <c r="H2121" s="142"/>
      <c r="I2121" s="142"/>
      <c r="J2121" s="142"/>
    </row>
    <row r="2122" spans="1:10" x14ac:dyDescent="0.25">
      <c r="A2122" s="28"/>
      <c r="B2122" s="180"/>
      <c r="C2122" s="35"/>
      <c r="D2122" s="36"/>
      <c r="E2122" s="36"/>
      <c r="F2122" s="142"/>
      <c r="G2122" s="142"/>
      <c r="H2122" s="142"/>
      <c r="I2122" s="142"/>
      <c r="J2122" s="142"/>
    </row>
    <row r="2123" spans="1:10" x14ac:dyDescent="0.25">
      <c r="A2123" s="28"/>
      <c r="B2123" s="180"/>
      <c r="C2123" s="35"/>
      <c r="D2123" s="36"/>
      <c r="E2123" s="36"/>
      <c r="F2123" s="142"/>
      <c r="G2123" s="142"/>
      <c r="H2123" s="142"/>
      <c r="I2123" s="142"/>
      <c r="J2123" s="142"/>
    </row>
    <row r="2124" spans="1:10" x14ac:dyDescent="0.25">
      <c r="A2124" s="28"/>
      <c r="B2124" s="180"/>
      <c r="C2124" s="35"/>
      <c r="D2124" s="36"/>
      <c r="E2124" s="36"/>
      <c r="F2124" s="142"/>
      <c r="G2124" s="142"/>
      <c r="H2124" s="142"/>
      <c r="I2124" s="142"/>
      <c r="J2124" s="142"/>
    </row>
    <row r="2125" spans="1:10" x14ac:dyDescent="0.25">
      <c r="A2125" s="28"/>
      <c r="B2125" s="180"/>
      <c r="C2125" s="35"/>
      <c r="D2125" s="36"/>
      <c r="E2125" s="36"/>
      <c r="F2125" s="142"/>
      <c r="G2125" s="142"/>
      <c r="H2125" s="142"/>
      <c r="I2125" s="142"/>
      <c r="J2125" s="142"/>
    </row>
    <row r="2126" spans="1:10" x14ac:dyDescent="0.25">
      <c r="A2126" s="28"/>
      <c r="B2126" s="180"/>
      <c r="C2126" s="35"/>
      <c r="D2126" s="36"/>
      <c r="E2126" s="36"/>
      <c r="F2126" s="142"/>
      <c r="G2126" s="142"/>
      <c r="H2126" s="142"/>
      <c r="I2126" s="142"/>
      <c r="J2126" s="142"/>
    </row>
    <row r="2127" spans="1:10" x14ac:dyDescent="0.25">
      <c r="A2127" s="28"/>
      <c r="B2127" s="180"/>
      <c r="C2127" s="35"/>
      <c r="D2127" s="36"/>
      <c r="E2127" s="36"/>
      <c r="F2127" s="142"/>
      <c r="G2127" s="142"/>
      <c r="H2127" s="142"/>
      <c r="I2127" s="142"/>
      <c r="J2127" s="142"/>
    </row>
    <row r="2128" spans="1:10" x14ac:dyDescent="0.25">
      <c r="A2128" s="28"/>
      <c r="B2128" s="180"/>
      <c r="C2128" s="35"/>
      <c r="D2128" s="36"/>
      <c r="E2128" s="36"/>
      <c r="F2128" s="142"/>
      <c r="G2128" s="142"/>
      <c r="H2128" s="142"/>
      <c r="I2128" s="142"/>
      <c r="J2128" s="142"/>
    </row>
    <row r="2129" spans="1:10" x14ac:dyDescent="0.25">
      <c r="A2129" s="28"/>
      <c r="B2129" s="180"/>
      <c r="C2129" s="35"/>
      <c r="D2129" s="36"/>
      <c r="E2129" s="36"/>
      <c r="F2129" s="142"/>
      <c r="G2129" s="142"/>
      <c r="H2129" s="142"/>
      <c r="I2129" s="142"/>
      <c r="J2129" s="142"/>
    </row>
    <row r="2130" spans="1:10" x14ac:dyDescent="0.25">
      <c r="A2130" s="28"/>
      <c r="B2130" s="180"/>
      <c r="C2130" s="35"/>
      <c r="D2130" s="36"/>
      <c r="E2130" s="36"/>
      <c r="F2130" s="142"/>
      <c r="G2130" s="142"/>
      <c r="H2130" s="142"/>
      <c r="I2130" s="142"/>
      <c r="J2130" s="142"/>
    </row>
    <row r="2131" spans="1:10" x14ac:dyDescent="0.25">
      <c r="A2131" s="28"/>
      <c r="B2131" s="180"/>
      <c r="C2131" s="35"/>
      <c r="D2131" s="36"/>
      <c r="E2131" s="36"/>
      <c r="F2131" s="142"/>
      <c r="G2131" s="142"/>
      <c r="H2131" s="142"/>
      <c r="I2131" s="142"/>
      <c r="J2131" s="142"/>
    </row>
    <row r="2132" spans="1:10" x14ac:dyDescent="0.25">
      <c r="A2132" s="28"/>
      <c r="B2132" s="180"/>
      <c r="C2132" s="35"/>
      <c r="D2132" s="36"/>
      <c r="E2132" s="36"/>
      <c r="F2132" s="142"/>
      <c r="G2132" s="142"/>
      <c r="H2132" s="142"/>
      <c r="I2132" s="142"/>
      <c r="J2132" s="142"/>
    </row>
    <row r="2133" spans="1:10" x14ac:dyDescent="0.25">
      <c r="A2133" s="28"/>
      <c r="B2133" s="180"/>
      <c r="C2133" s="35"/>
      <c r="D2133" s="36"/>
      <c r="E2133" s="36"/>
      <c r="F2133" s="142"/>
      <c r="G2133" s="142"/>
      <c r="H2133" s="142"/>
      <c r="I2133" s="142"/>
      <c r="J2133" s="142"/>
    </row>
    <row r="2134" spans="1:10" x14ac:dyDescent="0.25">
      <c r="A2134" s="28"/>
      <c r="B2134" s="180"/>
      <c r="C2134" s="35"/>
      <c r="D2134" s="36"/>
      <c r="E2134" s="36"/>
      <c r="F2134" s="142"/>
      <c r="G2134" s="142"/>
      <c r="H2134" s="142"/>
      <c r="I2134" s="142"/>
      <c r="J2134" s="142"/>
    </row>
    <row r="2135" spans="1:10" x14ac:dyDescent="0.25">
      <c r="A2135" s="28"/>
      <c r="B2135" s="180"/>
      <c r="C2135" s="35"/>
      <c r="D2135" s="36"/>
      <c r="E2135" s="36"/>
      <c r="F2135" s="142"/>
      <c r="G2135" s="142"/>
      <c r="H2135" s="142"/>
      <c r="I2135" s="142"/>
      <c r="J2135" s="142"/>
    </row>
    <row r="2136" spans="1:10" x14ac:dyDescent="0.25">
      <c r="A2136" s="28"/>
      <c r="B2136" s="180"/>
      <c r="C2136" s="35"/>
      <c r="D2136" s="36"/>
      <c r="E2136" s="36"/>
      <c r="F2136" s="142"/>
      <c r="G2136" s="142"/>
      <c r="H2136" s="142"/>
      <c r="I2136" s="142"/>
      <c r="J2136" s="142"/>
    </row>
    <row r="2137" spans="1:10" x14ac:dyDescent="0.25">
      <c r="A2137" s="28"/>
      <c r="B2137" s="180"/>
      <c r="C2137" s="35"/>
      <c r="D2137" s="36"/>
      <c r="E2137" s="36"/>
      <c r="F2137" s="142"/>
      <c r="G2137" s="142"/>
      <c r="H2137" s="142"/>
      <c r="I2137" s="142"/>
      <c r="J2137" s="142"/>
    </row>
    <row r="2138" spans="1:10" x14ac:dyDescent="0.25">
      <c r="A2138" s="28"/>
      <c r="B2138" s="180"/>
      <c r="C2138" s="35"/>
      <c r="D2138" s="36"/>
      <c r="E2138" s="36"/>
      <c r="F2138" s="142"/>
      <c r="G2138" s="142"/>
      <c r="H2138" s="142"/>
      <c r="I2138" s="142"/>
      <c r="J2138" s="142"/>
    </row>
    <row r="2139" spans="1:10" x14ac:dyDescent="0.25">
      <c r="A2139" s="28"/>
      <c r="B2139" s="180"/>
      <c r="C2139" s="35"/>
      <c r="D2139" s="36"/>
      <c r="E2139" s="36"/>
      <c r="F2139" s="142"/>
      <c r="G2139" s="142"/>
      <c r="H2139" s="142"/>
      <c r="I2139" s="142"/>
      <c r="J2139" s="142"/>
    </row>
    <row r="2140" spans="1:10" x14ac:dyDescent="0.25">
      <c r="A2140" s="28"/>
      <c r="B2140" s="180"/>
      <c r="C2140" s="35"/>
      <c r="D2140" s="36"/>
      <c r="E2140" s="36"/>
      <c r="F2140" s="142"/>
      <c r="G2140" s="142"/>
      <c r="H2140" s="142"/>
      <c r="I2140" s="142"/>
      <c r="J2140" s="142"/>
    </row>
    <row r="2141" spans="1:10" x14ac:dyDescent="0.25">
      <c r="A2141" s="28"/>
      <c r="B2141" s="180"/>
      <c r="C2141" s="35"/>
      <c r="D2141" s="36"/>
      <c r="E2141" s="36"/>
      <c r="F2141" s="142"/>
      <c r="G2141" s="142"/>
      <c r="H2141" s="142"/>
      <c r="I2141" s="142"/>
      <c r="J2141" s="142"/>
    </row>
    <row r="2142" spans="1:10" x14ac:dyDescent="0.25">
      <c r="A2142" s="28"/>
      <c r="B2142" s="180"/>
      <c r="C2142" s="35"/>
      <c r="D2142" s="36"/>
      <c r="E2142" s="36"/>
      <c r="F2142" s="142"/>
      <c r="G2142" s="142"/>
      <c r="H2142" s="142"/>
      <c r="I2142" s="142"/>
      <c r="J2142" s="142"/>
    </row>
    <row r="2143" spans="1:10" x14ac:dyDescent="0.25">
      <c r="A2143" s="28"/>
      <c r="B2143" s="180"/>
      <c r="C2143" s="35"/>
      <c r="D2143" s="36"/>
      <c r="E2143" s="36"/>
      <c r="F2143" s="142"/>
      <c r="G2143" s="142"/>
      <c r="H2143" s="142"/>
      <c r="I2143" s="142"/>
      <c r="J2143" s="142"/>
    </row>
    <row r="2144" spans="1:10" x14ac:dyDescent="0.25">
      <c r="A2144" s="28"/>
      <c r="B2144" s="180"/>
      <c r="C2144" s="35"/>
      <c r="D2144" s="36"/>
      <c r="E2144" s="36"/>
      <c r="F2144" s="142"/>
      <c r="G2144" s="142"/>
      <c r="H2144" s="142"/>
      <c r="I2144" s="142"/>
      <c r="J2144" s="142"/>
    </row>
    <row r="2145" spans="1:10" x14ac:dyDescent="0.25">
      <c r="A2145" s="28"/>
      <c r="B2145" s="180"/>
      <c r="C2145" s="35"/>
      <c r="D2145" s="36"/>
      <c r="E2145" s="36"/>
      <c r="F2145" s="142"/>
      <c r="G2145" s="142"/>
      <c r="H2145" s="142"/>
      <c r="I2145" s="142"/>
      <c r="J2145" s="142"/>
    </row>
    <row r="2146" spans="1:10" x14ac:dyDescent="0.25">
      <c r="A2146" s="28"/>
      <c r="B2146" s="180"/>
      <c r="C2146" s="35"/>
      <c r="D2146" s="36"/>
      <c r="E2146" s="36"/>
      <c r="F2146" s="142"/>
      <c r="G2146" s="142"/>
      <c r="H2146" s="142"/>
      <c r="I2146" s="142"/>
      <c r="J2146" s="142"/>
    </row>
    <row r="2147" spans="1:10" x14ac:dyDescent="0.25">
      <c r="A2147" s="28"/>
      <c r="B2147" s="180"/>
      <c r="C2147" s="35"/>
      <c r="D2147" s="36"/>
      <c r="E2147" s="36"/>
      <c r="F2147" s="142"/>
      <c r="G2147" s="142"/>
      <c r="H2147" s="142"/>
      <c r="I2147" s="142"/>
      <c r="J2147" s="142"/>
    </row>
    <row r="2148" spans="1:10" x14ac:dyDescent="0.25">
      <c r="A2148" s="28"/>
      <c r="B2148" s="180"/>
      <c r="C2148" s="35"/>
      <c r="D2148" s="36"/>
      <c r="E2148" s="36"/>
      <c r="F2148" s="142"/>
      <c r="G2148" s="142"/>
      <c r="H2148" s="142"/>
      <c r="I2148" s="142"/>
      <c r="J2148" s="142"/>
    </row>
    <row r="2149" spans="1:10" x14ac:dyDescent="0.25">
      <c r="A2149" s="28"/>
      <c r="B2149" s="180"/>
      <c r="C2149" s="35"/>
      <c r="D2149" s="36"/>
      <c r="E2149" s="36"/>
      <c r="F2149" s="142"/>
      <c r="G2149" s="142"/>
      <c r="H2149" s="142"/>
      <c r="I2149" s="142"/>
      <c r="J2149" s="142"/>
    </row>
    <row r="2150" spans="1:10" x14ac:dyDescent="0.25">
      <c r="A2150" s="28"/>
      <c r="B2150" s="180"/>
      <c r="C2150" s="35"/>
      <c r="D2150" s="36"/>
      <c r="E2150" s="36"/>
      <c r="F2150" s="142"/>
      <c r="G2150" s="142"/>
      <c r="H2150" s="142"/>
      <c r="I2150" s="142"/>
      <c r="J2150" s="142"/>
    </row>
    <row r="2151" spans="1:10" x14ac:dyDescent="0.25">
      <c r="A2151" s="28"/>
      <c r="B2151" s="180"/>
      <c r="C2151" s="35"/>
      <c r="D2151" s="36"/>
      <c r="E2151" s="36"/>
      <c r="F2151" s="142"/>
      <c r="G2151" s="142"/>
      <c r="H2151" s="142"/>
      <c r="I2151" s="142"/>
      <c r="J2151" s="142"/>
    </row>
    <row r="2152" spans="1:10" x14ac:dyDescent="0.25">
      <c r="A2152" s="28"/>
      <c r="B2152" s="180"/>
      <c r="C2152" s="35"/>
      <c r="D2152" s="36"/>
      <c r="E2152" s="36"/>
      <c r="F2152" s="142"/>
      <c r="G2152" s="142"/>
      <c r="H2152" s="142"/>
      <c r="I2152" s="142"/>
      <c r="J2152" s="142"/>
    </row>
    <row r="2153" spans="1:10" x14ac:dyDescent="0.25">
      <c r="A2153" s="28"/>
      <c r="B2153" s="180"/>
      <c r="C2153" s="35"/>
      <c r="D2153" s="36"/>
      <c r="E2153" s="36"/>
      <c r="F2153" s="142"/>
      <c r="G2153" s="142"/>
      <c r="H2153" s="142"/>
      <c r="I2153" s="142"/>
      <c r="J2153" s="142"/>
    </row>
    <row r="2154" spans="1:10" x14ac:dyDescent="0.25">
      <c r="A2154" s="28"/>
      <c r="B2154" s="180"/>
      <c r="C2154" s="35"/>
      <c r="D2154" s="36"/>
      <c r="E2154" s="36"/>
      <c r="F2154" s="142"/>
      <c r="G2154" s="142"/>
      <c r="H2154" s="142"/>
      <c r="I2154" s="142"/>
      <c r="J2154" s="142"/>
    </row>
    <row r="2155" spans="1:10" x14ac:dyDescent="0.25">
      <c r="A2155" s="28"/>
      <c r="B2155" s="180"/>
      <c r="C2155" s="35"/>
      <c r="D2155" s="36"/>
      <c r="E2155" s="36"/>
      <c r="F2155" s="142"/>
      <c r="G2155" s="142"/>
      <c r="H2155" s="142"/>
      <c r="I2155" s="142"/>
      <c r="J2155" s="142"/>
    </row>
    <row r="2156" spans="1:10" x14ac:dyDescent="0.25">
      <c r="A2156" s="28"/>
      <c r="B2156" s="180"/>
      <c r="C2156" s="35"/>
      <c r="D2156" s="36"/>
      <c r="E2156" s="36"/>
      <c r="F2156" s="142"/>
      <c r="G2156" s="142"/>
      <c r="H2156" s="142"/>
      <c r="I2156" s="142"/>
      <c r="J2156" s="142"/>
    </row>
    <row r="2157" spans="1:10" x14ac:dyDescent="0.25">
      <c r="A2157" s="28"/>
      <c r="B2157" s="180"/>
      <c r="C2157" s="35"/>
      <c r="D2157" s="36"/>
      <c r="E2157" s="36"/>
      <c r="F2157" s="142"/>
      <c r="G2157" s="142"/>
      <c r="H2157" s="142"/>
      <c r="I2157" s="142"/>
      <c r="J2157" s="142"/>
    </row>
    <row r="2158" spans="1:10" x14ac:dyDescent="0.25">
      <c r="A2158" s="28"/>
      <c r="B2158" s="180"/>
      <c r="C2158" s="35"/>
      <c r="D2158" s="36"/>
      <c r="E2158" s="36"/>
      <c r="F2158" s="142"/>
      <c r="G2158" s="142"/>
      <c r="H2158" s="142"/>
      <c r="I2158" s="142"/>
      <c r="J2158" s="142"/>
    </row>
    <row r="2159" spans="1:10" x14ac:dyDescent="0.25">
      <c r="A2159" s="28"/>
      <c r="B2159" s="180"/>
      <c r="C2159" s="35"/>
      <c r="D2159" s="36"/>
      <c r="E2159" s="36"/>
      <c r="F2159" s="142"/>
      <c r="G2159" s="142"/>
      <c r="H2159" s="142"/>
      <c r="I2159" s="142"/>
      <c r="J2159" s="142"/>
    </row>
    <row r="2160" spans="1:10" x14ac:dyDescent="0.25">
      <c r="A2160" s="28"/>
      <c r="B2160" s="180"/>
      <c r="C2160" s="35"/>
      <c r="D2160" s="36"/>
      <c r="E2160" s="36"/>
      <c r="F2160" s="142"/>
      <c r="G2160" s="142"/>
      <c r="H2160" s="142"/>
      <c r="I2160" s="142"/>
      <c r="J2160" s="142"/>
    </row>
    <row r="2161" spans="1:10" x14ac:dyDescent="0.25">
      <c r="A2161" s="28"/>
      <c r="B2161" s="180"/>
      <c r="C2161" s="35"/>
      <c r="D2161" s="36"/>
      <c r="E2161" s="36"/>
      <c r="F2161" s="142"/>
      <c r="G2161" s="142"/>
      <c r="H2161" s="142"/>
      <c r="I2161" s="142"/>
      <c r="J2161" s="142"/>
    </row>
    <row r="2162" spans="1:10" x14ac:dyDescent="0.25">
      <c r="A2162" s="28"/>
      <c r="B2162" s="180"/>
      <c r="C2162" s="35"/>
      <c r="D2162" s="36"/>
      <c r="E2162" s="36"/>
      <c r="F2162" s="142"/>
      <c r="G2162" s="142"/>
      <c r="H2162" s="142"/>
      <c r="I2162" s="142"/>
      <c r="J2162" s="142"/>
    </row>
    <row r="2163" spans="1:10" x14ac:dyDescent="0.25">
      <c r="A2163" s="28"/>
      <c r="B2163" s="180"/>
      <c r="C2163" s="35"/>
      <c r="D2163" s="36"/>
      <c r="E2163" s="36"/>
      <c r="F2163" s="142"/>
      <c r="G2163" s="142"/>
      <c r="H2163" s="142"/>
      <c r="I2163" s="142"/>
      <c r="J2163" s="142"/>
    </row>
    <row r="2164" spans="1:10" x14ac:dyDescent="0.25">
      <c r="A2164" s="28"/>
      <c r="B2164" s="180"/>
      <c r="C2164" s="35"/>
      <c r="D2164" s="36"/>
      <c r="E2164" s="36"/>
      <c r="F2164" s="142"/>
      <c r="G2164" s="142"/>
      <c r="H2164" s="142"/>
      <c r="I2164" s="142"/>
      <c r="J2164" s="142"/>
    </row>
    <row r="2165" spans="1:10" x14ac:dyDescent="0.25">
      <c r="A2165" s="28"/>
      <c r="B2165" s="180"/>
      <c r="C2165" s="35"/>
      <c r="D2165" s="36"/>
      <c r="E2165" s="36"/>
      <c r="F2165" s="142"/>
      <c r="G2165" s="142"/>
      <c r="H2165" s="142"/>
      <c r="I2165" s="142"/>
      <c r="J2165" s="142"/>
    </row>
    <row r="2166" spans="1:10" x14ac:dyDescent="0.25">
      <c r="A2166" s="28"/>
      <c r="B2166" s="180"/>
      <c r="C2166" s="35"/>
      <c r="D2166" s="36"/>
      <c r="E2166" s="36"/>
      <c r="F2166" s="142"/>
      <c r="G2166" s="142"/>
      <c r="H2166" s="142"/>
      <c r="I2166" s="142"/>
      <c r="J2166" s="142"/>
    </row>
    <row r="2167" spans="1:10" x14ac:dyDescent="0.25">
      <c r="A2167" s="28"/>
      <c r="B2167" s="180"/>
      <c r="C2167" s="35"/>
      <c r="D2167" s="36"/>
      <c r="E2167" s="36"/>
      <c r="F2167" s="142"/>
      <c r="G2167" s="142"/>
      <c r="H2167" s="142"/>
      <c r="I2167" s="142"/>
      <c r="J2167" s="142"/>
    </row>
    <row r="2168" spans="1:10" x14ac:dyDescent="0.25">
      <c r="A2168" s="28"/>
      <c r="B2168" s="180"/>
      <c r="C2168" s="35"/>
      <c r="D2168" s="36"/>
      <c r="E2168" s="36"/>
      <c r="F2168" s="142"/>
      <c r="G2168" s="142"/>
      <c r="H2168" s="142"/>
      <c r="I2168" s="142"/>
      <c r="J2168" s="142"/>
    </row>
    <row r="2169" spans="1:10" x14ac:dyDescent="0.25">
      <c r="A2169" s="28"/>
      <c r="B2169" s="180"/>
      <c r="C2169" s="35"/>
      <c r="D2169" s="36"/>
      <c r="E2169" s="36"/>
      <c r="F2169" s="142"/>
      <c r="G2169" s="142"/>
      <c r="H2169" s="142"/>
      <c r="I2169" s="142"/>
      <c r="J2169" s="142"/>
    </row>
    <row r="2170" spans="1:10" x14ac:dyDescent="0.25">
      <c r="A2170" s="28"/>
      <c r="B2170" s="180"/>
      <c r="C2170" s="35"/>
      <c r="D2170" s="36"/>
      <c r="E2170" s="36"/>
      <c r="F2170" s="142"/>
      <c r="G2170" s="142"/>
      <c r="H2170" s="142"/>
      <c r="I2170" s="142"/>
      <c r="J2170" s="142"/>
    </row>
    <row r="2171" spans="1:10" x14ac:dyDescent="0.25">
      <c r="A2171" s="28"/>
      <c r="B2171" s="180"/>
      <c r="C2171" s="35"/>
      <c r="D2171" s="36"/>
      <c r="E2171" s="36"/>
      <c r="F2171" s="142"/>
      <c r="G2171" s="142"/>
      <c r="H2171" s="142"/>
      <c r="I2171" s="142"/>
      <c r="J2171" s="142"/>
    </row>
    <row r="2172" spans="1:10" x14ac:dyDescent="0.25">
      <c r="A2172" s="28"/>
      <c r="B2172" s="180"/>
      <c r="C2172" s="35"/>
      <c r="D2172" s="36"/>
      <c r="E2172" s="36"/>
      <c r="F2172" s="142"/>
      <c r="G2172" s="142"/>
      <c r="H2172" s="142"/>
      <c r="I2172" s="142"/>
      <c r="J2172" s="142"/>
    </row>
    <row r="2173" spans="1:10" x14ac:dyDescent="0.25">
      <c r="A2173" s="28"/>
      <c r="B2173" s="180"/>
      <c r="C2173" s="35"/>
      <c r="D2173" s="36"/>
      <c r="E2173" s="36"/>
      <c r="F2173" s="142"/>
      <c r="G2173" s="142"/>
      <c r="H2173" s="142"/>
      <c r="I2173" s="142"/>
      <c r="J2173" s="142"/>
    </row>
    <row r="2174" spans="1:10" x14ac:dyDescent="0.25">
      <c r="A2174" s="28"/>
      <c r="B2174" s="180"/>
      <c r="C2174" s="35"/>
      <c r="D2174" s="36"/>
      <c r="E2174" s="36"/>
      <c r="F2174" s="142"/>
      <c r="G2174" s="142"/>
      <c r="H2174" s="142"/>
      <c r="I2174" s="142"/>
      <c r="J2174" s="142"/>
    </row>
    <row r="2175" spans="1:10" x14ac:dyDescent="0.25">
      <c r="A2175" s="28"/>
      <c r="B2175" s="180"/>
      <c r="C2175" s="35"/>
      <c r="D2175" s="36"/>
      <c r="E2175" s="36"/>
      <c r="F2175" s="142"/>
      <c r="G2175" s="142"/>
      <c r="H2175" s="142"/>
      <c r="I2175" s="142"/>
      <c r="J2175" s="142"/>
    </row>
    <row r="2176" spans="1:10" x14ac:dyDescent="0.25">
      <c r="A2176" s="28"/>
      <c r="B2176" s="180"/>
      <c r="C2176" s="35"/>
      <c r="D2176" s="36"/>
      <c r="E2176" s="36"/>
      <c r="F2176" s="142"/>
      <c r="G2176" s="142"/>
      <c r="H2176" s="142"/>
      <c r="I2176" s="142"/>
      <c r="J2176" s="142"/>
    </row>
    <row r="2177" spans="1:10" x14ac:dyDescent="0.25">
      <c r="A2177" s="28"/>
      <c r="B2177" s="180"/>
      <c r="C2177" s="35"/>
      <c r="D2177" s="36"/>
      <c r="E2177" s="36"/>
      <c r="F2177" s="142"/>
      <c r="G2177" s="142"/>
      <c r="H2177" s="142"/>
      <c r="I2177" s="142"/>
      <c r="J2177" s="142"/>
    </row>
    <row r="2178" spans="1:10" x14ac:dyDescent="0.25">
      <c r="A2178" s="28"/>
      <c r="B2178" s="180"/>
      <c r="C2178" s="35"/>
      <c r="D2178" s="36"/>
      <c r="E2178" s="36"/>
      <c r="F2178" s="142"/>
      <c r="G2178" s="142"/>
      <c r="H2178" s="142"/>
      <c r="I2178" s="142"/>
      <c r="J2178" s="142"/>
    </row>
    <row r="2179" spans="1:10" x14ac:dyDescent="0.25">
      <c r="A2179" s="28"/>
      <c r="B2179" s="180"/>
      <c r="C2179" s="35"/>
      <c r="D2179" s="36"/>
      <c r="E2179" s="36"/>
      <c r="F2179" s="142"/>
      <c r="G2179" s="142"/>
      <c r="H2179" s="142"/>
      <c r="I2179" s="142"/>
      <c r="J2179" s="142"/>
    </row>
    <row r="2180" spans="1:10" x14ac:dyDescent="0.25">
      <c r="A2180" s="28"/>
      <c r="B2180" s="180"/>
      <c r="C2180" s="35"/>
      <c r="D2180" s="36"/>
      <c r="E2180" s="36"/>
      <c r="F2180" s="142"/>
      <c r="G2180" s="142"/>
      <c r="H2180" s="142"/>
      <c r="I2180" s="142"/>
      <c r="J2180" s="142"/>
    </row>
    <row r="2181" spans="1:10" x14ac:dyDescent="0.25">
      <c r="A2181" s="28"/>
      <c r="B2181" s="180"/>
      <c r="C2181" s="35"/>
      <c r="D2181" s="36"/>
      <c r="E2181" s="36"/>
      <c r="F2181" s="142"/>
      <c r="G2181" s="142"/>
      <c r="H2181" s="142"/>
      <c r="I2181" s="142"/>
      <c r="J2181" s="142"/>
    </row>
    <row r="2182" spans="1:10" x14ac:dyDescent="0.25">
      <c r="A2182" s="28"/>
      <c r="B2182" s="180"/>
      <c r="C2182" s="35"/>
      <c r="D2182" s="36"/>
      <c r="E2182" s="36"/>
      <c r="F2182" s="142"/>
      <c r="G2182" s="142"/>
      <c r="H2182" s="142"/>
      <c r="I2182" s="142"/>
      <c r="J2182" s="142"/>
    </row>
    <row r="2183" spans="1:10" x14ac:dyDescent="0.25">
      <c r="A2183" s="28"/>
      <c r="B2183" s="180"/>
      <c r="C2183" s="35"/>
      <c r="D2183" s="36"/>
      <c r="E2183" s="36"/>
      <c r="F2183" s="142"/>
      <c r="G2183" s="142"/>
      <c r="H2183" s="142"/>
      <c r="I2183" s="142"/>
      <c r="J2183" s="142"/>
    </row>
    <row r="2184" spans="1:10" x14ac:dyDescent="0.25">
      <c r="A2184" s="28"/>
      <c r="B2184" s="180"/>
      <c r="C2184" s="35"/>
      <c r="D2184" s="36"/>
      <c r="E2184" s="36"/>
      <c r="F2184" s="142"/>
      <c r="G2184" s="142"/>
      <c r="H2184" s="142"/>
      <c r="I2184" s="142"/>
      <c r="J2184" s="142"/>
    </row>
    <row r="2185" spans="1:10" x14ac:dyDescent="0.25">
      <c r="A2185" s="28"/>
      <c r="B2185" s="180"/>
      <c r="C2185" s="35"/>
      <c r="D2185" s="36"/>
      <c r="E2185" s="36"/>
      <c r="F2185" s="142"/>
      <c r="G2185" s="142"/>
      <c r="H2185" s="142"/>
      <c r="I2185" s="142"/>
      <c r="J2185" s="142"/>
    </row>
    <row r="2186" spans="1:10" x14ac:dyDescent="0.25">
      <c r="A2186" s="28"/>
      <c r="B2186" s="180"/>
      <c r="C2186" s="35"/>
      <c r="D2186" s="36"/>
      <c r="E2186" s="36"/>
      <c r="F2186" s="142"/>
      <c r="G2186" s="142"/>
      <c r="H2186" s="142"/>
      <c r="I2186" s="142"/>
      <c r="J2186" s="142"/>
    </row>
    <row r="2187" spans="1:10" x14ac:dyDescent="0.25">
      <c r="A2187" s="28"/>
      <c r="B2187" s="180"/>
      <c r="C2187" s="35"/>
      <c r="D2187" s="36"/>
      <c r="E2187" s="36"/>
      <c r="F2187" s="142"/>
      <c r="G2187" s="142"/>
      <c r="H2187" s="142"/>
      <c r="I2187" s="142"/>
      <c r="J2187" s="142"/>
    </row>
    <row r="2188" spans="1:10" x14ac:dyDescent="0.25">
      <c r="A2188" s="28"/>
      <c r="B2188" s="180"/>
      <c r="C2188" s="35"/>
      <c r="D2188" s="36"/>
      <c r="E2188" s="36"/>
      <c r="F2188" s="142"/>
      <c r="G2188" s="142"/>
      <c r="H2188" s="142"/>
      <c r="I2188" s="142"/>
      <c r="J2188" s="142"/>
    </row>
    <row r="2189" spans="1:10" x14ac:dyDescent="0.25">
      <c r="A2189" s="28"/>
      <c r="B2189" s="180"/>
      <c r="C2189" s="35"/>
      <c r="D2189" s="36"/>
      <c r="E2189" s="36"/>
      <c r="F2189" s="142"/>
      <c r="G2189" s="142"/>
      <c r="H2189" s="142"/>
      <c r="I2189" s="142"/>
      <c r="J2189" s="142"/>
    </row>
    <row r="2190" spans="1:10" x14ac:dyDescent="0.25">
      <c r="A2190" s="28"/>
      <c r="B2190" s="180"/>
      <c r="C2190" s="35"/>
      <c r="D2190" s="36"/>
      <c r="E2190" s="36"/>
      <c r="F2190" s="142"/>
      <c r="G2190" s="142"/>
      <c r="H2190" s="142"/>
      <c r="I2190" s="142"/>
      <c r="J2190" s="142"/>
    </row>
    <row r="2191" spans="1:10" x14ac:dyDescent="0.25">
      <c r="A2191" s="28"/>
      <c r="B2191" s="180"/>
      <c r="C2191" s="35"/>
      <c r="D2191" s="36"/>
      <c r="E2191" s="36"/>
      <c r="F2191" s="142"/>
      <c r="G2191" s="142"/>
      <c r="H2191" s="142"/>
      <c r="I2191" s="142"/>
      <c r="J2191" s="142"/>
    </row>
    <row r="2192" spans="1:10" x14ac:dyDescent="0.25">
      <c r="A2192" s="28"/>
      <c r="B2192" s="180"/>
      <c r="C2192" s="35"/>
      <c r="D2192" s="36"/>
      <c r="E2192" s="36"/>
      <c r="F2192" s="142"/>
      <c r="G2192" s="142"/>
      <c r="H2192" s="142"/>
      <c r="I2192" s="142"/>
      <c r="J2192" s="142"/>
    </row>
    <row r="2193" spans="1:10" x14ac:dyDescent="0.25">
      <c r="A2193" s="28"/>
      <c r="B2193" s="180"/>
      <c r="C2193" s="35"/>
      <c r="D2193" s="36"/>
      <c r="E2193" s="36"/>
      <c r="F2193" s="142"/>
      <c r="G2193" s="142"/>
      <c r="H2193" s="142"/>
      <c r="I2193" s="142"/>
      <c r="J2193" s="142"/>
    </row>
    <row r="2194" spans="1:10" x14ac:dyDescent="0.25">
      <c r="A2194" s="28"/>
      <c r="B2194" s="180"/>
      <c r="C2194" s="35"/>
      <c r="D2194" s="36"/>
      <c r="E2194" s="36"/>
      <c r="F2194" s="142"/>
      <c r="G2194" s="142"/>
      <c r="H2194" s="142"/>
      <c r="I2194" s="142"/>
      <c r="J2194" s="142"/>
    </row>
    <row r="2195" spans="1:10" x14ac:dyDescent="0.25">
      <c r="A2195" s="28"/>
      <c r="B2195" s="180"/>
      <c r="C2195" s="35"/>
      <c r="D2195" s="36"/>
      <c r="E2195" s="36"/>
      <c r="F2195" s="142"/>
      <c r="G2195" s="142"/>
      <c r="H2195" s="142"/>
      <c r="I2195" s="142"/>
      <c r="J2195" s="142"/>
    </row>
    <row r="2196" spans="1:10" x14ac:dyDescent="0.25">
      <c r="A2196" s="28"/>
      <c r="B2196" s="180"/>
      <c r="C2196" s="35"/>
      <c r="D2196" s="36"/>
      <c r="E2196" s="36"/>
      <c r="F2196" s="142"/>
      <c r="G2196" s="142"/>
      <c r="H2196" s="142"/>
      <c r="I2196" s="142"/>
      <c r="J2196" s="142"/>
    </row>
    <row r="2197" spans="1:10" x14ac:dyDescent="0.25">
      <c r="A2197" s="28"/>
      <c r="B2197" s="180"/>
      <c r="C2197" s="35"/>
      <c r="D2197" s="36"/>
      <c r="E2197" s="36"/>
      <c r="F2197" s="142"/>
      <c r="G2197" s="142"/>
      <c r="H2197" s="142"/>
      <c r="I2197" s="142"/>
      <c r="J2197" s="142"/>
    </row>
    <row r="2198" spans="1:10" x14ac:dyDescent="0.25">
      <c r="A2198" s="28"/>
      <c r="B2198" s="180"/>
      <c r="C2198" s="35"/>
      <c r="D2198" s="36"/>
      <c r="E2198" s="36"/>
      <c r="F2198" s="142"/>
      <c r="G2198" s="142"/>
      <c r="H2198" s="142"/>
      <c r="I2198" s="142"/>
      <c r="J2198" s="142"/>
    </row>
    <row r="2199" spans="1:10" x14ac:dyDescent="0.25">
      <c r="A2199" s="28"/>
      <c r="B2199" s="180"/>
      <c r="C2199" s="35"/>
      <c r="D2199" s="36"/>
      <c r="E2199" s="36"/>
      <c r="F2199" s="142"/>
      <c r="G2199" s="142"/>
      <c r="H2199" s="142"/>
      <c r="I2199" s="142"/>
      <c r="J2199" s="142"/>
    </row>
    <row r="2200" spans="1:10" x14ac:dyDescent="0.25">
      <c r="A2200" s="28"/>
      <c r="B2200" s="180"/>
      <c r="C2200" s="35"/>
      <c r="D2200" s="36"/>
      <c r="E2200" s="36"/>
      <c r="F2200" s="142"/>
      <c r="G2200" s="142"/>
      <c r="H2200" s="142"/>
      <c r="I2200" s="142"/>
      <c r="J2200" s="142"/>
    </row>
    <row r="2201" spans="1:10" x14ac:dyDescent="0.25">
      <c r="A2201" s="28"/>
      <c r="B2201" s="180"/>
      <c r="C2201" s="35"/>
      <c r="D2201" s="36"/>
      <c r="E2201" s="36"/>
      <c r="F2201" s="142"/>
      <c r="G2201" s="142"/>
      <c r="H2201" s="142"/>
      <c r="I2201" s="142"/>
      <c r="J2201" s="142"/>
    </row>
    <row r="2202" spans="1:10" x14ac:dyDescent="0.25">
      <c r="A2202" s="28"/>
      <c r="B2202" s="180"/>
      <c r="C2202" s="35"/>
      <c r="D2202" s="36"/>
      <c r="E2202" s="36"/>
      <c r="F2202" s="142"/>
      <c r="G2202" s="142"/>
      <c r="H2202" s="142"/>
      <c r="I2202" s="142"/>
      <c r="J2202" s="142"/>
    </row>
    <row r="2203" spans="1:10" x14ac:dyDescent="0.25">
      <c r="A2203" s="28"/>
      <c r="B2203" s="180"/>
      <c r="C2203" s="35"/>
      <c r="D2203" s="36"/>
      <c r="E2203" s="36"/>
      <c r="F2203" s="142"/>
      <c r="G2203" s="142"/>
      <c r="H2203" s="142"/>
      <c r="I2203" s="142"/>
      <c r="J2203" s="142"/>
    </row>
    <row r="2204" spans="1:10" x14ac:dyDescent="0.25">
      <c r="A2204" s="28"/>
      <c r="B2204" s="180"/>
      <c r="C2204" s="35"/>
      <c r="D2204" s="36"/>
      <c r="E2204" s="36"/>
      <c r="F2204" s="142"/>
      <c r="G2204" s="142"/>
      <c r="H2204" s="142"/>
      <c r="I2204" s="142"/>
      <c r="J2204" s="142"/>
    </row>
    <row r="2205" spans="1:10" x14ac:dyDescent="0.25">
      <c r="A2205" s="28"/>
      <c r="B2205" s="180"/>
      <c r="C2205" s="35"/>
      <c r="D2205" s="36"/>
      <c r="E2205" s="36"/>
      <c r="F2205" s="142"/>
      <c r="G2205" s="142"/>
      <c r="H2205" s="142"/>
      <c r="I2205" s="142"/>
      <c r="J2205" s="142"/>
    </row>
    <row r="2206" spans="1:10" x14ac:dyDescent="0.25">
      <c r="A2206" s="28"/>
      <c r="B2206" s="180"/>
      <c r="C2206" s="35"/>
      <c r="D2206" s="36"/>
      <c r="E2206" s="36"/>
      <c r="F2206" s="142"/>
      <c r="G2206" s="142"/>
      <c r="H2206" s="142"/>
      <c r="I2206" s="142"/>
      <c r="J2206" s="142"/>
    </row>
    <row r="2207" spans="1:10" x14ac:dyDescent="0.25">
      <c r="A2207" s="28"/>
      <c r="B2207" s="180"/>
      <c r="C2207" s="35"/>
      <c r="D2207" s="36"/>
      <c r="E2207" s="36"/>
      <c r="F2207" s="142"/>
      <c r="G2207" s="142"/>
      <c r="H2207" s="142"/>
      <c r="I2207" s="142"/>
      <c r="J2207" s="142"/>
    </row>
    <row r="2208" spans="1:10" x14ac:dyDescent="0.25">
      <c r="A2208" s="28"/>
      <c r="B2208" s="180"/>
      <c r="C2208" s="35"/>
      <c r="D2208" s="36"/>
      <c r="E2208" s="36"/>
      <c r="F2208" s="142"/>
      <c r="G2208" s="142"/>
      <c r="H2208" s="142"/>
      <c r="I2208" s="142"/>
      <c r="J2208" s="142"/>
    </row>
    <row r="2209" spans="1:10" x14ac:dyDescent="0.25">
      <c r="A2209" s="28"/>
      <c r="B2209" s="180"/>
      <c r="C2209" s="35"/>
      <c r="D2209" s="36"/>
      <c r="E2209" s="36"/>
      <c r="F2209" s="142"/>
      <c r="G2209" s="142"/>
      <c r="H2209" s="142"/>
      <c r="I2209" s="142"/>
      <c r="J2209" s="142"/>
    </row>
    <row r="2210" spans="1:10" x14ac:dyDescent="0.25">
      <c r="A2210" s="28"/>
      <c r="B2210" s="180"/>
      <c r="C2210" s="35"/>
      <c r="D2210" s="36"/>
      <c r="E2210" s="36"/>
      <c r="F2210" s="142"/>
      <c r="G2210" s="142"/>
      <c r="H2210" s="142"/>
      <c r="I2210" s="142"/>
      <c r="J2210" s="142"/>
    </row>
    <row r="2211" spans="1:10" x14ac:dyDescent="0.25">
      <c r="A2211" s="28"/>
      <c r="B2211" s="180"/>
      <c r="C2211" s="35"/>
      <c r="D2211" s="36"/>
      <c r="E2211" s="36"/>
      <c r="F2211" s="142"/>
      <c r="G2211" s="142"/>
      <c r="H2211" s="142"/>
      <c r="I2211" s="142"/>
      <c r="J2211" s="142"/>
    </row>
    <row r="2212" spans="1:10" x14ac:dyDescent="0.25">
      <c r="A2212" s="28"/>
      <c r="B2212" s="180"/>
      <c r="C2212" s="35"/>
      <c r="D2212" s="36"/>
      <c r="E2212" s="36"/>
      <c r="F2212" s="142"/>
      <c r="G2212" s="142"/>
      <c r="H2212" s="142"/>
      <c r="I2212" s="142"/>
      <c r="J2212" s="142"/>
    </row>
    <row r="2213" spans="1:10" x14ac:dyDescent="0.25">
      <c r="A2213" s="28"/>
      <c r="B2213" s="180"/>
      <c r="C2213" s="35"/>
      <c r="D2213" s="36"/>
      <c r="E2213" s="36"/>
      <c r="F2213" s="142"/>
      <c r="G2213" s="142"/>
      <c r="H2213" s="142"/>
      <c r="I2213" s="142"/>
      <c r="J2213" s="142"/>
    </row>
    <row r="2214" spans="1:10" x14ac:dyDescent="0.25">
      <c r="A2214" s="28"/>
      <c r="B2214" s="180"/>
      <c r="C2214" s="35"/>
      <c r="D2214" s="36"/>
      <c r="E2214" s="36"/>
      <c r="F2214" s="142"/>
      <c r="G2214" s="142"/>
      <c r="H2214" s="142"/>
      <c r="I2214" s="142"/>
      <c r="J2214" s="142"/>
    </row>
    <row r="2215" spans="1:10" x14ac:dyDescent="0.25">
      <c r="A2215" s="28"/>
      <c r="B2215" s="180"/>
      <c r="C2215" s="35"/>
      <c r="D2215" s="36"/>
      <c r="E2215" s="36"/>
      <c r="F2215" s="142"/>
      <c r="G2215" s="142"/>
      <c r="H2215" s="142"/>
      <c r="I2215" s="142"/>
      <c r="J2215" s="142"/>
    </row>
    <row r="2216" spans="1:10" x14ac:dyDescent="0.25">
      <c r="A2216" s="28"/>
      <c r="B2216" s="180"/>
      <c r="C2216" s="35"/>
      <c r="D2216" s="36"/>
      <c r="E2216" s="36"/>
      <c r="F2216" s="142"/>
      <c r="G2216" s="142"/>
      <c r="H2216" s="142"/>
      <c r="I2216" s="142"/>
      <c r="J2216" s="142"/>
    </row>
    <row r="2217" spans="1:10" x14ac:dyDescent="0.25">
      <c r="A2217" s="28"/>
      <c r="B2217" s="180"/>
      <c r="C2217" s="35"/>
      <c r="D2217" s="36"/>
      <c r="E2217" s="36"/>
      <c r="F2217" s="142"/>
      <c r="G2217" s="142"/>
      <c r="H2217" s="142"/>
      <c r="I2217" s="142"/>
      <c r="J2217" s="142"/>
    </row>
    <row r="2218" spans="1:10" x14ac:dyDescent="0.25">
      <c r="A2218" s="28"/>
      <c r="B2218" s="180"/>
      <c r="C2218" s="35"/>
      <c r="D2218" s="36"/>
      <c r="E2218" s="36"/>
      <c r="F2218" s="142"/>
      <c r="G2218" s="142"/>
      <c r="H2218" s="142"/>
      <c r="I2218" s="142"/>
      <c r="J2218" s="142"/>
    </row>
    <row r="2219" spans="1:10" x14ac:dyDescent="0.25">
      <c r="A2219" s="28"/>
      <c r="B2219" s="180"/>
      <c r="C2219" s="35"/>
      <c r="D2219" s="36"/>
      <c r="E2219" s="36"/>
      <c r="F2219" s="142"/>
      <c r="G2219" s="142"/>
      <c r="H2219" s="142"/>
      <c r="I2219" s="142"/>
      <c r="J2219" s="142"/>
    </row>
    <row r="2220" spans="1:10" x14ac:dyDescent="0.25">
      <c r="A2220" s="28"/>
      <c r="B2220" s="180"/>
      <c r="C2220" s="35"/>
      <c r="D2220" s="36"/>
      <c r="E2220" s="36"/>
      <c r="F2220" s="142"/>
      <c r="G2220" s="142"/>
      <c r="H2220" s="142"/>
      <c r="I2220" s="142"/>
      <c r="J2220" s="142"/>
    </row>
    <row r="2221" spans="1:10" x14ac:dyDescent="0.25">
      <c r="A2221" s="28"/>
      <c r="B2221" s="180"/>
      <c r="C2221" s="35"/>
      <c r="D2221" s="36"/>
      <c r="E2221" s="36"/>
      <c r="F2221" s="142"/>
      <c r="G2221" s="142"/>
      <c r="H2221" s="142"/>
      <c r="I2221" s="142"/>
      <c r="J2221" s="142"/>
    </row>
    <row r="2222" spans="1:10" x14ac:dyDescent="0.25">
      <c r="A2222" s="28"/>
      <c r="B2222" s="180"/>
      <c r="C2222" s="35"/>
      <c r="D2222" s="36"/>
      <c r="E2222" s="36"/>
      <c r="F2222" s="142"/>
      <c r="G2222" s="142"/>
      <c r="H2222" s="142"/>
      <c r="I2222" s="142"/>
      <c r="J2222" s="142"/>
    </row>
    <row r="2223" spans="1:10" x14ac:dyDescent="0.25">
      <c r="A2223" s="28"/>
      <c r="B2223" s="180"/>
      <c r="C2223" s="35"/>
      <c r="D2223" s="36"/>
      <c r="E2223" s="36"/>
      <c r="F2223" s="142"/>
      <c r="G2223" s="142"/>
      <c r="H2223" s="142"/>
      <c r="I2223" s="142"/>
      <c r="J2223" s="142"/>
    </row>
    <row r="2224" spans="1:10" x14ac:dyDescent="0.25">
      <c r="A2224" s="28"/>
      <c r="B2224" s="180"/>
      <c r="C2224" s="35"/>
      <c r="D2224" s="36"/>
      <c r="E2224" s="36"/>
      <c r="F2224" s="142"/>
      <c r="G2224" s="142"/>
      <c r="H2224" s="142"/>
      <c r="I2224" s="142"/>
      <c r="J2224" s="142"/>
    </row>
    <row r="2225" spans="1:10" x14ac:dyDescent="0.25">
      <c r="A2225" s="28"/>
      <c r="B2225" s="180"/>
      <c r="C2225" s="35"/>
      <c r="D2225" s="36"/>
      <c r="E2225" s="36"/>
      <c r="F2225" s="142"/>
      <c r="G2225" s="142"/>
      <c r="H2225" s="142"/>
      <c r="I2225" s="142"/>
      <c r="J2225" s="142"/>
    </row>
    <row r="2226" spans="1:10" x14ac:dyDescent="0.25">
      <c r="A2226" s="28"/>
      <c r="B2226" s="180"/>
      <c r="C2226" s="35"/>
      <c r="D2226" s="36"/>
      <c r="E2226" s="36"/>
      <c r="F2226" s="142"/>
      <c r="G2226" s="142"/>
      <c r="H2226" s="142"/>
      <c r="I2226" s="142"/>
      <c r="J2226" s="142"/>
    </row>
    <row r="2227" spans="1:10" x14ac:dyDescent="0.25">
      <c r="A2227" s="28"/>
      <c r="B2227" s="180"/>
      <c r="C2227" s="35"/>
      <c r="D2227" s="36"/>
      <c r="E2227" s="36"/>
      <c r="F2227" s="142"/>
      <c r="G2227" s="142"/>
      <c r="H2227" s="142"/>
      <c r="I2227" s="142"/>
      <c r="J2227" s="142"/>
    </row>
    <row r="2228" spans="1:10" x14ac:dyDescent="0.25">
      <c r="A2228" s="28"/>
      <c r="B2228" s="180"/>
      <c r="C2228" s="35"/>
      <c r="D2228" s="36"/>
      <c r="E2228" s="36"/>
      <c r="F2228" s="142"/>
      <c r="G2228" s="142"/>
      <c r="H2228" s="142"/>
      <c r="I2228" s="142"/>
      <c r="J2228" s="142"/>
    </row>
    <row r="2229" spans="1:10" x14ac:dyDescent="0.25">
      <c r="A2229" s="28"/>
      <c r="B2229" s="180"/>
      <c r="C2229" s="35"/>
      <c r="D2229" s="36"/>
      <c r="E2229" s="36"/>
      <c r="F2229" s="142"/>
      <c r="G2229" s="142"/>
      <c r="H2229" s="142"/>
      <c r="I2229" s="142"/>
      <c r="J2229" s="142"/>
    </row>
    <row r="2230" spans="1:10" x14ac:dyDescent="0.25">
      <c r="A2230" s="28"/>
      <c r="B2230" s="180"/>
      <c r="C2230" s="35"/>
      <c r="D2230" s="36"/>
      <c r="E2230" s="36"/>
      <c r="F2230" s="142"/>
      <c r="G2230" s="142"/>
      <c r="H2230" s="142"/>
      <c r="I2230" s="142"/>
      <c r="J2230" s="142"/>
    </row>
    <row r="2231" spans="1:10" x14ac:dyDescent="0.25">
      <c r="A2231" s="28"/>
      <c r="B2231" s="180"/>
      <c r="C2231" s="35"/>
      <c r="D2231" s="36"/>
      <c r="E2231" s="36"/>
      <c r="F2231" s="142"/>
      <c r="G2231" s="142"/>
      <c r="H2231" s="142"/>
      <c r="I2231" s="142"/>
      <c r="J2231" s="142"/>
    </row>
    <row r="2232" spans="1:10" x14ac:dyDescent="0.25">
      <c r="A2232" s="28"/>
      <c r="B2232" s="180"/>
      <c r="C2232" s="35"/>
      <c r="D2232" s="36"/>
      <c r="E2232" s="36"/>
      <c r="F2232" s="142"/>
      <c r="G2232" s="142"/>
      <c r="H2232" s="142"/>
      <c r="I2232" s="142"/>
      <c r="J2232" s="142"/>
    </row>
    <row r="2233" spans="1:10" x14ac:dyDescent="0.25">
      <c r="A2233" s="28"/>
      <c r="B2233" s="180"/>
      <c r="C2233" s="35"/>
      <c r="D2233" s="36"/>
      <c r="E2233" s="36"/>
      <c r="F2233" s="142"/>
      <c r="G2233" s="142"/>
      <c r="H2233" s="142"/>
      <c r="I2233" s="142"/>
      <c r="J2233" s="142"/>
    </row>
    <row r="2234" spans="1:10" x14ac:dyDescent="0.25">
      <c r="A2234" s="28"/>
      <c r="B2234" s="180"/>
      <c r="C2234" s="35"/>
      <c r="D2234" s="36"/>
      <c r="E2234" s="36"/>
      <c r="F2234" s="142"/>
      <c r="G2234" s="142"/>
      <c r="H2234" s="142"/>
      <c r="I2234" s="142"/>
      <c r="J2234" s="142"/>
    </row>
    <row r="2235" spans="1:10" x14ac:dyDescent="0.25">
      <c r="A2235" s="28"/>
      <c r="B2235" s="180"/>
      <c r="C2235" s="35"/>
      <c r="D2235" s="36"/>
      <c r="E2235" s="36"/>
      <c r="F2235" s="142"/>
      <c r="G2235" s="142"/>
      <c r="H2235" s="142"/>
      <c r="I2235" s="142"/>
      <c r="J2235" s="142"/>
    </row>
    <row r="2236" spans="1:10" x14ac:dyDescent="0.25">
      <c r="A2236" s="28"/>
      <c r="B2236" s="180"/>
      <c r="C2236" s="35"/>
      <c r="D2236" s="36"/>
      <c r="E2236" s="36"/>
      <c r="F2236" s="142"/>
      <c r="G2236" s="142"/>
      <c r="H2236" s="142"/>
      <c r="I2236" s="142"/>
      <c r="J2236" s="142"/>
    </row>
    <row r="2237" spans="1:10" x14ac:dyDescent="0.25">
      <c r="A2237" s="28"/>
      <c r="B2237" s="180"/>
      <c r="C2237" s="35"/>
      <c r="D2237" s="36"/>
      <c r="E2237" s="36"/>
      <c r="F2237" s="142"/>
      <c r="G2237" s="142"/>
      <c r="H2237" s="142"/>
      <c r="I2237" s="142"/>
      <c r="J2237" s="142"/>
    </row>
    <row r="2238" spans="1:10" x14ac:dyDescent="0.25">
      <c r="A2238" s="28"/>
      <c r="B2238" s="180"/>
      <c r="C2238" s="35"/>
      <c r="D2238" s="36"/>
      <c r="E2238" s="36"/>
      <c r="F2238" s="142"/>
      <c r="G2238" s="142"/>
      <c r="H2238" s="142"/>
      <c r="I2238" s="142"/>
      <c r="J2238" s="142"/>
    </row>
    <row r="2239" spans="1:10" x14ac:dyDescent="0.25">
      <c r="A2239" s="28"/>
      <c r="B2239" s="180"/>
      <c r="C2239" s="35"/>
      <c r="D2239" s="36"/>
      <c r="E2239" s="36"/>
      <c r="F2239" s="142"/>
      <c r="G2239" s="142"/>
      <c r="H2239" s="142"/>
      <c r="I2239" s="142"/>
      <c r="J2239" s="142"/>
    </row>
    <row r="2240" spans="1:10" x14ac:dyDescent="0.25">
      <c r="A2240" s="28"/>
      <c r="B2240" s="180"/>
      <c r="C2240" s="35"/>
      <c r="D2240" s="36"/>
      <c r="E2240" s="36"/>
      <c r="F2240" s="142"/>
      <c r="G2240" s="142"/>
      <c r="H2240" s="142"/>
      <c r="I2240" s="142"/>
      <c r="J2240" s="142"/>
    </row>
    <row r="2241" spans="1:10" x14ac:dyDescent="0.25">
      <c r="A2241" s="28"/>
      <c r="B2241" s="180"/>
      <c r="C2241" s="35"/>
      <c r="D2241" s="36"/>
      <c r="E2241" s="36"/>
      <c r="F2241" s="142"/>
      <c r="G2241" s="142"/>
      <c r="H2241" s="142"/>
      <c r="I2241" s="142"/>
      <c r="J2241" s="142"/>
    </row>
    <row r="2242" spans="1:10" x14ac:dyDescent="0.25">
      <c r="A2242" s="28"/>
      <c r="B2242" s="180"/>
      <c r="C2242" s="35"/>
      <c r="D2242" s="36"/>
      <c r="E2242" s="36"/>
      <c r="F2242" s="142"/>
      <c r="G2242" s="142"/>
      <c r="H2242" s="142"/>
      <c r="I2242" s="142"/>
      <c r="J2242" s="142"/>
    </row>
    <row r="2243" spans="1:10" x14ac:dyDescent="0.25">
      <c r="A2243" s="28"/>
      <c r="B2243" s="180"/>
      <c r="C2243" s="35"/>
      <c r="D2243" s="36"/>
      <c r="E2243" s="36"/>
      <c r="F2243" s="142"/>
      <c r="G2243" s="142"/>
      <c r="H2243" s="142"/>
      <c r="I2243" s="142"/>
      <c r="J2243" s="142"/>
    </row>
    <row r="2244" spans="1:10" x14ac:dyDescent="0.25">
      <c r="A2244" s="28"/>
      <c r="B2244" s="180"/>
      <c r="C2244" s="35"/>
      <c r="D2244" s="36"/>
      <c r="E2244" s="36"/>
      <c r="F2244" s="142"/>
      <c r="G2244" s="142"/>
      <c r="H2244" s="142"/>
      <c r="I2244" s="142"/>
      <c r="J2244" s="142"/>
    </row>
    <row r="2245" spans="1:10" x14ac:dyDescent="0.25">
      <c r="A2245" s="28"/>
      <c r="B2245" s="180"/>
      <c r="C2245" s="35"/>
      <c r="D2245" s="36"/>
      <c r="E2245" s="36"/>
      <c r="F2245" s="142"/>
      <c r="G2245" s="142"/>
      <c r="H2245" s="142"/>
      <c r="I2245" s="142"/>
      <c r="J2245" s="142"/>
    </row>
    <row r="2246" spans="1:10" x14ac:dyDescent="0.25">
      <c r="A2246" s="28"/>
      <c r="B2246" s="180"/>
      <c r="C2246" s="35"/>
      <c r="D2246" s="36"/>
      <c r="E2246" s="36"/>
      <c r="F2246" s="142"/>
      <c r="G2246" s="142"/>
      <c r="H2246" s="142"/>
      <c r="I2246" s="142"/>
      <c r="J2246" s="142"/>
    </row>
    <row r="2247" spans="1:10" x14ac:dyDescent="0.25">
      <c r="A2247" s="28"/>
      <c r="B2247" s="180"/>
      <c r="C2247" s="35"/>
      <c r="D2247" s="36"/>
      <c r="E2247" s="36"/>
      <c r="F2247" s="142"/>
      <c r="G2247" s="142"/>
      <c r="H2247" s="142"/>
      <c r="I2247" s="142"/>
      <c r="J2247" s="142"/>
    </row>
    <row r="2248" spans="1:10" x14ac:dyDescent="0.25">
      <c r="A2248" s="28"/>
      <c r="B2248" s="180"/>
      <c r="C2248" s="35"/>
      <c r="D2248" s="36"/>
      <c r="E2248" s="36"/>
      <c r="F2248" s="142"/>
      <c r="G2248" s="142"/>
      <c r="H2248" s="142"/>
      <c r="I2248" s="142"/>
      <c r="J2248" s="142"/>
    </row>
    <row r="2249" spans="1:10" x14ac:dyDescent="0.25">
      <c r="A2249" s="28"/>
      <c r="B2249" s="180"/>
      <c r="C2249" s="35"/>
      <c r="D2249" s="36"/>
      <c r="E2249" s="36"/>
      <c r="F2249" s="142"/>
      <c r="G2249" s="142"/>
      <c r="H2249" s="142"/>
      <c r="I2249" s="142"/>
      <c r="J2249" s="142"/>
    </row>
    <row r="2250" spans="1:10" x14ac:dyDescent="0.25">
      <c r="A2250" s="28"/>
      <c r="B2250" s="180"/>
      <c r="C2250" s="35"/>
      <c r="D2250" s="36"/>
      <c r="E2250" s="36"/>
      <c r="F2250" s="142"/>
      <c r="G2250" s="142"/>
      <c r="H2250" s="142"/>
      <c r="I2250" s="142"/>
      <c r="J2250" s="142"/>
    </row>
    <row r="2251" spans="1:10" x14ac:dyDescent="0.25">
      <c r="A2251" s="28"/>
      <c r="B2251" s="180"/>
      <c r="C2251" s="35"/>
      <c r="D2251" s="36"/>
      <c r="E2251" s="36"/>
      <c r="F2251" s="142"/>
      <c r="G2251" s="142"/>
      <c r="H2251" s="142"/>
      <c r="I2251" s="142"/>
      <c r="J2251" s="142"/>
    </row>
    <row r="2252" spans="1:10" x14ac:dyDescent="0.25">
      <c r="A2252" s="28"/>
      <c r="B2252" s="180"/>
      <c r="C2252" s="35"/>
      <c r="D2252" s="36"/>
      <c r="E2252" s="36"/>
      <c r="F2252" s="142"/>
      <c r="G2252" s="142"/>
      <c r="H2252" s="142"/>
      <c r="I2252" s="142"/>
      <c r="J2252" s="142"/>
    </row>
    <row r="2253" spans="1:10" x14ac:dyDescent="0.25">
      <c r="A2253" s="28"/>
      <c r="B2253" s="180"/>
      <c r="C2253" s="35"/>
      <c r="D2253" s="36"/>
      <c r="E2253" s="36"/>
      <c r="F2253" s="142"/>
      <c r="G2253" s="142"/>
      <c r="H2253" s="142"/>
      <c r="I2253" s="142"/>
      <c r="J2253" s="142"/>
    </row>
    <row r="2254" spans="1:10" x14ac:dyDescent="0.25">
      <c r="A2254" s="28"/>
      <c r="B2254" s="180"/>
      <c r="C2254" s="35"/>
      <c r="D2254" s="36"/>
      <c r="E2254" s="36"/>
      <c r="F2254" s="142"/>
      <c r="G2254" s="142"/>
      <c r="H2254" s="142"/>
      <c r="I2254" s="142"/>
      <c r="J2254" s="142"/>
    </row>
    <row r="2255" spans="1:10" x14ac:dyDescent="0.25">
      <c r="A2255" s="28"/>
      <c r="B2255" s="180"/>
      <c r="C2255" s="35"/>
      <c r="D2255" s="36"/>
      <c r="E2255" s="36"/>
      <c r="F2255" s="142"/>
      <c r="G2255" s="142"/>
      <c r="H2255" s="142"/>
      <c r="I2255" s="142"/>
      <c r="J2255" s="142"/>
    </row>
    <row r="2256" spans="1:10" x14ac:dyDescent="0.25">
      <c r="A2256" s="28"/>
      <c r="B2256" s="180"/>
      <c r="C2256" s="35"/>
      <c r="D2256" s="36"/>
      <c r="E2256" s="36"/>
      <c r="F2256" s="142"/>
      <c r="G2256" s="142"/>
      <c r="H2256" s="142"/>
      <c r="I2256" s="142"/>
      <c r="J2256" s="142"/>
    </row>
    <row r="2257" spans="1:10" x14ac:dyDescent="0.25">
      <c r="A2257" s="28"/>
      <c r="B2257" s="180"/>
      <c r="C2257" s="35"/>
      <c r="D2257" s="36"/>
      <c r="E2257" s="36"/>
      <c r="F2257" s="142"/>
      <c r="G2257" s="142"/>
      <c r="H2257" s="142"/>
      <c r="I2257" s="142"/>
      <c r="J2257" s="142"/>
    </row>
    <row r="2258" spans="1:10" x14ac:dyDescent="0.25">
      <c r="A2258" s="28"/>
      <c r="B2258" s="180"/>
      <c r="C2258" s="35"/>
      <c r="D2258" s="36"/>
      <c r="E2258" s="36"/>
      <c r="F2258" s="142"/>
      <c r="G2258" s="142"/>
      <c r="H2258" s="142"/>
      <c r="I2258" s="142"/>
      <c r="J2258" s="142"/>
    </row>
    <row r="2259" spans="1:10" x14ac:dyDescent="0.25">
      <c r="A2259" s="28"/>
      <c r="B2259" s="180"/>
      <c r="C2259" s="35"/>
      <c r="D2259" s="36"/>
      <c r="E2259" s="36"/>
      <c r="F2259" s="142"/>
      <c r="G2259" s="142"/>
      <c r="H2259" s="142"/>
      <c r="I2259" s="142"/>
      <c r="J2259" s="142"/>
    </row>
    <row r="2260" spans="1:10" x14ac:dyDescent="0.25">
      <c r="A2260" s="28"/>
      <c r="B2260" s="180"/>
      <c r="C2260" s="35"/>
      <c r="D2260" s="36"/>
      <c r="E2260" s="36"/>
      <c r="F2260" s="142"/>
      <c r="G2260" s="142"/>
      <c r="H2260" s="142"/>
      <c r="I2260" s="142"/>
      <c r="J2260" s="142"/>
    </row>
    <row r="2261" spans="1:10" x14ac:dyDescent="0.25">
      <c r="A2261" s="28"/>
      <c r="B2261" s="180"/>
      <c r="C2261" s="35"/>
      <c r="D2261" s="36"/>
      <c r="E2261" s="36"/>
      <c r="F2261" s="142"/>
      <c r="G2261" s="142"/>
      <c r="H2261" s="142"/>
      <c r="I2261" s="142"/>
      <c r="J2261" s="142"/>
    </row>
    <row r="2262" spans="1:10" x14ac:dyDescent="0.25">
      <c r="A2262" s="28"/>
      <c r="B2262" s="180"/>
      <c r="C2262" s="35"/>
      <c r="D2262" s="36"/>
      <c r="E2262" s="36"/>
      <c r="F2262" s="142"/>
      <c r="G2262" s="142"/>
      <c r="H2262" s="142"/>
      <c r="I2262" s="142"/>
      <c r="J2262" s="142"/>
    </row>
    <row r="2263" spans="1:10" x14ac:dyDescent="0.25">
      <c r="A2263" s="28"/>
      <c r="B2263" s="180"/>
      <c r="C2263" s="35"/>
      <c r="D2263" s="36"/>
      <c r="E2263" s="36"/>
      <c r="F2263" s="142"/>
      <c r="G2263" s="142"/>
      <c r="H2263" s="142"/>
      <c r="I2263" s="142"/>
      <c r="J2263" s="142"/>
    </row>
    <row r="2264" spans="1:10" x14ac:dyDescent="0.25">
      <c r="A2264" s="28"/>
      <c r="B2264" s="180"/>
      <c r="C2264" s="35"/>
      <c r="D2264" s="36"/>
      <c r="E2264" s="36"/>
      <c r="F2264" s="142"/>
      <c r="G2264" s="142"/>
      <c r="H2264" s="142"/>
      <c r="I2264" s="142"/>
      <c r="J2264" s="142"/>
    </row>
    <row r="2265" spans="1:10" x14ac:dyDescent="0.25">
      <c r="A2265" s="28"/>
      <c r="B2265" s="180"/>
      <c r="C2265" s="35"/>
      <c r="D2265" s="36"/>
      <c r="E2265" s="36"/>
      <c r="F2265" s="142"/>
      <c r="G2265" s="142"/>
      <c r="H2265" s="142"/>
      <c r="I2265" s="142"/>
      <c r="J2265" s="142"/>
    </row>
    <row r="2266" spans="1:10" x14ac:dyDescent="0.25">
      <c r="A2266" s="28"/>
      <c r="B2266" s="180"/>
      <c r="C2266" s="35"/>
      <c r="D2266" s="36"/>
      <c r="E2266" s="36"/>
      <c r="F2266" s="142"/>
      <c r="G2266" s="142"/>
      <c r="H2266" s="142"/>
      <c r="I2266" s="142"/>
      <c r="J2266" s="142"/>
    </row>
    <row r="2267" spans="1:10" x14ac:dyDescent="0.25">
      <c r="A2267" s="28"/>
      <c r="B2267" s="180"/>
      <c r="C2267" s="35"/>
      <c r="D2267" s="36"/>
      <c r="E2267" s="36"/>
      <c r="F2267" s="142"/>
      <c r="G2267" s="142"/>
      <c r="H2267" s="142"/>
      <c r="I2267" s="142"/>
      <c r="J2267" s="142"/>
    </row>
    <row r="2268" spans="1:10" x14ac:dyDescent="0.25">
      <c r="A2268" s="28"/>
      <c r="B2268" s="180"/>
      <c r="C2268" s="35"/>
      <c r="D2268" s="36"/>
      <c r="E2268" s="36"/>
      <c r="F2268" s="142"/>
      <c r="G2268" s="142"/>
      <c r="H2268" s="142"/>
      <c r="I2268" s="142"/>
      <c r="J2268" s="142"/>
    </row>
    <row r="2269" spans="1:10" x14ac:dyDescent="0.25">
      <c r="A2269" s="28"/>
      <c r="B2269" s="180"/>
      <c r="C2269" s="35"/>
      <c r="D2269" s="36"/>
      <c r="E2269" s="36"/>
      <c r="F2269" s="142"/>
      <c r="G2269" s="142"/>
      <c r="H2269" s="142"/>
      <c r="I2269" s="142"/>
      <c r="J2269" s="142"/>
    </row>
    <row r="2270" spans="1:10" x14ac:dyDescent="0.25">
      <c r="A2270" s="28"/>
      <c r="B2270" s="180"/>
      <c r="C2270" s="35"/>
      <c r="D2270" s="36"/>
      <c r="E2270" s="36"/>
      <c r="F2270" s="142"/>
      <c r="G2270" s="142"/>
      <c r="H2270" s="142"/>
      <c r="I2270" s="142"/>
      <c r="J2270" s="142"/>
    </row>
    <row r="2271" spans="1:10" x14ac:dyDescent="0.25">
      <c r="A2271" s="28"/>
      <c r="B2271" s="180"/>
      <c r="C2271" s="35"/>
      <c r="D2271" s="36"/>
      <c r="E2271" s="36"/>
      <c r="F2271" s="142"/>
      <c r="G2271" s="142"/>
      <c r="H2271" s="142"/>
      <c r="I2271" s="142"/>
      <c r="J2271" s="142"/>
    </row>
    <row r="2272" spans="1:10" x14ac:dyDescent="0.25">
      <c r="A2272" s="28"/>
      <c r="B2272" s="180"/>
      <c r="C2272" s="35"/>
      <c r="D2272" s="36"/>
      <c r="E2272" s="36"/>
      <c r="F2272" s="142"/>
      <c r="G2272" s="142"/>
      <c r="H2272" s="142"/>
      <c r="I2272" s="142"/>
      <c r="J2272" s="142"/>
    </row>
    <row r="2273" spans="1:10" x14ac:dyDescent="0.25">
      <c r="A2273" s="28"/>
      <c r="B2273" s="180"/>
      <c r="C2273" s="35"/>
      <c r="D2273" s="36"/>
      <c r="E2273" s="36"/>
      <c r="F2273" s="142"/>
      <c r="G2273" s="142"/>
      <c r="H2273" s="142"/>
      <c r="I2273" s="142"/>
      <c r="J2273" s="142"/>
    </row>
    <row r="2274" spans="1:10" x14ac:dyDescent="0.25">
      <c r="A2274" s="28"/>
      <c r="B2274" s="180"/>
      <c r="C2274" s="35"/>
      <c r="D2274" s="36"/>
      <c r="E2274" s="36"/>
      <c r="F2274" s="142"/>
      <c r="G2274" s="142"/>
      <c r="H2274" s="142"/>
      <c r="I2274" s="142"/>
      <c r="J2274" s="142"/>
    </row>
    <row r="2275" spans="1:10" x14ac:dyDescent="0.25">
      <c r="A2275" s="28"/>
      <c r="B2275" s="180"/>
      <c r="C2275" s="35"/>
      <c r="D2275" s="36"/>
      <c r="E2275" s="36"/>
      <c r="F2275" s="142"/>
      <c r="G2275" s="142"/>
      <c r="H2275" s="142"/>
      <c r="I2275" s="142"/>
      <c r="J2275" s="142"/>
    </row>
    <row r="2276" spans="1:10" x14ac:dyDescent="0.25">
      <c r="A2276" s="28"/>
      <c r="B2276" s="180"/>
      <c r="C2276" s="35"/>
      <c r="D2276" s="36"/>
      <c r="E2276" s="36"/>
      <c r="F2276" s="142"/>
      <c r="G2276" s="142"/>
      <c r="H2276" s="142"/>
      <c r="I2276" s="142"/>
      <c r="J2276" s="142"/>
    </row>
    <row r="2277" spans="1:10" x14ac:dyDescent="0.25">
      <c r="A2277" s="28"/>
      <c r="B2277" s="180"/>
      <c r="C2277" s="35"/>
      <c r="D2277" s="36"/>
      <c r="E2277" s="36"/>
      <c r="F2277" s="142"/>
      <c r="G2277" s="142"/>
      <c r="H2277" s="142"/>
      <c r="I2277" s="142"/>
      <c r="J2277" s="142"/>
    </row>
    <row r="2278" spans="1:10" x14ac:dyDescent="0.25">
      <c r="A2278" s="28"/>
      <c r="B2278" s="180"/>
      <c r="C2278" s="35"/>
      <c r="D2278" s="36"/>
      <c r="E2278" s="36"/>
      <c r="F2278" s="142"/>
      <c r="G2278" s="142"/>
      <c r="H2278" s="142"/>
      <c r="I2278" s="142"/>
      <c r="J2278" s="142"/>
    </row>
    <row r="2279" spans="1:10" x14ac:dyDescent="0.25">
      <c r="A2279" s="28"/>
      <c r="B2279" s="180"/>
      <c r="C2279" s="35"/>
      <c r="D2279" s="36"/>
      <c r="E2279" s="36"/>
      <c r="F2279" s="142"/>
      <c r="G2279" s="142"/>
      <c r="H2279" s="142"/>
      <c r="I2279" s="142"/>
      <c r="J2279" s="142"/>
    </row>
    <row r="2280" spans="1:10" x14ac:dyDescent="0.25">
      <c r="A2280" s="28"/>
      <c r="B2280" s="180"/>
      <c r="C2280" s="35"/>
      <c r="D2280" s="36"/>
      <c r="E2280" s="36"/>
      <c r="F2280" s="142"/>
      <c r="G2280" s="142"/>
      <c r="H2280" s="142"/>
      <c r="I2280" s="142"/>
      <c r="J2280" s="142"/>
    </row>
    <row r="2281" spans="1:10" x14ac:dyDescent="0.25">
      <c r="A2281" s="28"/>
      <c r="B2281" s="180"/>
      <c r="C2281" s="35"/>
      <c r="D2281" s="36"/>
      <c r="E2281" s="36"/>
      <c r="F2281" s="142"/>
      <c r="G2281" s="142"/>
      <c r="H2281" s="142"/>
      <c r="I2281" s="142"/>
      <c r="J2281" s="142"/>
    </row>
    <row r="2282" spans="1:10" x14ac:dyDescent="0.25">
      <c r="A2282" s="28"/>
      <c r="B2282" s="180"/>
      <c r="C2282" s="35"/>
      <c r="D2282" s="36"/>
      <c r="E2282" s="36"/>
      <c r="F2282" s="142"/>
      <c r="G2282" s="142"/>
      <c r="H2282" s="142"/>
      <c r="I2282" s="142"/>
      <c r="J2282" s="142"/>
    </row>
    <row r="2283" spans="1:10" x14ac:dyDescent="0.25">
      <c r="A2283" s="28"/>
      <c r="B2283" s="180"/>
      <c r="C2283" s="35"/>
      <c r="D2283" s="36"/>
      <c r="E2283" s="36"/>
      <c r="F2283" s="142"/>
      <c r="G2283" s="142"/>
      <c r="H2283" s="142"/>
      <c r="I2283" s="142"/>
      <c r="J2283" s="142"/>
    </row>
    <row r="2284" spans="1:10" x14ac:dyDescent="0.25">
      <c r="A2284" s="28"/>
      <c r="B2284" s="180"/>
      <c r="C2284" s="35"/>
      <c r="D2284" s="36"/>
      <c r="E2284" s="36"/>
      <c r="F2284" s="142"/>
      <c r="G2284" s="142"/>
      <c r="H2284" s="142"/>
      <c r="I2284" s="142"/>
      <c r="J2284" s="142"/>
    </row>
    <row r="2285" spans="1:10" x14ac:dyDescent="0.25">
      <c r="A2285" s="28"/>
      <c r="B2285" s="180"/>
      <c r="C2285" s="35"/>
      <c r="D2285" s="36"/>
      <c r="E2285" s="36"/>
      <c r="F2285" s="142"/>
      <c r="G2285" s="142"/>
      <c r="H2285" s="142"/>
      <c r="I2285" s="142"/>
      <c r="J2285" s="142"/>
    </row>
    <row r="2286" spans="1:10" x14ac:dyDescent="0.25">
      <c r="A2286" s="28"/>
      <c r="B2286" s="180"/>
      <c r="C2286" s="35"/>
      <c r="D2286" s="36"/>
      <c r="E2286" s="36"/>
      <c r="F2286" s="142"/>
      <c r="G2286" s="142"/>
      <c r="H2286" s="142"/>
      <c r="I2286" s="142"/>
      <c r="J2286" s="142"/>
    </row>
    <row r="2287" spans="1:10" x14ac:dyDescent="0.25">
      <c r="A2287" s="28"/>
      <c r="B2287" s="180"/>
      <c r="C2287" s="35"/>
      <c r="D2287" s="36"/>
      <c r="E2287" s="36"/>
      <c r="F2287" s="142"/>
      <c r="G2287" s="142"/>
      <c r="H2287" s="142"/>
      <c r="I2287" s="142"/>
      <c r="J2287" s="142"/>
    </row>
    <row r="2288" spans="1:10" x14ac:dyDescent="0.25">
      <c r="A2288" s="28"/>
      <c r="B2288" s="180"/>
      <c r="C2288" s="35"/>
      <c r="D2288" s="36"/>
      <c r="E2288" s="36"/>
      <c r="F2288" s="142"/>
      <c r="G2288" s="142"/>
      <c r="H2288" s="142"/>
      <c r="I2288" s="142"/>
      <c r="J2288" s="142"/>
    </row>
    <row r="2289" spans="1:10" x14ac:dyDescent="0.25">
      <c r="A2289" s="28"/>
      <c r="B2289" s="180"/>
      <c r="C2289" s="35"/>
      <c r="D2289" s="36"/>
      <c r="E2289" s="36"/>
      <c r="F2289" s="142"/>
      <c r="G2289" s="142"/>
      <c r="H2289" s="142"/>
      <c r="I2289" s="142"/>
      <c r="J2289" s="142"/>
    </row>
    <row r="2290" spans="1:10" x14ac:dyDescent="0.25">
      <c r="A2290" s="28"/>
      <c r="B2290" s="180"/>
      <c r="C2290" s="35"/>
      <c r="D2290" s="36"/>
      <c r="E2290" s="36"/>
      <c r="F2290" s="142"/>
      <c r="G2290" s="142"/>
      <c r="H2290" s="142"/>
      <c r="I2290" s="142"/>
      <c r="J2290" s="142"/>
    </row>
    <row r="2291" spans="1:10" x14ac:dyDescent="0.25">
      <c r="A2291" s="28"/>
      <c r="B2291" s="180"/>
      <c r="C2291" s="35"/>
      <c r="D2291" s="36"/>
      <c r="E2291" s="36"/>
      <c r="F2291" s="142"/>
      <c r="G2291" s="142"/>
      <c r="H2291" s="142"/>
      <c r="I2291" s="142"/>
      <c r="J2291" s="142"/>
    </row>
    <row r="2292" spans="1:10" x14ac:dyDescent="0.25">
      <c r="A2292" s="28"/>
      <c r="B2292" s="180"/>
      <c r="C2292" s="35"/>
      <c r="D2292" s="36"/>
      <c r="E2292" s="36"/>
      <c r="F2292" s="142"/>
      <c r="G2292" s="142"/>
      <c r="H2292" s="142"/>
      <c r="I2292" s="142"/>
      <c r="J2292" s="142"/>
    </row>
    <row r="2293" spans="1:10" x14ac:dyDescent="0.25">
      <c r="A2293" s="28"/>
      <c r="B2293" s="180"/>
      <c r="C2293" s="35"/>
      <c r="D2293" s="36"/>
      <c r="E2293" s="36"/>
      <c r="F2293" s="142"/>
      <c r="G2293" s="142"/>
      <c r="H2293" s="142"/>
      <c r="I2293" s="142"/>
      <c r="J2293" s="142"/>
    </row>
    <row r="2294" spans="1:10" x14ac:dyDescent="0.25">
      <c r="A2294" s="28"/>
      <c r="B2294" s="180"/>
      <c r="C2294" s="35"/>
      <c r="D2294" s="36"/>
      <c r="E2294" s="36"/>
      <c r="F2294" s="142"/>
      <c r="G2294" s="142"/>
      <c r="H2294" s="142"/>
      <c r="I2294" s="142"/>
      <c r="J2294" s="142"/>
    </row>
    <row r="2295" spans="1:10" x14ac:dyDescent="0.25">
      <c r="A2295" s="28"/>
      <c r="B2295" s="180"/>
      <c r="C2295" s="35"/>
      <c r="D2295" s="36"/>
      <c r="E2295" s="36"/>
      <c r="F2295" s="142"/>
      <c r="G2295" s="142"/>
      <c r="H2295" s="142"/>
      <c r="I2295" s="142"/>
      <c r="J2295" s="142"/>
    </row>
    <row r="2296" spans="1:10" x14ac:dyDescent="0.25">
      <c r="A2296" s="28"/>
      <c r="B2296" s="180"/>
      <c r="C2296" s="35"/>
      <c r="D2296" s="36"/>
      <c r="E2296" s="36"/>
      <c r="F2296" s="142"/>
      <c r="G2296" s="142"/>
      <c r="H2296" s="142"/>
      <c r="I2296" s="142"/>
      <c r="J2296" s="142"/>
    </row>
    <row r="2297" spans="1:10" x14ac:dyDescent="0.25">
      <c r="A2297" s="28"/>
      <c r="B2297" s="180"/>
      <c r="C2297" s="35"/>
      <c r="D2297" s="36"/>
      <c r="E2297" s="36"/>
      <c r="F2297" s="142"/>
      <c r="G2297" s="142"/>
      <c r="H2297" s="142"/>
      <c r="I2297" s="142"/>
      <c r="J2297" s="142"/>
    </row>
    <row r="2298" spans="1:10" x14ac:dyDescent="0.25">
      <c r="A2298" s="28"/>
      <c r="B2298" s="180"/>
      <c r="C2298" s="35"/>
      <c r="D2298" s="36"/>
      <c r="E2298" s="36"/>
      <c r="F2298" s="142"/>
      <c r="G2298" s="142"/>
      <c r="H2298" s="142"/>
      <c r="I2298" s="142"/>
      <c r="J2298" s="142"/>
    </row>
    <row r="2299" spans="1:10" x14ac:dyDescent="0.25">
      <c r="A2299" s="28"/>
      <c r="B2299" s="180"/>
      <c r="C2299" s="35"/>
      <c r="D2299" s="36"/>
      <c r="E2299" s="36"/>
      <c r="F2299" s="142"/>
      <c r="G2299" s="142"/>
      <c r="H2299" s="142"/>
      <c r="I2299" s="142"/>
      <c r="J2299" s="142"/>
    </row>
    <row r="2300" spans="1:10" x14ac:dyDescent="0.25">
      <c r="A2300" s="28"/>
      <c r="B2300" s="180"/>
      <c r="C2300" s="35"/>
      <c r="D2300" s="36"/>
      <c r="E2300" s="36"/>
      <c r="F2300" s="142"/>
      <c r="G2300" s="142"/>
      <c r="H2300" s="142"/>
      <c r="I2300" s="142"/>
      <c r="J2300" s="142"/>
    </row>
    <row r="2301" spans="1:10" x14ac:dyDescent="0.25">
      <c r="A2301" s="28"/>
      <c r="B2301" s="180"/>
      <c r="C2301" s="35"/>
      <c r="D2301" s="36"/>
      <c r="E2301" s="36"/>
      <c r="F2301" s="142"/>
      <c r="G2301" s="142"/>
      <c r="H2301" s="142"/>
      <c r="I2301" s="142"/>
      <c r="J2301" s="142"/>
    </row>
    <row r="2302" spans="1:10" x14ac:dyDescent="0.25">
      <c r="A2302" s="28"/>
      <c r="B2302" s="180"/>
      <c r="C2302" s="35"/>
      <c r="D2302" s="36"/>
      <c r="E2302" s="36"/>
      <c r="F2302" s="142"/>
      <c r="G2302" s="142"/>
      <c r="H2302" s="142"/>
      <c r="I2302" s="142"/>
      <c r="J2302" s="142"/>
    </row>
    <row r="2303" spans="1:10" x14ac:dyDescent="0.25">
      <c r="A2303" s="28"/>
      <c r="B2303" s="180"/>
      <c r="C2303" s="35"/>
      <c r="D2303" s="36"/>
      <c r="E2303" s="36"/>
      <c r="F2303" s="142"/>
      <c r="G2303" s="142"/>
      <c r="H2303" s="142"/>
      <c r="I2303" s="142"/>
      <c r="J2303" s="142"/>
    </row>
    <row r="2304" spans="1:10" x14ac:dyDescent="0.25">
      <c r="A2304" s="28"/>
      <c r="B2304" s="180"/>
      <c r="C2304" s="35"/>
      <c r="D2304" s="36"/>
      <c r="E2304" s="36"/>
      <c r="F2304" s="142"/>
      <c r="G2304" s="142"/>
      <c r="H2304" s="142"/>
      <c r="I2304" s="142"/>
      <c r="J2304" s="142"/>
    </row>
    <row r="2305" spans="1:10" x14ac:dyDescent="0.25">
      <c r="A2305" s="28"/>
      <c r="B2305" s="180"/>
      <c r="C2305" s="35"/>
      <c r="D2305" s="36"/>
      <c r="E2305" s="36"/>
      <c r="F2305" s="142"/>
      <c r="G2305" s="142"/>
      <c r="H2305" s="142"/>
      <c r="I2305" s="142"/>
      <c r="J2305" s="142"/>
    </row>
    <row r="2306" spans="1:10" x14ac:dyDescent="0.25">
      <c r="A2306" s="28"/>
      <c r="B2306" s="180"/>
      <c r="C2306" s="35"/>
      <c r="D2306" s="36"/>
      <c r="E2306" s="36"/>
      <c r="F2306" s="142"/>
      <c r="G2306" s="142"/>
      <c r="H2306" s="142"/>
      <c r="I2306" s="142"/>
      <c r="J2306" s="142"/>
    </row>
    <row r="2307" spans="1:10" x14ac:dyDescent="0.25">
      <c r="A2307" s="28"/>
      <c r="B2307" s="180"/>
      <c r="C2307" s="35"/>
      <c r="D2307" s="36"/>
      <c r="E2307" s="36"/>
      <c r="F2307" s="142"/>
      <c r="G2307" s="142"/>
      <c r="H2307" s="142"/>
      <c r="I2307" s="142"/>
      <c r="J2307" s="142"/>
    </row>
    <row r="2308" spans="1:10" x14ac:dyDescent="0.25">
      <c r="A2308" s="28"/>
      <c r="B2308" s="180"/>
      <c r="C2308" s="35"/>
      <c r="D2308" s="36"/>
      <c r="E2308" s="36"/>
      <c r="F2308" s="142"/>
      <c r="G2308" s="142"/>
      <c r="H2308" s="142"/>
      <c r="I2308" s="142"/>
      <c r="J2308" s="142"/>
    </row>
    <row r="2309" spans="1:10" x14ac:dyDescent="0.25">
      <c r="A2309" s="28"/>
      <c r="B2309" s="180"/>
      <c r="C2309" s="35"/>
      <c r="D2309" s="36"/>
      <c r="E2309" s="36"/>
      <c r="F2309" s="142"/>
      <c r="G2309" s="142"/>
      <c r="H2309" s="142"/>
      <c r="I2309" s="142"/>
      <c r="J2309" s="142"/>
    </row>
    <row r="2310" spans="1:10" x14ac:dyDescent="0.25">
      <c r="A2310" s="28"/>
      <c r="B2310" s="180"/>
      <c r="C2310" s="35"/>
      <c r="D2310" s="36"/>
      <c r="E2310" s="36"/>
      <c r="F2310" s="142"/>
      <c r="G2310" s="142"/>
      <c r="H2310" s="142"/>
      <c r="I2310" s="142"/>
      <c r="J2310" s="142"/>
    </row>
    <row r="2311" spans="1:10" x14ac:dyDescent="0.25">
      <c r="A2311" s="28"/>
      <c r="B2311" s="180"/>
      <c r="C2311" s="35"/>
      <c r="D2311" s="36"/>
      <c r="E2311" s="36"/>
      <c r="F2311" s="142"/>
      <c r="G2311" s="142"/>
      <c r="H2311" s="142"/>
      <c r="I2311" s="142"/>
      <c r="J2311" s="142"/>
    </row>
    <row r="2312" spans="1:10" x14ac:dyDescent="0.25">
      <c r="A2312" s="28"/>
      <c r="B2312" s="180"/>
      <c r="C2312" s="35"/>
      <c r="D2312" s="36"/>
      <c r="E2312" s="36"/>
      <c r="F2312" s="142"/>
      <c r="G2312" s="142"/>
      <c r="H2312" s="142"/>
      <c r="I2312" s="142"/>
      <c r="J2312" s="142"/>
    </row>
    <row r="2313" spans="1:10" x14ac:dyDescent="0.25">
      <c r="A2313" s="28"/>
      <c r="B2313" s="180"/>
      <c r="C2313" s="35"/>
      <c r="D2313" s="36"/>
      <c r="E2313" s="36"/>
      <c r="F2313" s="142"/>
      <c r="G2313" s="142"/>
      <c r="H2313" s="142"/>
      <c r="I2313" s="142"/>
      <c r="J2313" s="142"/>
    </row>
    <row r="2314" spans="1:10" x14ac:dyDescent="0.25">
      <c r="A2314" s="28"/>
      <c r="B2314" s="180"/>
      <c r="C2314" s="35"/>
      <c r="D2314" s="36"/>
      <c r="E2314" s="36"/>
      <c r="F2314" s="142"/>
      <c r="G2314" s="142"/>
      <c r="H2314" s="142"/>
      <c r="I2314" s="142"/>
      <c r="J2314" s="142"/>
    </row>
    <row r="2315" spans="1:10" x14ac:dyDescent="0.25">
      <c r="A2315" s="28"/>
      <c r="B2315" s="180"/>
      <c r="C2315" s="35"/>
      <c r="D2315" s="36"/>
      <c r="E2315" s="36"/>
      <c r="F2315" s="142"/>
      <c r="G2315" s="142"/>
      <c r="H2315" s="142"/>
      <c r="I2315" s="142"/>
      <c r="J2315" s="142"/>
    </row>
    <row r="2316" spans="1:10" x14ac:dyDescent="0.25">
      <c r="A2316" s="28"/>
      <c r="B2316" s="180"/>
      <c r="C2316" s="35"/>
      <c r="D2316" s="36"/>
      <c r="E2316" s="36"/>
      <c r="F2316" s="142"/>
      <c r="G2316" s="142"/>
      <c r="H2316" s="142"/>
      <c r="I2316" s="142"/>
      <c r="J2316" s="142"/>
    </row>
    <row r="2317" spans="1:10" x14ac:dyDescent="0.25">
      <c r="A2317" s="28"/>
      <c r="B2317" s="180"/>
      <c r="C2317" s="35"/>
      <c r="D2317" s="36"/>
      <c r="E2317" s="36"/>
      <c r="F2317" s="142"/>
      <c r="G2317" s="142"/>
      <c r="H2317" s="142"/>
      <c r="I2317" s="142"/>
      <c r="J2317" s="142"/>
    </row>
    <row r="2318" spans="1:10" x14ac:dyDescent="0.25">
      <c r="A2318" s="28"/>
      <c r="B2318" s="180"/>
      <c r="C2318" s="35"/>
      <c r="D2318" s="36"/>
      <c r="E2318" s="36"/>
      <c r="F2318" s="142"/>
      <c r="G2318" s="142"/>
      <c r="H2318" s="142"/>
      <c r="I2318" s="142"/>
      <c r="J2318" s="142"/>
    </row>
    <row r="2319" spans="1:10" x14ac:dyDescent="0.25">
      <c r="A2319" s="28"/>
      <c r="B2319" s="180"/>
      <c r="C2319" s="35"/>
      <c r="D2319" s="36"/>
      <c r="E2319" s="36"/>
      <c r="F2319" s="142"/>
      <c r="G2319" s="142"/>
      <c r="H2319" s="142"/>
      <c r="I2319" s="142"/>
      <c r="J2319" s="142"/>
    </row>
    <row r="2320" spans="1:10" x14ac:dyDescent="0.25">
      <c r="A2320" s="28"/>
      <c r="B2320" s="180"/>
      <c r="C2320" s="35"/>
      <c r="D2320" s="36"/>
      <c r="E2320" s="36"/>
      <c r="F2320" s="142"/>
      <c r="G2320" s="142"/>
      <c r="H2320" s="142"/>
      <c r="I2320" s="142"/>
      <c r="J2320" s="142"/>
    </row>
    <row r="2321" spans="1:10" x14ac:dyDescent="0.25">
      <c r="A2321" s="28"/>
      <c r="B2321" s="180"/>
      <c r="C2321" s="35"/>
      <c r="D2321" s="36"/>
      <c r="E2321" s="36"/>
      <c r="F2321" s="142"/>
      <c r="G2321" s="142"/>
      <c r="H2321" s="142"/>
      <c r="I2321" s="142"/>
      <c r="J2321" s="142"/>
    </row>
    <row r="2322" spans="1:10" x14ac:dyDescent="0.25">
      <c r="A2322" s="28"/>
      <c r="B2322" s="180"/>
      <c r="C2322" s="35"/>
      <c r="D2322" s="36"/>
      <c r="E2322" s="36"/>
      <c r="F2322" s="142"/>
      <c r="G2322" s="142"/>
      <c r="H2322" s="142"/>
      <c r="I2322" s="142"/>
      <c r="J2322" s="142"/>
    </row>
    <row r="2323" spans="1:10" x14ac:dyDescent="0.25">
      <c r="A2323" s="28"/>
      <c r="B2323" s="180"/>
      <c r="C2323" s="35"/>
      <c r="D2323" s="36"/>
      <c r="E2323" s="36"/>
      <c r="F2323" s="142"/>
      <c r="G2323" s="142"/>
      <c r="H2323" s="142"/>
      <c r="I2323" s="142"/>
      <c r="J2323" s="142"/>
    </row>
    <row r="2324" spans="1:10" x14ac:dyDescent="0.25">
      <c r="A2324" s="28"/>
      <c r="B2324" s="180"/>
      <c r="C2324" s="35"/>
      <c r="D2324" s="36"/>
      <c r="E2324" s="36"/>
      <c r="F2324" s="142"/>
      <c r="G2324" s="142"/>
      <c r="H2324" s="142"/>
      <c r="I2324" s="142"/>
      <c r="J2324" s="142"/>
    </row>
    <row r="2325" spans="1:10" x14ac:dyDescent="0.25">
      <c r="A2325" s="28"/>
      <c r="B2325" s="180"/>
      <c r="C2325" s="35"/>
      <c r="D2325" s="36"/>
      <c r="E2325" s="36"/>
      <c r="F2325" s="142"/>
      <c r="G2325" s="142"/>
      <c r="H2325" s="142"/>
      <c r="I2325" s="142"/>
      <c r="J2325" s="142"/>
    </row>
    <row r="2326" spans="1:10" x14ac:dyDescent="0.25">
      <c r="A2326" s="28"/>
      <c r="B2326" s="180"/>
      <c r="C2326" s="35"/>
      <c r="D2326" s="36"/>
      <c r="E2326" s="36"/>
      <c r="F2326" s="142"/>
      <c r="G2326" s="142"/>
      <c r="H2326" s="142"/>
      <c r="I2326" s="142"/>
      <c r="J2326" s="142"/>
    </row>
    <row r="2327" spans="1:10" x14ac:dyDescent="0.25">
      <c r="A2327" s="28"/>
      <c r="B2327" s="180"/>
      <c r="C2327" s="35"/>
      <c r="D2327" s="36"/>
      <c r="E2327" s="36"/>
      <c r="F2327" s="142"/>
      <c r="G2327" s="142"/>
      <c r="H2327" s="142"/>
      <c r="I2327" s="142"/>
      <c r="J2327" s="142"/>
    </row>
    <row r="2328" spans="1:10" x14ac:dyDescent="0.25">
      <c r="A2328" s="28"/>
      <c r="B2328" s="180"/>
      <c r="C2328" s="35"/>
      <c r="D2328" s="36"/>
      <c r="E2328" s="36"/>
      <c r="F2328" s="142"/>
      <c r="G2328" s="142"/>
      <c r="H2328" s="142"/>
      <c r="I2328" s="142"/>
      <c r="J2328" s="142"/>
    </row>
    <row r="2329" spans="1:10" x14ac:dyDescent="0.25">
      <c r="A2329" s="28"/>
      <c r="B2329" s="180"/>
      <c r="C2329" s="35"/>
      <c r="D2329" s="36"/>
      <c r="E2329" s="36"/>
      <c r="F2329" s="142"/>
      <c r="G2329" s="142"/>
      <c r="H2329" s="142"/>
      <c r="I2329" s="142"/>
      <c r="J2329" s="142"/>
    </row>
    <row r="2330" spans="1:10" x14ac:dyDescent="0.25">
      <c r="A2330" s="28"/>
      <c r="B2330" s="180"/>
      <c r="C2330" s="35"/>
      <c r="D2330" s="36"/>
      <c r="E2330" s="36"/>
      <c r="F2330" s="142"/>
      <c r="G2330" s="142"/>
      <c r="H2330" s="142"/>
      <c r="I2330" s="142"/>
      <c r="J2330" s="142"/>
    </row>
    <row r="2331" spans="1:10" x14ac:dyDescent="0.25">
      <c r="A2331" s="28"/>
      <c r="B2331" s="180"/>
      <c r="C2331" s="35"/>
      <c r="D2331" s="36"/>
      <c r="E2331" s="36"/>
      <c r="F2331" s="142"/>
      <c r="G2331" s="142"/>
      <c r="H2331" s="142"/>
      <c r="I2331" s="142"/>
      <c r="J2331" s="142"/>
    </row>
    <row r="2332" spans="1:10" x14ac:dyDescent="0.25">
      <c r="A2332" s="28"/>
      <c r="B2332" s="180"/>
      <c r="C2332" s="35"/>
      <c r="D2332" s="36"/>
      <c r="E2332" s="36"/>
      <c r="F2332" s="142"/>
      <c r="G2332" s="142"/>
      <c r="H2332" s="142"/>
      <c r="I2332" s="142"/>
      <c r="J2332" s="142"/>
    </row>
    <row r="2333" spans="1:10" x14ac:dyDescent="0.25">
      <c r="A2333" s="28"/>
      <c r="B2333" s="180"/>
      <c r="C2333" s="35"/>
      <c r="D2333" s="36"/>
      <c r="E2333" s="36"/>
      <c r="F2333" s="142"/>
      <c r="G2333" s="142"/>
      <c r="H2333" s="142"/>
      <c r="I2333" s="142"/>
      <c r="J2333" s="142"/>
    </row>
    <row r="2334" spans="1:10" x14ac:dyDescent="0.25">
      <c r="A2334" s="28"/>
      <c r="B2334" s="180"/>
      <c r="C2334" s="35"/>
      <c r="D2334" s="36"/>
      <c r="E2334" s="36"/>
      <c r="F2334" s="142"/>
      <c r="G2334" s="142"/>
      <c r="H2334" s="142"/>
      <c r="I2334" s="142"/>
      <c r="J2334" s="142"/>
    </row>
    <row r="2335" spans="1:10" x14ac:dyDescent="0.25">
      <c r="A2335" s="28"/>
      <c r="B2335" s="180"/>
      <c r="C2335" s="35"/>
      <c r="D2335" s="36"/>
      <c r="E2335" s="36"/>
      <c r="F2335" s="142"/>
      <c r="G2335" s="142"/>
      <c r="H2335" s="142"/>
      <c r="I2335" s="142"/>
      <c r="J2335" s="142"/>
    </row>
    <row r="2336" spans="1:10" x14ac:dyDescent="0.25">
      <c r="A2336" s="28"/>
      <c r="B2336" s="180"/>
      <c r="C2336" s="35"/>
      <c r="D2336" s="36"/>
      <c r="E2336" s="36"/>
      <c r="F2336" s="142"/>
      <c r="G2336" s="142"/>
      <c r="H2336" s="142"/>
      <c r="I2336" s="142"/>
      <c r="J2336" s="142"/>
    </row>
    <row r="2337" spans="1:10" x14ac:dyDescent="0.25">
      <c r="A2337" s="28"/>
      <c r="B2337" s="180"/>
      <c r="C2337" s="35"/>
      <c r="D2337" s="36"/>
      <c r="E2337" s="36"/>
      <c r="F2337" s="142"/>
      <c r="G2337" s="142"/>
      <c r="H2337" s="142"/>
      <c r="I2337" s="142"/>
      <c r="J2337" s="142"/>
    </row>
    <row r="2338" spans="1:10" x14ac:dyDescent="0.25">
      <c r="A2338" s="28"/>
      <c r="B2338" s="180"/>
      <c r="C2338" s="35"/>
      <c r="D2338" s="36"/>
      <c r="E2338" s="36"/>
      <c r="F2338" s="142"/>
      <c r="G2338" s="142"/>
      <c r="H2338" s="142"/>
      <c r="I2338" s="142"/>
      <c r="J2338" s="142"/>
    </row>
    <row r="2339" spans="1:10" x14ac:dyDescent="0.25">
      <c r="A2339" s="28"/>
      <c r="B2339" s="180"/>
      <c r="C2339" s="35"/>
      <c r="D2339" s="36"/>
      <c r="E2339" s="36"/>
      <c r="F2339" s="142"/>
      <c r="G2339" s="142"/>
      <c r="H2339" s="142"/>
      <c r="I2339" s="142"/>
      <c r="J2339" s="142"/>
    </row>
    <row r="2340" spans="1:10" x14ac:dyDescent="0.25">
      <c r="A2340" s="28"/>
      <c r="B2340" s="180"/>
      <c r="C2340" s="35"/>
      <c r="D2340" s="36"/>
      <c r="E2340" s="36"/>
      <c r="F2340" s="142"/>
      <c r="G2340" s="142"/>
      <c r="H2340" s="142"/>
      <c r="I2340" s="142"/>
      <c r="J2340" s="142"/>
    </row>
    <row r="2341" spans="1:10" x14ac:dyDescent="0.25">
      <c r="A2341" s="28"/>
      <c r="B2341" s="180"/>
      <c r="C2341" s="35"/>
      <c r="D2341" s="36"/>
      <c r="E2341" s="36"/>
      <c r="F2341" s="142"/>
      <c r="G2341" s="142"/>
      <c r="H2341" s="142"/>
      <c r="I2341" s="142"/>
      <c r="J2341" s="142"/>
    </row>
    <row r="2342" spans="1:10" x14ac:dyDescent="0.25">
      <c r="A2342" s="28"/>
      <c r="B2342" s="180"/>
      <c r="C2342" s="35"/>
      <c r="D2342" s="36"/>
      <c r="E2342" s="36"/>
      <c r="F2342" s="142"/>
      <c r="G2342" s="142"/>
      <c r="H2342" s="142"/>
      <c r="I2342" s="142"/>
      <c r="J2342" s="142"/>
    </row>
    <row r="2343" spans="1:10" x14ac:dyDescent="0.25">
      <c r="A2343" s="28"/>
      <c r="B2343" s="180"/>
      <c r="C2343" s="35"/>
      <c r="D2343" s="36"/>
      <c r="E2343" s="36"/>
      <c r="F2343" s="142"/>
      <c r="G2343" s="142"/>
      <c r="H2343" s="142"/>
      <c r="I2343" s="142"/>
      <c r="J2343" s="142"/>
    </row>
    <row r="2344" spans="1:10" x14ac:dyDescent="0.25">
      <c r="A2344" s="28"/>
      <c r="B2344" s="180"/>
      <c r="C2344" s="35"/>
      <c r="D2344" s="36"/>
      <c r="E2344" s="36"/>
      <c r="F2344" s="142"/>
      <c r="G2344" s="142"/>
      <c r="H2344" s="142"/>
      <c r="I2344" s="142"/>
      <c r="J2344" s="142"/>
    </row>
    <row r="2345" spans="1:10" x14ac:dyDescent="0.25">
      <c r="A2345" s="28"/>
      <c r="B2345" s="180"/>
      <c r="C2345" s="35"/>
      <c r="D2345" s="36"/>
      <c r="E2345" s="36"/>
      <c r="F2345" s="142"/>
      <c r="G2345" s="142"/>
      <c r="H2345" s="142"/>
      <c r="I2345" s="142"/>
      <c r="J2345" s="142"/>
    </row>
    <row r="2346" spans="1:10" x14ac:dyDescent="0.25">
      <c r="A2346" s="28"/>
      <c r="B2346" s="180"/>
      <c r="C2346" s="35"/>
      <c r="D2346" s="36"/>
      <c r="E2346" s="36"/>
      <c r="F2346" s="142"/>
      <c r="G2346" s="142"/>
      <c r="H2346" s="142"/>
      <c r="I2346" s="142"/>
      <c r="J2346" s="142"/>
    </row>
    <row r="2347" spans="1:10" x14ac:dyDescent="0.25">
      <c r="A2347" s="28"/>
      <c r="B2347" s="180"/>
      <c r="C2347" s="35"/>
      <c r="D2347" s="36"/>
      <c r="E2347" s="36"/>
      <c r="F2347" s="142"/>
      <c r="G2347" s="142"/>
      <c r="H2347" s="142"/>
      <c r="I2347" s="142"/>
      <c r="J2347" s="142"/>
    </row>
    <row r="2348" spans="1:10" x14ac:dyDescent="0.25">
      <c r="A2348" s="28"/>
      <c r="B2348" s="180"/>
      <c r="C2348" s="35"/>
      <c r="D2348" s="36"/>
      <c r="E2348" s="36"/>
      <c r="F2348" s="142"/>
      <c r="G2348" s="142"/>
      <c r="H2348" s="142"/>
      <c r="I2348" s="142"/>
      <c r="J2348" s="142"/>
    </row>
    <row r="2349" spans="1:10" x14ac:dyDescent="0.25">
      <c r="A2349" s="28"/>
      <c r="B2349" s="180"/>
      <c r="C2349" s="35"/>
      <c r="D2349" s="36"/>
      <c r="E2349" s="36"/>
      <c r="F2349" s="142"/>
      <c r="G2349" s="142"/>
      <c r="H2349" s="142"/>
      <c r="I2349" s="142"/>
      <c r="J2349" s="142"/>
    </row>
    <row r="2350" spans="1:10" x14ac:dyDescent="0.25">
      <c r="A2350" s="28"/>
      <c r="B2350" s="180"/>
      <c r="C2350" s="35"/>
      <c r="D2350" s="36"/>
      <c r="E2350" s="36"/>
      <c r="F2350" s="142"/>
      <c r="G2350" s="142"/>
      <c r="H2350" s="142"/>
      <c r="I2350" s="142"/>
      <c r="J2350" s="142"/>
    </row>
    <row r="2351" spans="1:10" x14ac:dyDescent="0.25">
      <c r="A2351" s="28"/>
      <c r="B2351" s="180"/>
      <c r="C2351" s="35"/>
      <c r="D2351" s="36"/>
      <c r="E2351" s="36"/>
      <c r="F2351" s="142"/>
      <c r="G2351" s="142"/>
      <c r="H2351" s="142"/>
      <c r="I2351" s="142"/>
      <c r="J2351" s="142"/>
    </row>
    <row r="2352" spans="1:10" x14ac:dyDescent="0.25">
      <c r="A2352" s="28"/>
      <c r="B2352" s="180"/>
      <c r="C2352" s="35"/>
      <c r="D2352" s="36"/>
      <c r="E2352" s="36"/>
      <c r="F2352" s="142"/>
      <c r="G2352" s="142"/>
      <c r="H2352" s="142"/>
      <c r="I2352" s="142"/>
      <c r="J2352" s="142"/>
    </row>
    <row r="2353" spans="1:10" x14ac:dyDescent="0.25">
      <c r="A2353" s="28"/>
      <c r="B2353" s="180"/>
      <c r="C2353" s="35"/>
      <c r="D2353" s="36"/>
      <c r="E2353" s="36"/>
      <c r="F2353" s="142"/>
      <c r="G2353" s="142"/>
      <c r="H2353" s="142"/>
      <c r="I2353" s="142"/>
      <c r="J2353" s="142"/>
    </row>
    <row r="2354" spans="1:10" x14ac:dyDescent="0.25">
      <c r="A2354" s="28"/>
      <c r="B2354" s="180"/>
      <c r="C2354" s="35"/>
      <c r="D2354" s="36"/>
      <c r="E2354" s="36"/>
      <c r="F2354" s="142"/>
      <c r="G2354" s="142"/>
      <c r="H2354" s="142"/>
      <c r="I2354" s="142"/>
      <c r="J2354" s="142"/>
    </row>
    <row r="2355" spans="1:10" x14ac:dyDescent="0.25">
      <c r="A2355" s="28"/>
      <c r="B2355" s="180"/>
      <c r="C2355" s="35"/>
      <c r="D2355" s="36"/>
      <c r="E2355" s="36"/>
      <c r="F2355" s="142"/>
      <c r="G2355" s="142"/>
      <c r="H2355" s="142"/>
      <c r="I2355" s="142"/>
      <c r="J2355" s="142"/>
    </row>
    <row r="2356" spans="1:10" x14ac:dyDescent="0.25">
      <c r="A2356" s="28"/>
      <c r="B2356" s="180"/>
      <c r="C2356" s="35"/>
      <c r="D2356" s="36"/>
      <c r="E2356" s="36"/>
      <c r="F2356" s="142"/>
      <c r="G2356" s="142"/>
      <c r="H2356" s="142"/>
      <c r="I2356" s="142"/>
      <c r="J2356" s="142"/>
    </row>
    <row r="2357" spans="1:10" x14ac:dyDescent="0.25">
      <c r="A2357" s="28"/>
      <c r="B2357" s="180"/>
      <c r="C2357" s="35"/>
      <c r="D2357" s="36"/>
      <c r="E2357" s="36"/>
      <c r="F2357" s="142"/>
      <c r="G2357" s="142"/>
      <c r="H2357" s="142"/>
      <c r="I2357" s="142"/>
      <c r="J2357" s="142"/>
    </row>
    <row r="2358" spans="1:10" x14ac:dyDescent="0.25">
      <c r="A2358" s="28"/>
      <c r="B2358" s="180"/>
      <c r="C2358" s="35"/>
      <c r="D2358" s="36"/>
      <c r="E2358" s="36"/>
      <c r="F2358" s="142"/>
      <c r="G2358" s="142"/>
      <c r="H2358" s="142"/>
      <c r="I2358" s="142"/>
      <c r="J2358" s="142"/>
    </row>
    <row r="2359" spans="1:10" x14ac:dyDescent="0.25">
      <c r="A2359" s="28"/>
      <c r="B2359" s="180"/>
      <c r="C2359" s="35"/>
      <c r="D2359" s="36"/>
      <c r="E2359" s="36"/>
      <c r="F2359" s="142"/>
      <c r="G2359" s="142"/>
      <c r="H2359" s="142"/>
      <c r="I2359" s="142"/>
      <c r="J2359" s="142"/>
    </row>
    <row r="2360" spans="1:10" x14ac:dyDescent="0.25">
      <c r="A2360" s="28"/>
      <c r="B2360" s="180"/>
      <c r="C2360" s="35"/>
      <c r="D2360" s="36"/>
      <c r="E2360" s="36"/>
      <c r="F2360" s="142"/>
      <c r="G2360" s="142"/>
      <c r="H2360" s="142"/>
      <c r="I2360" s="142"/>
      <c r="J2360" s="142"/>
    </row>
    <row r="2361" spans="1:10" x14ac:dyDescent="0.25">
      <c r="A2361" s="28"/>
      <c r="B2361" s="180"/>
      <c r="C2361" s="35"/>
      <c r="D2361" s="36"/>
      <c r="E2361" s="36"/>
      <c r="F2361" s="142"/>
      <c r="G2361" s="142"/>
      <c r="H2361" s="142"/>
      <c r="I2361" s="142"/>
      <c r="J2361" s="142"/>
    </row>
    <row r="2362" spans="1:10" x14ac:dyDescent="0.25">
      <c r="A2362" s="28"/>
      <c r="B2362" s="180"/>
      <c r="C2362" s="35"/>
      <c r="D2362" s="36"/>
      <c r="E2362" s="36"/>
      <c r="F2362" s="142"/>
      <c r="G2362" s="142"/>
      <c r="H2362" s="142"/>
      <c r="I2362" s="142"/>
      <c r="J2362" s="142"/>
    </row>
    <row r="2363" spans="1:10" x14ac:dyDescent="0.25">
      <c r="A2363" s="28"/>
      <c r="B2363" s="180"/>
      <c r="C2363" s="35"/>
      <c r="D2363" s="36"/>
      <c r="E2363" s="36"/>
      <c r="F2363" s="142"/>
      <c r="G2363" s="142"/>
      <c r="H2363" s="142"/>
      <c r="I2363" s="142"/>
      <c r="J2363" s="142"/>
    </row>
    <row r="2364" spans="1:10" x14ac:dyDescent="0.25">
      <c r="A2364" s="28"/>
      <c r="B2364" s="180"/>
      <c r="C2364" s="35"/>
      <c r="D2364" s="36"/>
      <c r="E2364" s="36"/>
      <c r="F2364" s="142"/>
      <c r="G2364" s="142"/>
      <c r="H2364" s="142"/>
      <c r="I2364" s="142"/>
      <c r="J2364" s="142"/>
    </row>
    <row r="2365" spans="1:10" x14ac:dyDescent="0.25">
      <c r="A2365" s="28"/>
      <c r="B2365" s="180"/>
      <c r="C2365" s="35"/>
      <c r="D2365" s="36"/>
      <c r="E2365" s="36"/>
      <c r="F2365" s="142"/>
      <c r="G2365" s="142"/>
      <c r="H2365" s="142"/>
      <c r="I2365" s="142"/>
      <c r="J2365" s="142"/>
    </row>
    <row r="2366" spans="1:10" x14ac:dyDescent="0.25">
      <c r="A2366" s="28"/>
      <c r="B2366" s="180"/>
      <c r="C2366" s="35"/>
      <c r="D2366" s="36"/>
      <c r="E2366" s="36"/>
      <c r="F2366" s="142"/>
      <c r="G2366" s="142"/>
      <c r="H2366" s="142"/>
      <c r="I2366" s="142"/>
      <c r="J2366" s="142"/>
    </row>
    <row r="2367" spans="1:10" x14ac:dyDescent="0.25">
      <c r="A2367" s="28"/>
      <c r="B2367" s="180"/>
      <c r="C2367" s="35"/>
      <c r="D2367" s="36"/>
      <c r="E2367" s="36"/>
      <c r="F2367" s="142"/>
      <c r="G2367" s="142"/>
      <c r="H2367" s="142"/>
      <c r="I2367" s="142"/>
      <c r="J2367" s="142"/>
    </row>
    <row r="2368" spans="1:10" x14ac:dyDescent="0.25">
      <c r="A2368" s="28"/>
      <c r="B2368" s="180"/>
      <c r="C2368" s="35"/>
      <c r="D2368" s="36"/>
      <c r="E2368" s="36"/>
      <c r="F2368" s="142"/>
      <c r="G2368" s="142"/>
      <c r="H2368" s="142"/>
      <c r="I2368" s="142"/>
      <c r="J2368" s="142"/>
    </row>
    <row r="2369" spans="1:10" x14ac:dyDescent="0.25">
      <c r="A2369" s="28"/>
      <c r="B2369" s="180"/>
      <c r="C2369" s="35"/>
      <c r="D2369" s="36"/>
      <c r="E2369" s="36"/>
      <c r="F2369" s="142"/>
      <c r="G2369" s="142"/>
      <c r="H2369" s="142"/>
      <c r="I2369" s="142"/>
      <c r="J2369" s="142"/>
    </row>
    <row r="2370" spans="1:10" x14ac:dyDescent="0.25">
      <c r="A2370" s="28"/>
      <c r="B2370" s="180"/>
      <c r="C2370" s="35"/>
      <c r="D2370" s="36"/>
      <c r="E2370" s="36"/>
      <c r="F2370" s="142"/>
      <c r="G2370" s="142"/>
      <c r="H2370" s="142"/>
      <c r="I2370" s="142"/>
      <c r="J2370" s="142"/>
    </row>
    <row r="2371" spans="1:10" x14ac:dyDescent="0.25">
      <c r="A2371" s="28"/>
      <c r="B2371" s="180"/>
      <c r="C2371" s="35"/>
      <c r="D2371" s="36"/>
      <c r="E2371" s="36"/>
      <c r="F2371" s="142"/>
      <c r="G2371" s="142"/>
      <c r="H2371" s="142"/>
      <c r="I2371" s="142"/>
      <c r="J2371" s="142"/>
    </row>
    <row r="2372" spans="1:10" x14ac:dyDescent="0.25">
      <c r="A2372" s="28"/>
      <c r="B2372" s="180"/>
      <c r="C2372" s="35"/>
      <c r="D2372" s="36"/>
      <c r="E2372" s="36"/>
      <c r="F2372" s="142"/>
      <c r="G2372" s="142"/>
      <c r="H2372" s="142"/>
      <c r="I2372" s="142"/>
      <c r="J2372" s="142"/>
    </row>
    <row r="2373" spans="1:10" x14ac:dyDescent="0.25">
      <c r="A2373" s="28"/>
      <c r="B2373" s="180"/>
      <c r="C2373" s="35"/>
      <c r="D2373" s="36"/>
      <c r="E2373" s="36"/>
      <c r="F2373" s="142"/>
      <c r="G2373" s="142"/>
      <c r="H2373" s="142"/>
      <c r="I2373" s="142"/>
      <c r="J2373" s="142"/>
    </row>
    <row r="2374" spans="1:10" x14ac:dyDescent="0.25">
      <c r="A2374" s="28"/>
      <c r="B2374" s="180"/>
      <c r="C2374" s="35"/>
      <c r="D2374" s="36"/>
      <c r="E2374" s="36"/>
      <c r="F2374" s="142"/>
      <c r="G2374" s="142"/>
      <c r="H2374" s="142"/>
      <c r="I2374" s="142"/>
      <c r="J2374" s="142"/>
    </row>
    <row r="2375" spans="1:10" x14ac:dyDescent="0.25">
      <c r="A2375" s="28"/>
      <c r="B2375" s="180"/>
      <c r="C2375" s="35"/>
      <c r="D2375" s="36"/>
      <c r="E2375" s="36"/>
      <c r="F2375" s="142"/>
      <c r="G2375" s="142"/>
      <c r="H2375" s="142"/>
      <c r="I2375" s="142"/>
      <c r="J2375" s="142"/>
    </row>
    <row r="2376" spans="1:10" x14ac:dyDescent="0.25">
      <c r="A2376" s="28"/>
      <c r="B2376" s="180"/>
      <c r="C2376" s="35"/>
      <c r="D2376" s="36"/>
      <c r="E2376" s="36"/>
      <c r="F2376" s="142"/>
      <c r="G2376" s="142"/>
      <c r="H2376" s="142"/>
      <c r="I2376" s="142"/>
      <c r="J2376" s="142"/>
    </row>
    <row r="2377" spans="1:10" x14ac:dyDescent="0.25">
      <c r="A2377" s="28"/>
      <c r="B2377" s="180"/>
      <c r="C2377" s="35"/>
      <c r="D2377" s="36"/>
      <c r="E2377" s="36"/>
      <c r="F2377" s="142"/>
      <c r="G2377" s="142"/>
      <c r="H2377" s="142"/>
      <c r="I2377" s="142"/>
      <c r="J2377" s="142"/>
    </row>
    <row r="2378" spans="1:10" x14ac:dyDescent="0.25">
      <c r="A2378" s="28"/>
      <c r="B2378" s="180"/>
      <c r="C2378" s="35"/>
      <c r="D2378" s="36"/>
      <c r="E2378" s="36"/>
      <c r="F2378" s="142"/>
      <c r="G2378" s="142"/>
      <c r="H2378" s="142"/>
      <c r="I2378" s="142"/>
      <c r="J2378" s="142"/>
    </row>
    <row r="2379" spans="1:10" x14ac:dyDescent="0.25">
      <c r="A2379" s="28"/>
      <c r="B2379" s="180"/>
      <c r="C2379" s="35"/>
      <c r="D2379" s="36"/>
      <c r="E2379" s="36"/>
      <c r="F2379" s="142"/>
      <c r="G2379" s="142"/>
      <c r="H2379" s="142"/>
      <c r="I2379" s="142"/>
      <c r="J2379" s="142"/>
    </row>
    <row r="2380" spans="1:10" x14ac:dyDescent="0.25">
      <c r="A2380" s="28"/>
      <c r="B2380" s="180"/>
      <c r="C2380" s="35"/>
      <c r="D2380" s="36"/>
      <c r="E2380" s="36"/>
      <c r="F2380" s="142"/>
      <c r="G2380" s="142"/>
      <c r="H2380" s="142"/>
      <c r="I2380" s="142"/>
      <c r="J2380" s="142"/>
    </row>
    <row r="2381" spans="1:10" x14ac:dyDescent="0.25">
      <c r="A2381" s="28"/>
      <c r="B2381" s="180"/>
      <c r="C2381" s="35"/>
      <c r="D2381" s="36"/>
      <c r="E2381" s="36"/>
      <c r="F2381" s="142"/>
      <c r="G2381" s="142"/>
      <c r="H2381" s="142"/>
      <c r="I2381" s="142"/>
      <c r="J2381" s="142"/>
    </row>
    <row r="2382" spans="1:10" x14ac:dyDescent="0.25">
      <c r="A2382" s="28"/>
      <c r="B2382" s="180"/>
      <c r="C2382" s="35"/>
      <c r="D2382" s="36"/>
      <c r="E2382" s="36"/>
      <c r="F2382" s="142"/>
      <c r="G2382" s="142"/>
      <c r="H2382" s="142"/>
      <c r="I2382" s="142"/>
      <c r="J2382" s="142"/>
    </row>
    <row r="2383" spans="1:10" x14ac:dyDescent="0.25">
      <c r="A2383" s="28"/>
      <c r="B2383" s="180"/>
      <c r="C2383" s="35"/>
      <c r="D2383" s="36"/>
      <c r="E2383" s="36"/>
      <c r="F2383" s="142"/>
      <c r="G2383" s="142"/>
      <c r="H2383" s="142"/>
      <c r="I2383" s="142"/>
      <c r="J2383" s="142"/>
    </row>
    <row r="2384" spans="1:10" x14ac:dyDescent="0.25">
      <c r="A2384" s="28"/>
      <c r="B2384" s="180"/>
      <c r="C2384" s="35"/>
      <c r="D2384" s="36"/>
      <c r="E2384" s="36"/>
      <c r="F2384" s="142"/>
      <c r="G2384" s="142"/>
      <c r="H2384" s="142"/>
      <c r="I2384" s="142"/>
      <c r="J2384" s="142"/>
    </row>
    <row r="2385" spans="1:10" x14ac:dyDescent="0.25">
      <c r="A2385" s="28"/>
      <c r="B2385" s="180"/>
      <c r="C2385" s="35"/>
      <c r="D2385" s="36"/>
      <c r="E2385" s="36"/>
      <c r="F2385" s="142"/>
      <c r="G2385" s="142"/>
      <c r="H2385" s="142"/>
      <c r="I2385" s="142"/>
      <c r="J2385" s="142"/>
    </row>
    <row r="2386" spans="1:10" x14ac:dyDescent="0.25">
      <c r="A2386" s="28"/>
      <c r="B2386" s="180"/>
      <c r="C2386" s="35"/>
      <c r="D2386" s="36"/>
      <c r="E2386" s="36"/>
      <c r="F2386" s="142"/>
      <c r="G2386" s="142"/>
      <c r="H2386" s="142"/>
      <c r="I2386" s="142"/>
      <c r="J2386" s="142"/>
    </row>
    <row r="2387" spans="1:10" x14ac:dyDescent="0.25">
      <c r="A2387" s="28"/>
      <c r="B2387" s="180"/>
      <c r="C2387" s="35"/>
      <c r="D2387" s="36"/>
      <c r="E2387" s="36"/>
      <c r="F2387" s="142"/>
      <c r="G2387" s="142"/>
      <c r="H2387" s="142"/>
      <c r="I2387" s="142"/>
      <c r="J2387" s="142"/>
    </row>
    <row r="2388" spans="1:10" x14ac:dyDescent="0.25">
      <c r="A2388" s="28"/>
      <c r="B2388" s="180"/>
      <c r="C2388" s="35"/>
      <c r="D2388" s="36"/>
      <c r="E2388" s="36"/>
      <c r="F2388" s="142"/>
      <c r="G2388" s="142"/>
      <c r="H2388" s="142"/>
      <c r="I2388" s="142"/>
      <c r="J2388" s="142"/>
    </row>
    <row r="2389" spans="1:10" x14ac:dyDescent="0.25">
      <c r="A2389" s="28"/>
      <c r="B2389" s="180"/>
      <c r="C2389" s="35"/>
      <c r="D2389" s="36"/>
      <c r="E2389" s="36"/>
      <c r="F2389" s="142"/>
      <c r="G2389" s="142"/>
      <c r="H2389" s="142"/>
      <c r="I2389" s="142"/>
      <c r="J2389" s="142"/>
    </row>
    <row r="2390" spans="1:10" x14ac:dyDescent="0.25">
      <c r="A2390" s="28"/>
      <c r="B2390" s="180"/>
      <c r="C2390" s="35"/>
      <c r="D2390" s="36"/>
      <c r="E2390" s="36"/>
      <c r="F2390" s="142"/>
      <c r="G2390" s="142"/>
      <c r="H2390" s="142"/>
      <c r="I2390" s="142"/>
      <c r="J2390" s="142"/>
    </row>
    <row r="2391" spans="1:10" x14ac:dyDescent="0.25">
      <c r="A2391" s="28"/>
      <c r="B2391" s="180"/>
      <c r="C2391" s="35"/>
      <c r="D2391" s="36"/>
      <c r="E2391" s="36"/>
      <c r="F2391" s="142"/>
      <c r="G2391" s="142"/>
      <c r="H2391" s="142"/>
      <c r="I2391" s="142"/>
      <c r="J2391" s="142"/>
    </row>
    <row r="2392" spans="1:10" x14ac:dyDescent="0.25">
      <c r="A2392" s="28"/>
      <c r="B2392" s="180"/>
      <c r="C2392" s="35"/>
      <c r="D2392" s="36"/>
      <c r="E2392" s="36"/>
      <c r="F2392" s="142"/>
      <c r="G2392" s="142"/>
      <c r="H2392" s="142"/>
      <c r="I2392" s="142"/>
      <c r="J2392" s="142"/>
    </row>
    <row r="2393" spans="1:10" x14ac:dyDescent="0.25">
      <c r="A2393" s="28"/>
      <c r="B2393" s="180"/>
      <c r="C2393" s="35"/>
      <c r="D2393" s="36"/>
      <c r="E2393" s="36"/>
      <c r="F2393" s="142"/>
      <c r="G2393" s="142"/>
      <c r="H2393" s="142"/>
      <c r="I2393" s="142"/>
      <c r="J2393" s="142"/>
    </row>
    <row r="2394" spans="1:10" x14ac:dyDescent="0.25">
      <c r="A2394" s="28"/>
      <c r="B2394" s="180"/>
      <c r="C2394" s="35"/>
      <c r="D2394" s="36"/>
      <c r="E2394" s="36"/>
      <c r="F2394" s="142"/>
      <c r="G2394" s="142"/>
      <c r="H2394" s="142"/>
      <c r="I2394" s="142"/>
      <c r="J2394" s="142"/>
    </row>
    <row r="2395" spans="1:10" x14ac:dyDescent="0.25">
      <c r="A2395" s="28"/>
      <c r="B2395" s="180"/>
      <c r="C2395" s="35"/>
      <c r="D2395" s="36"/>
      <c r="E2395" s="36"/>
      <c r="F2395" s="142"/>
      <c r="G2395" s="142"/>
      <c r="H2395" s="142"/>
      <c r="I2395" s="142"/>
      <c r="J2395" s="142"/>
    </row>
    <row r="2396" spans="1:10" x14ac:dyDescent="0.25">
      <c r="A2396" s="28"/>
      <c r="B2396" s="180"/>
      <c r="C2396" s="35"/>
      <c r="D2396" s="36"/>
      <c r="E2396" s="36"/>
      <c r="F2396" s="142"/>
      <c r="G2396" s="142"/>
      <c r="H2396" s="142"/>
      <c r="I2396" s="142"/>
      <c r="J2396" s="142"/>
    </row>
    <row r="2397" spans="1:10" x14ac:dyDescent="0.25">
      <c r="A2397" s="28"/>
      <c r="B2397" s="180"/>
      <c r="C2397" s="35"/>
      <c r="D2397" s="36"/>
      <c r="E2397" s="36"/>
      <c r="F2397" s="142"/>
      <c r="G2397" s="142"/>
      <c r="H2397" s="142"/>
      <c r="I2397" s="142"/>
      <c r="J2397" s="142"/>
    </row>
    <row r="2398" spans="1:10" x14ac:dyDescent="0.25">
      <c r="A2398" s="28"/>
      <c r="B2398" s="180"/>
      <c r="C2398" s="35"/>
      <c r="D2398" s="36"/>
      <c r="E2398" s="36"/>
      <c r="F2398" s="142"/>
      <c r="G2398" s="142"/>
      <c r="H2398" s="142"/>
      <c r="I2398" s="142"/>
      <c r="J2398" s="142"/>
    </row>
    <row r="2399" spans="1:10" x14ac:dyDescent="0.25">
      <c r="A2399" s="28"/>
      <c r="B2399" s="180"/>
      <c r="C2399" s="35"/>
      <c r="D2399" s="36"/>
      <c r="E2399" s="36"/>
      <c r="F2399" s="142"/>
      <c r="G2399" s="142"/>
      <c r="H2399" s="142"/>
      <c r="I2399" s="142"/>
      <c r="J2399" s="142"/>
    </row>
    <row r="2400" spans="1:10" x14ac:dyDescent="0.25">
      <c r="A2400" s="28"/>
      <c r="B2400" s="180"/>
      <c r="C2400" s="35"/>
      <c r="D2400" s="36"/>
      <c r="E2400" s="36"/>
      <c r="F2400" s="142"/>
      <c r="G2400" s="142"/>
      <c r="H2400" s="142"/>
      <c r="I2400" s="142"/>
      <c r="J2400" s="142"/>
    </row>
    <row r="2401" spans="1:10" x14ac:dyDescent="0.25">
      <c r="A2401" s="28"/>
      <c r="B2401" s="180"/>
      <c r="C2401" s="35"/>
      <c r="D2401" s="36"/>
      <c r="E2401" s="36"/>
      <c r="F2401" s="142"/>
      <c r="G2401" s="142"/>
      <c r="H2401" s="142"/>
      <c r="I2401" s="142"/>
      <c r="J2401" s="142"/>
    </row>
    <row r="2402" spans="1:10" x14ac:dyDescent="0.25">
      <c r="A2402" s="28"/>
      <c r="B2402" s="180"/>
      <c r="C2402" s="35"/>
      <c r="D2402" s="36"/>
      <c r="E2402" s="36"/>
      <c r="F2402" s="142"/>
      <c r="G2402" s="142"/>
      <c r="H2402" s="142"/>
      <c r="I2402" s="142"/>
      <c r="J2402" s="142"/>
    </row>
    <row r="2403" spans="1:10" x14ac:dyDescent="0.25">
      <c r="A2403" s="28"/>
      <c r="B2403" s="180"/>
      <c r="C2403" s="35"/>
      <c r="D2403" s="36"/>
      <c r="E2403" s="36"/>
      <c r="F2403" s="142"/>
      <c r="G2403" s="142"/>
      <c r="H2403" s="142"/>
      <c r="I2403" s="142"/>
      <c r="J2403" s="142"/>
    </row>
    <row r="2404" spans="1:10" x14ac:dyDescent="0.25">
      <c r="A2404" s="28"/>
      <c r="B2404" s="180"/>
      <c r="C2404" s="35"/>
      <c r="D2404" s="36"/>
      <c r="E2404" s="36"/>
      <c r="F2404" s="142"/>
      <c r="G2404" s="142"/>
      <c r="H2404" s="142"/>
      <c r="I2404" s="142"/>
      <c r="J2404" s="142"/>
    </row>
    <row r="2405" spans="1:10" x14ac:dyDescent="0.25">
      <c r="A2405" s="28"/>
      <c r="B2405" s="180"/>
      <c r="C2405" s="35"/>
      <c r="D2405" s="36"/>
      <c r="E2405" s="36"/>
      <c r="F2405" s="142"/>
      <c r="G2405" s="142"/>
      <c r="H2405" s="142"/>
      <c r="I2405" s="142"/>
      <c r="J2405" s="142"/>
    </row>
    <row r="2406" spans="1:10" x14ac:dyDescent="0.25">
      <c r="A2406" s="28"/>
      <c r="B2406" s="180"/>
      <c r="C2406" s="35"/>
      <c r="D2406" s="36"/>
      <c r="E2406" s="36"/>
      <c r="F2406" s="142"/>
      <c r="G2406" s="142"/>
      <c r="H2406" s="142"/>
      <c r="I2406" s="142"/>
      <c r="J2406" s="142"/>
    </row>
    <row r="2407" spans="1:10" x14ac:dyDescent="0.25">
      <c r="A2407" s="28"/>
      <c r="B2407" s="180"/>
      <c r="C2407" s="35"/>
      <c r="D2407" s="36"/>
      <c r="E2407" s="36"/>
      <c r="F2407" s="142"/>
      <c r="G2407" s="142"/>
      <c r="H2407" s="142"/>
      <c r="I2407" s="142"/>
      <c r="J2407" s="142"/>
    </row>
    <row r="2408" spans="1:10" x14ac:dyDescent="0.25">
      <c r="A2408" s="28"/>
      <c r="B2408" s="180"/>
      <c r="C2408" s="35"/>
      <c r="D2408" s="36"/>
      <c r="E2408" s="36"/>
      <c r="F2408" s="142"/>
      <c r="G2408" s="142"/>
      <c r="H2408" s="142"/>
      <c r="I2408" s="142"/>
      <c r="J2408" s="142"/>
    </row>
    <row r="2409" spans="1:10" x14ac:dyDescent="0.25">
      <c r="A2409" s="28"/>
      <c r="B2409" s="180"/>
      <c r="C2409" s="35"/>
      <c r="D2409" s="36"/>
      <c r="E2409" s="36"/>
      <c r="F2409" s="142"/>
      <c r="G2409" s="142"/>
      <c r="H2409" s="142"/>
      <c r="I2409" s="142"/>
      <c r="J2409" s="142"/>
    </row>
    <row r="2410" spans="1:10" x14ac:dyDescent="0.25">
      <c r="A2410" s="28"/>
      <c r="B2410" s="180"/>
      <c r="C2410" s="35"/>
      <c r="D2410" s="36"/>
      <c r="E2410" s="36"/>
      <c r="F2410" s="142"/>
      <c r="G2410" s="142"/>
      <c r="H2410" s="142"/>
      <c r="I2410" s="142"/>
      <c r="J2410" s="142"/>
    </row>
    <row r="2411" spans="1:10" x14ac:dyDescent="0.25">
      <c r="A2411" s="28"/>
      <c r="B2411" s="180"/>
      <c r="C2411" s="35"/>
      <c r="D2411" s="36"/>
      <c r="E2411" s="36"/>
      <c r="F2411" s="142"/>
      <c r="G2411" s="142"/>
      <c r="H2411" s="142"/>
      <c r="I2411" s="142"/>
      <c r="J2411" s="142"/>
    </row>
    <row r="2412" spans="1:10" x14ac:dyDescent="0.25">
      <c r="A2412" s="28"/>
      <c r="B2412" s="180"/>
      <c r="C2412" s="35"/>
      <c r="D2412" s="36"/>
      <c r="E2412" s="36"/>
      <c r="F2412" s="142"/>
      <c r="G2412" s="142"/>
      <c r="H2412" s="142"/>
      <c r="I2412" s="142"/>
      <c r="J2412" s="142"/>
    </row>
    <row r="2413" spans="1:10" x14ac:dyDescent="0.25">
      <c r="A2413" s="28"/>
      <c r="B2413" s="180"/>
      <c r="C2413" s="35"/>
      <c r="D2413" s="36"/>
      <c r="E2413" s="36"/>
      <c r="F2413" s="142"/>
      <c r="G2413" s="142"/>
      <c r="H2413" s="142"/>
      <c r="I2413" s="142"/>
      <c r="J2413" s="142"/>
    </row>
    <row r="2414" spans="1:10" x14ac:dyDescent="0.25">
      <c r="A2414" s="28"/>
      <c r="B2414" s="180"/>
      <c r="C2414" s="35"/>
      <c r="D2414" s="36"/>
      <c r="E2414" s="36"/>
      <c r="F2414" s="142"/>
      <c r="G2414" s="142"/>
      <c r="H2414" s="142"/>
      <c r="I2414" s="142"/>
      <c r="J2414" s="142"/>
    </row>
    <row r="2415" spans="1:10" x14ac:dyDescent="0.25">
      <c r="A2415" s="28"/>
      <c r="B2415" s="180"/>
      <c r="C2415" s="35"/>
      <c r="D2415" s="36"/>
      <c r="E2415" s="36"/>
      <c r="F2415" s="142"/>
      <c r="G2415" s="142"/>
      <c r="H2415" s="142"/>
      <c r="I2415" s="142"/>
      <c r="J2415" s="142"/>
    </row>
    <row r="2416" spans="1:10" x14ac:dyDescent="0.25">
      <c r="A2416" s="28"/>
      <c r="B2416" s="180"/>
      <c r="C2416" s="35"/>
      <c r="D2416" s="36"/>
      <c r="E2416" s="36"/>
      <c r="F2416" s="142"/>
      <c r="G2416" s="142"/>
      <c r="H2416" s="142"/>
      <c r="I2416" s="142"/>
      <c r="J2416" s="142"/>
    </row>
    <row r="2417" spans="1:10" x14ac:dyDescent="0.25">
      <c r="A2417" s="28"/>
      <c r="B2417" s="180"/>
      <c r="C2417" s="35"/>
      <c r="D2417" s="36"/>
      <c r="E2417" s="36"/>
      <c r="F2417" s="142"/>
      <c r="G2417" s="142"/>
      <c r="H2417" s="142"/>
      <c r="I2417" s="142"/>
      <c r="J2417" s="142"/>
    </row>
    <row r="2418" spans="1:10" x14ac:dyDescent="0.25">
      <c r="A2418" s="28"/>
      <c r="B2418" s="180"/>
      <c r="C2418" s="35"/>
      <c r="D2418" s="36"/>
      <c r="E2418" s="36"/>
      <c r="F2418" s="142"/>
      <c r="G2418" s="142"/>
      <c r="H2418" s="142"/>
      <c r="I2418" s="142"/>
      <c r="J2418" s="142"/>
    </row>
    <row r="2419" spans="1:10" x14ac:dyDescent="0.25">
      <c r="A2419" s="28"/>
      <c r="B2419" s="180"/>
      <c r="C2419" s="35"/>
      <c r="D2419" s="36"/>
      <c r="E2419" s="36"/>
      <c r="F2419" s="142"/>
      <c r="G2419" s="142"/>
      <c r="H2419" s="142"/>
      <c r="I2419" s="142"/>
      <c r="J2419" s="142"/>
    </row>
    <row r="2420" spans="1:10" x14ac:dyDescent="0.25">
      <c r="A2420" s="28"/>
      <c r="B2420" s="180"/>
      <c r="C2420" s="35"/>
      <c r="D2420" s="36"/>
      <c r="E2420" s="36"/>
      <c r="F2420" s="142"/>
      <c r="G2420" s="142"/>
      <c r="H2420" s="142"/>
      <c r="I2420" s="142"/>
      <c r="J2420" s="142"/>
    </row>
    <row r="2421" spans="1:10" x14ac:dyDescent="0.25">
      <c r="A2421" s="28"/>
      <c r="B2421" s="180"/>
      <c r="C2421" s="35"/>
      <c r="D2421" s="36"/>
      <c r="E2421" s="36"/>
      <c r="F2421" s="142"/>
      <c r="G2421" s="142"/>
      <c r="H2421" s="142"/>
      <c r="I2421" s="142"/>
      <c r="J2421" s="142"/>
    </row>
    <row r="2422" spans="1:10" x14ac:dyDescent="0.25">
      <c r="A2422" s="28"/>
      <c r="B2422" s="180"/>
      <c r="C2422" s="35"/>
      <c r="D2422" s="36"/>
      <c r="E2422" s="36"/>
      <c r="F2422" s="142"/>
      <c r="G2422" s="142"/>
      <c r="H2422" s="142"/>
      <c r="I2422" s="142"/>
      <c r="J2422" s="142"/>
    </row>
    <row r="2423" spans="1:10" x14ac:dyDescent="0.25">
      <c r="A2423" s="28"/>
      <c r="B2423" s="180"/>
      <c r="C2423" s="35"/>
      <c r="D2423" s="36"/>
      <c r="E2423" s="36"/>
      <c r="F2423" s="142"/>
      <c r="G2423" s="142"/>
      <c r="H2423" s="142"/>
      <c r="I2423" s="142"/>
      <c r="J2423" s="142"/>
    </row>
    <row r="2424" spans="1:10" x14ac:dyDescent="0.25">
      <c r="A2424" s="28"/>
      <c r="B2424" s="180"/>
      <c r="C2424" s="35"/>
      <c r="D2424" s="36"/>
      <c r="E2424" s="36"/>
      <c r="F2424" s="142"/>
      <c r="G2424" s="142"/>
      <c r="H2424" s="142"/>
      <c r="I2424" s="142"/>
      <c r="J2424" s="142"/>
    </row>
    <row r="2425" spans="1:10" x14ac:dyDescent="0.25">
      <c r="A2425" s="28"/>
      <c r="B2425" s="180"/>
      <c r="C2425" s="35"/>
      <c r="D2425" s="36"/>
      <c r="E2425" s="36"/>
      <c r="F2425" s="142"/>
      <c r="G2425" s="142"/>
      <c r="H2425" s="142"/>
      <c r="I2425" s="142"/>
      <c r="J2425" s="142"/>
    </row>
    <row r="2426" spans="1:10" x14ac:dyDescent="0.25">
      <c r="A2426" s="28"/>
      <c r="B2426" s="180"/>
      <c r="C2426" s="35"/>
      <c r="D2426" s="36"/>
      <c r="E2426" s="36"/>
      <c r="F2426" s="142"/>
      <c r="G2426" s="142"/>
      <c r="H2426" s="142"/>
      <c r="I2426" s="142"/>
      <c r="J2426" s="142"/>
    </row>
    <row r="2427" spans="1:10" x14ac:dyDescent="0.25">
      <c r="A2427" s="28"/>
      <c r="B2427" s="180"/>
      <c r="C2427" s="35"/>
      <c r="D2427" s="36"/>
      <c r="E2427" s="36"/>
      <c r="F2427" s="142"/>
      <c r="G2427" s="142"/>
      <c r="H2427" s="142"/>
      <c r="I2427" s="142"/>
      <c r="J2427" s="142"/>
    </row>
    <row r="2428" spans="1:10" x14ac:dyDescent="0.25">
      <c r="A2428" s="28"/>
      <c r="B2428" s="180"/>
      <c r="C2428" s="35"/>
      <c r="D2428" s="36"/>
      <c r="E2428" s="36"/>
      <c r="F2428" s="142"/>
      <c r="G2428" s="142"/>
      <c r="H2428" s="142"/>
      <c r="I2428" s="142"/>
      <c r="J2428" s="142"/>
    </row>
    <row r="2429" spans="1:10" x14ac:dyDescent="0.25">
      <c r="A2429" s="28"/>
      <c r="B2429" s="180"/>
      <c r="C2429" s="35"/>
      <c r="D2429" s="36"/>
      <c r="E2429" s="36"/>
      <c r="F2429" s="142"/>
      <c r="G2429" s="142"/>
      <c r="H2429" s="142"/>
      <c r="I2429" s="142"/>
      <c r="J2429" s="142"/>
    </row>
    <row r="2430" spans="1:10" x14ac:dyDescent="0.25">
      <c r="A2430" s="28"/>
      <c r="B2430" s="180"/>
      <c r="C2430" s="35"/>
      <c r="D2430" s="36"/>
      <c r="E2430" s="36"/>
      <c r="F2430" s="142"/>
      <c r="G2430" s="142"/>
      <c r="H2430" s="142"/>
      <c r="I2430" s="142"/>
      <c r="J2430" s="142"/>
    </row>
    <row r="2431" spans="1:10" x14ac:dyDescent="0.25">
      <c r="A2431" s="28"/>
      <c r="B2431" s="180"/>
      <c r="C2431" s="35"/>
      <c r="D2431" s="36"/>
      <c r="E2431" s="36"/>
      <c r="F2431" s="142"/>
      <c r="G2431" s="142"/>
      <c r="H2431" s="142"/>
      <c r="I2431" s="142"/>
      <c r="J2431" s="142"/>
    </row>
    <row r="2432" spans="1:10" x14ac:dyDescent="0.25">
      <c r="A2432" s="28"/>
      <c r="B2432" s="180"/>
      <c r="C2432" s="35"/>
      <c r="D2432" s="36"/>
      <c r="E2432" s="36"/>
      <c r="F2432" s="142"/>
      <c r="G2432" s="142"/>
      <c r="H2432" s="142"/>
      <c r="I2432" s="142"/>
      <c r="J2432" s="142"/>
    </row>
    <row r="2433" spans="1:10" x14ac:dyDescent="0.25">
      <c r="A2433" s="28"/>
      <c r="B2433" s="180"/>
      <c r="C2433" s="35"/>
      <c r="D2433" s="36"/>
      <c r="E2433" s="36"/>
      <c r="F2433" s="142"/>
      <c r="G2433" s="142"/>
      <c r="H2433" s="142"/>
      <c r="I2433" s="142"/>
      <c r="J2433" s="142"/>
    </row>
    <row r="2434" spans="1:10" x14ac:dyDescent="0.25">
      <c r="A2434" s="28"/>
      <c r="B2434" s="180"/>
      <c r="C2434" s="35"/>
      <c r="D2434" s="36"/>
      <c r="E2434" s="36"/>
      <c r="F2434" s="142"/>
      <c r="G2434" s="142"/>
      <c r="H2434" s="142"/>
      <c r="I2434" s="142"/>
      <c r="J2434" s="142"/>
    </row>
    <row r="2435" spans="1:10" x14ac:dyDescent="0.25">
      <c r="A2435" s="28"/>
      <c r="B2435" s="180"/>
      <c r="C2435" s="35"/>
      <c r="D2435" s="36"/>
      <c r="E2435" s="36"/>
      <c r="F2435" s="142"/>
      <c r="G2435" s="142"/>
      <c r="H2435" s="142"/>
      <c r="I2435" s="142"/>
      <c r="J2435" s="142"/>
    </row>
    <row r="2436" spans="1:10" x14ac:dyDescent="0.25">
      <c r="A2436" s="28"/>
      <c r="B2436" s="180"/>
      <c r="C2436" s="35"/>
      <c r="D2436" s="36"/>
      <c r="E2436" s="36"/>
      <c r="F2436" s="142"/>
      <c r="G2436" s="142"/>
      <c r="H2436" s="142"/>
      <c r="I2436" s="142"/>
      <c r="J2436" s="142"/>
    </row>
    <row r="2437" spans="1:10" x14ac:dyDescent="0.25">
      <c r="A2437" s="28"/>
      <c r="B2437" s="180"/>
      <c r="C2437" s="35"/>
      <c r="D2437" s="36"/>
      <c r="E2437" s="36"/>
      <c r="F2437" s="142"/>
      <c r="G2437" s="142"/>
      <c r="H2437" s="142"/>
      <c r="I2437" s="142"/>
      <c r="J2437" s="142"/>
    </row>
    <row r="2438" spans="1:10" x14ac:dyDescent="0.25">
      <c r="A2438" s="28"/>
      <c r="B2438" s="180"/>
      <c r="C2438" s="35"/>
      <c r="D2438" s="36"/>
      <c r="E2438" s="36"/>
      <c r="F2438" s="142"/>
      <c r="G2438" s="142"/>
      <c r="H2438" s="142"/>
      <c r="I2438" s="142"/>
      <c r="J2438" s="142"/>
    </row>
    <row r="2439" spans="1:10" x14ac:dyDescent="0.25">
      <c r="A2439" s="28"/>
      <c r="B2439" s="180"/>
      <c r="C2439" s="35"/>
      <c r="D2439" s="36"/>
      <c r="E2439" s="36"/>
      <c r="F2439" s="142"/>
      <c r="G2439" s="142"/>
      <c r="H2439" s="142"/>
      <c r="I2439" s="142"/>
      <c r="J2439" s="142"/>
    </row>
    <row r="2440" spans="1:10" x14ac:dyDescent="0.25">
      <c r="A2440" s="28"/>
      <c r="B2440" s="180"/>
      <c r="C2440" s="35"/>
      <c r="D2440" s="36"/>
      <c r="E2440" s="36"/>
      <c r="F2440" s="142"/>
      <c r="G2440" s="142"/>
      <c r="H2440" s="142"/>
      <c r="I2440" s="142"/>
      <c r="J2440" s="142"/>
    </row>
    <row r="2441" spans="1:10" x14ac:dyDescent="0.25">
      <c r="A2441" s="28"/>
      <c r="B2441" s="180"/>
      <c r="C2441" s="35"/>
      <c r="D2441" s="36"/>
      <c r="E2441" s="36"/>
      <c r="F2441" s="142"/>
      <c r="G2441" s="142"/>
      <c r="H2441" s="142"/>
      <c r="I2441" s="142"/>
      <c r="J2441" s="142"/>
    </row>
    <row r="2442" spans="1:10" x14ac:dyDescent="0.25">
      <c r="A2442" s="28"/>
      <c r="B2442" s="180"/>
      <c r="C2442" s="35"/>
      <c r="D2442" s="36"/>
      <c r="E2442" s="36"/>
      <c r="F2442" s="142"/>
      <c r="G2442" s="142"/>
      <c r="H2442" s="142"/>
      <c r="I2442" s="142"/>
      <c r="J2442" s="142"/>
    </row>
    <row r="2443" spans="1:10" x14ac:dyDescent="0.25">
      <c r="A2443" s="28"/>
      <c r="B2443" s="180"/>
      <c r="C2443" s="35"/>
      <c r="D2443" s="36"/>
      <c r="E2443" s="36"/>
      <c r="F2443" s="142"/>
      <c r="G2443" s="142"/>
      <c r="H2443" s="142"/>
      <c r="I2443" s="142"/>
      <c r="J2443" s="142"/>
    </row>
    <row r="2444" spans="1:10" x14ac:dyDescent="0.25">
      <c r="A2444" s="28"/>
      <c r="B2444" s="180"/>
      <c r="C2444" s="35"/>
      <c r="D2444" s="36"/>
      <c r="E2444" s="36"/>
      <c r="F2444" s="142"/>
      <c r="G2444" s="142"/>
      <c r="H2444" s="142"/>
      <c r="I2444" s="142"/>
      <c r="J2444" s="142"/>
    </row>
    <row r="2445" spans="1:10" x14ac:dyDescent="0.25">
      <c r="A2445" s="28"/>
      <c r="B2445" s="180"/>
      <c r="C2445" s="35"/>
      <c r="D2445" s="36"/>
      <c r="E2445" s="36"/>
      <c r="F2445" s="142"/>
      <c r="G2445" s="142"/>
      <c r="H2445" s="142"/>
      <c r="I2445" s="142"/>
      <c r="J2445" s="142"/>
    </row>
    <row r="2446" spans="1:10" x14ac:dyDescent="0.25">
      <c r="A2446" s="28"/>
      <c r="B2446" s="180"/>
      <c r="C2446" s="35"/>
      <c r="D2446" s="36"/>
      <c r="E2446" s="36"/>
      <c r="F2446" s="142"/>
      <c r="G2446" s="142"/>
      <c r="H2446" s="142"/>
      <c r="I2446" s="142"/>
      <c r="J2446" s="142"/>
    </row>
    <row r="2447" spans="1:10" x14ac:dyDescent="0.25">
      <c r="A2447" s="28"/>
      <c r="B2447" s="180"/>
      <c r="C2447" s="35"/>
      <c r="D2447" s="36"/>
      <c r="E2447" s="36"/>
      <c r="F2447" s="142"/>
      <c r="G2447" s="142"/>
      <c r="H2447" s="142"/>
      <c r="I2447" s="142"/>
      <c r="J2447" s="142"/>
    </row>
    <row r="2448" spans="1:10" x14ac:dyDescent="0.25">
      <c r="A2448" s="28"/>
      <c r="B2448" s="180"/>
      <c r="C2448" s="35"/>
      <c r="D2448" s="36"/>
      <c r="E2448" s="36"/>
      <c r="F2448" s="142"/>
      <c r="G2448" s="142"/>
      <c r="H2448" s="142"/>
      <c r="I2448" s="142"/>
      <c r="J2448" s="142"/>
    </row>
    <row r="2449" spans="1:10" x14ac:dyDescent="0.25">
      <c r="A2449" s="28"/>
      <c r="B2449" s="180"/>
      <c r="C2449" s="35"/>
      <c r="D2449" s="36"/>
      <c r="E2449" s="36"/>
      <c r="F2449" s="142"/>
      <c r="G2449" s="142"/>
      <c r="H2449" s="142"/>
      <c r="I2449" s="142"/>
      <c r="J2449" s="142"/>
    </row>
    <row r="2450" spans="1:10" x14ac:dyDescent="0.25">
      <c r="A2450" s="28"/>
      <c r="B2450" s="180"/>
      <c r="C2450" s="35"/>
      <c r="D2450" s="36"/>
      <c r="E2450" s="36"/>
      <c r="F2450" s="142"/>
      <c r="G2450" s="142"/>
      <c r="H2450" s="142"/>
      <c r="I2450" s="142"/>
      <c r="J2450" s="142"/>
    </row>
    <row r="2451" spans="1:10" x14ac:dyDescent="0.25">
      <c r="A2451" s="28"/>
      <c r="B2451" s="180"/>
      <c r="C2451" s="35"/>
      <c r="D2451" s="36"/>
      <c r="E2451" s="36"/>
      <c r="F2451" s="142"/>
      <c r="G2451" s="142"/>
      <c r="H2451" s="142"/>
      <c r="I2451" s="142"/>
      <c r="J2451" s="142"/>
    </row>
    <row r="2452" spans="1:10" x14ac:dyDescent="0.25">
      <c r="A2452" s="28"/>
      <c r="B2452" s="180"/>
      <c r="C2452" s="35"/>
      <c r="D2452" s="36"/>
      <c r="E2452" s="36"/>
      <c r="F2452" s="142"/>
      <c r="G2452" s="142"/>
      <c r="H2452" s="142"/>
      <c r="I2452" s="142"/>
      <c r="J2452" s="142"/>
    </row>
    <row r="2453" spans="1:10" x14ac:dyDescent="0.25">
      <c r="A2453" s="28"/>
      <c r="B2453" s="180"/>
      <c r="C2453" s="35"/>
      <c r="D2453" s="36"/>
      <c r="E2453" s="36"/>
      <c r="F2453" s="142"/>
      <c r="G2453" s="142"/>
      <c r="H2453" s="142"/>
      <c r="I2453" s="142"/>
      <c r="J2453" s="142"/>
    </row>
    <row r="2454" spans="1:10" x14ac:dyDescent="0.25">
      <c r="A2454" s="28"/>
      <c r="B2454" s="180"/>
      <c r="C2454" s="35"/>
      <c r="D2454" s="36"/>
      <c r="E2454" s="36"/>
      <c r="F2454" s="142"/>
      <c r="G2454" s="142"/>
      <c r="H2454" s="142"/>
      <c r="I2454" s="142"/>
      <c r="J2454" s="142"/>
    </row>
    <row r="2455" spans="1:10" x14ac:dyDescent="0.25">
      <c r="A2455" s="28"/>
      <c r="B2455" s="180"/>
      <c r="C2455" s="35"/>
      <c r="D2455" s="36"/>
      <c r="E2455" s="36"/>
      <c r="F2455" s="142"/>
      <c r="G2455" s="142"/>
      <c r="H2455" s="142"/>
      <c r="I2455" s="142"/>
      <c r="J2455" s="142"/>
    </row>
    <row r="2456" spans="1:10" x14ac:dyDescent="0.25">
      <c r="A2456" s="28"/>
      <c r="B2456" s="180"/>
      <c r="C2456" s="35"/>
      <c r="D2456" s="36"/>
      <c r="E2456" s="36"/>
      <c r="F2456" s="142"/>
      <c r="G2456" s="142"/>
      <c r="H2456" s="142"/>
      <c r="I2456" s="142"/>
      <c r="J2456" s="142"/>
    </row>
    <row r="2457" spans="1:10" x14ac:dyDescent="0.25">
      <c r="A2457" s="28"/>
      <c r="B2457" s="180"/>
      <c r="C2457" s="35"/>
      <c r="D2457" s="36"/>
      <c r="E2457" s="36"/>
      <c r="F2457" s="142"/>
      <c r="G2457" s="142"/>
      <c r="H2457" s="142"/>
      <c r="I2457" s="142"/>
      <c r="J2457" s="142"/>
    </row>
    <row r="2458" spans="1:10" x14ac:dyDescent="0.25">
      <c r="A2458" s="28"/>
      <c r="B2458" s="180"/>
      <c r="C2458" s="35"/>
      <c r="D2458" s="36"/>
      <c r="E2458" s="36"/>
      <c r="F2458" s="142"/>
      <c r="G2458" s="142"/>
      <c r="H2458" s="142"/>
      <c r="I2458" s="142"/>
      <c r="J2458" s="142"/>
    </row>
    <row r="2459" spans="1:10" x14ac:dyDescent="0.25">
      <c r="A2459" s="28"/>
      <c r="B2459" s="180"/>
      <c r="C2459" s="35"/>
      <c r="D2459" s="36"/>
      <c r="E2459" s="36"/>
      <c r="F2459" s="142"/>
      <c r="G2459" s="142"/>
      <c r="H2459" s="142"/>
      <c r="I2459" s="142"/>
      <c r="J2459" s="142"/>
    </row>
    <row r="2460" spans="1:10" x14ac:dyDescent="0.25">
      <c r="A2460" s="28"/>
      <c r="B2460" s="180"/>
      <c r="C2460" s="35"/>
      <c r="D2460" s="36"/>
      <c r="E2460" s="36"/>
      <c r="F2460" s="142"/>
      <c r="G2460" s="142"/>
      <c r="H2460" s="142"/>
      <c r="I2460" s="142"/>
      <c r="J2460" s="142"/>
    </row>
    <row r="2461" spans="1:10" x14ac:dyDescent="0.25">
      <c r="A2461" s="28"/>
      <c r="B2461" s="180"/>
      <c r="C2461" s="35"/>
      <c r="D2461" s="36"/>
      <c r="E2461" s="36"/>
      <c r="F2461" s="142"/>
      <c r="G2461" s="142"/>
      <c r="H2461" s="142"/>
      <c r="I2461" s="142"/>
      <c r="J2461" s="142"/>
    </row>
    <row r="2462" spans="1:10" x14ac:dyDescent="0.25">
      <c r="A2462" s="28"/>
      <c r="B2462" s="180"/>
      <c r="C2462" s="35"/>
      <c r="D2462" s="36"/>
      <c r="E2462" s="36"/>
      <c r="F2462" s="142"/>
      <c r="G2462" s="142"/>
      <c r="H2462" s="142"/>
      <c r="I2462" s="142"/>
      <c r="J2462" s="142"/>
    </row>
    <row r="2463" spans="1:10" x14ac:dyDescent="0.25">
      <c r="A2463" s="28"/>
      <c r="B2463" s="180"/>
      <c r="C2463" s="35"/>
      <c r="D2463" s="36"/>
      <c r="E2463" s="36"/>
      <c r="F2463" s="142"/>
      <c r="G2463" s="142"/>
      <c r="H2463" s="142"/>
      <c r="I2463" s="142"/>
      <c r="J2463" s="142"/>
    </row>
    <row r="2464" spans="1:10" x14ac:dyDescent="0.25">
      <c r="A2464" s="28"/>
      <c r="B2464" s="180"/>
      <c r="C2464" s="35"/>
      <c r="D2464" s="36"/>
      <c r="E2464" s="36"/>
      <c r="F2464" s="142"/>
      <c r="G2464" s="142"/>
      <c r="H2464" s="142"/>
      <c r="I2464" s="142"/>
      <c r="J2464" s="142"/>
    </row>
    <row r="2465" spans="1:10" x14ac:dyDescent="0.25">
      <c r="A2465" s="28"/>
      <c r="B2465" s="180"/>
      <c r="C2465" s="35"/>
      <c r="D2465" s="36"/>
      <c r="E2465" s="36"/>
      <c r="F2465" s="142"/>
      <c r="G2465" s="142"/>
      <c r="H2465" s="142"/>
      <c r="I2465" s="142"/>
      <c r="J2465" s="142"/>
    </row>
    <row r="2466" spans="1:10" x14ac:dyDescent="0.25">
      <c r="A2466" s="28"/>
      <c r="B2466" s="180"/>
      <c r="C2466" s="35"/>
      <c r="D2466" s="36"/>
      <c r="E2466" s="36"/>
      <c r="F2466" s="142"/>
      <c r="G2466" s="142"/>
      <c r="H2466" s="142"/>
      <c r="I2466" s="142"/>
      <c r="J2466" s="142"/>
    </row>
    <row r="2467" spans="1:10" x14ac:dyDescent="0.25">
      <c r="A2467" s="28"/>
      <c r="B2467" s="180"/>
      <c r="C2467" s="35"/>
      <c r="D2467" s="36"/>
      <c r="E2467" s="36"/>
      <c r="F2467" s="142"/>
      <c r="G2467" s="142"/>
      <c r="H2467" s="142"/>
      <c r="I2467" s="142"/>
      <c r="J2467" s="142"/>
    </row>
    <row r="2468" spans="1:10" x14ac:dyDescent="0.25">
      <c r="A2468" s="28"/>
      <c r="B2468" s="180"/>
      <c r="C2468" s="35"/>
      <c r="D2468" s="36"/>
      <c r="E2468" s="36"/>
      <c r="F2468" s="142"/>
      <c r="G2468" s="142"/>
      <c r="H2468" s="142"/>
      <c r="I2468" s="142"/>
      <c r="J2468" s="142"/>
    </row>
    <row r="2469" spans="1:10" x14ac:dyDescent="0.25">
      <c r="A2469" s="28"/>
      <c r="B2469" s="180"/>
      <c r="C2469" s="35"/>
      <c r="D2469" s="36"/>
      <c r="E2469" s="36"/>
      <c r="F2469" s="142"/>
      <c r="G2469" s="142"/>
      <c r="H2469" s="142"/>
      <c r="I2469" s="142"/>
      <c r="J2469" s="142"/>
    </row>
    <row r="2470" spans="1:10" x14ac:dyDescent="0.25">
      <c r="A2470" s="28"/>
      <c r="B2470" s="180"/>
      <c r="C2470" s="35"/>
      <c r="D2470" s="36"/>
      <c r="E2470" s="36"/>
      <c r="F2470" s="142"/>
      <c r="G2470" s="142"/>
      <c r="H2470" s="142"/>
      <c r="I2470" s="142"/>
      <c r="J2470" s="142"/>
    </row>
    <row r="2471" spans="1:10" x14ac:dyDescent="0.25">
      <c r="A2471" s="28"/>
      <c r="B2471" s="180"/>
      <c r="C2471" s="35"/>
      <c r="D2471" s="36"/>
      <c r="E2471" s="36"/>
      <c r="F2471" s="142"/>
      <c r="G2471" s="142"/>
      <c r="H2471" s="142"/>
      <c r="I2471" s="142"/>
      <c r="J2471" s="142"/>
    </row>
    <row r="2472" spans="1:10" x14ac:dyDescent="0.25">
      <c r="A2472" s="28"/>
      <c r="B2472" s="180"/>
      <c r="C2472" s="35"/>
      <c r="D2472" s="36"/>
      <c r="E2472" s="36"/>
      <c r="F2472" s="142"/>
      <c r="G2472" s="142"/>
      <c r="H2472" s="142"/>
      <c r="I2472" s="142"/>
      <c r="J2472" s="142"/>
    </row>
    <row r="2473" spans="1:10" x14ac:dyDescent="0.25">
      <c r="A2473" s="28"/>
      <c r="B2473" s="180"/>
      <c r="C2473" s="35"/>
      <c r="D2473" s="36"/>
      <c r="E2473" s="36"/>
      <c r="F2473" s="142"/>
      <c r="G2473" s="142"/>
      <c r="H2473" s="142"/>
      <c r="I2473" s="142"/>
      <c r="J2473" s="142"/>
    </row>
    <row r="2474" spans="1:10" x14ac:dyDescent="0.25">
      <c r="A2474" s="28"/>
      <c r="B2474" s="180"/>
      <c r="C2474" s="35"/>
      <c r="D2474" s="36"/>
      <c r="E2474" s="36"/>
      <c r="F2474" s="142"/>
      <c r="G2474" s="142"/>
      <c r="H2474" s="142"/>
      <c r="I2474" s="142"/>
      <c r="J2474" s="142"/>
    </row>
    <row r="2475" spans="1:10" x14ac:dyDescent="0.25">
      <c r="A2475" s="28"/>
      <c r="B2475" s="180"/>
      <c r="C2475" s="35"/>
      <c r="D2475" s="36"/>
      <c r="E2475" s="36"/>
      <c r="F2475" s="142"/>
      <c r="G2475" s="142"/>
      <c r="H2475" s="142"/>
      <c r="I2475" s="142"/>
      <c r="J2475" s="142"/>
    </row>
    <row r="2476" spans="1:10" x14ac:dyDescent="0.25">
      <c r="A2476" s="28"/>
      <c r="B2476" s="180"/>
      <c r="C2476" s="35"/>
      <c r="D2476" s="36"/>
      <c r="E2476" s="36"/>
      <c r="F2476" s="142"/>
      <c r="G2476" s="142"/>
      <c r="H2476" s="142"/>
      <c r="I2476" s="142"/>
      <c r="J2476" s="142"/>
    </row>
    <row r="2477" spans="1:10" x14ac:dyDescent="0.25">
      <c r="A2477" s="28"/>
      <c r="B2477" s="180"/>
      <c r="C2477" s="35"/>
      <c r="D2477" s="36"/>
      <c r="E2477" s="36"/>
      <c r="F2477" s="142"/>
      <c r="G2477" s="142"/>
      <c r="H2477" s="142"/>
      <c r="I2477" s="142"/>
      <c r="J2477" s="142"/>
    </row>
    <row r="2478" spans="1:10" x14ac:dyDescent="0.25">
      <c r="A2478" s="28"/>
      <c r="B2478" s="180"/>
      <c r="C2478" s="35"/>
      <c r="D2478" s="36"/>
      <c r="E2478" s="36"/>
      <c r="F2478" s="142"/>
      <c r="G2478" s="142"/>
      <c r="H2478" s="142"/>
      <c r="I2478" s="142"/>
      <c r="J2478" s="142"/>
    </row>
    <row r="2479" spans="1:10" x14ac:dyDescent="0.25">
      <c r="A2479" s="28"/>
      <c r="B2479" s="180"/>
      <c r="C2479" s="35"/>
      <c r="D2479" s="36"/>
      <c r="E2479" s="36"/>
      <c r="F2479" s="142"/>
      <c r="G2479" s="142"/>
      <c r="H2479" s="142"/>
      <c r="I2479" s="142"/>
      <c r="J2479" s="142"/>
    </row>
    <row r="2480" spans="1:10" x14ac:dyDescent="0.25">
      <c r="A2480" s="28"/>
      <c r="B2480" s="180"/>
      <c r="C2480" s="35"/>
      <c r="D2480" s="36"/>
      <c r="E2480" s="36"/>
      <c r="F2480" s="142"/>
      <c r="G2480" s="142"/>
      <c r="H2480" s="142"/>
      <c r="I2480" s="142"/>
      <c r="J2480" s="142"/>
    </row>
    <row r="2481" spans="1:10" x14ac:dyDescent="0.25">
      <c r="A2481" s="28"/>
      <c r="B2481" s="180"/>
      <c r="C2481" s="35"/>
      <c r="D2481" s="36"/>
      <c r="E2481" s="36"/>
      <c r="F2481" s="142"/>
      <c r="G2481" s="142"/>
      <c r="H2481" s="142"/>
      <c r="I2481" s="142"/>
      <c r="J2481" s="142"/>
    </row>
    <row r="2482" spans="1:10" x14ac:dyDescent="0.25">
      <c r="A2482" s="28"/>
      <c r="B2482" s="180"/>
      <c r="C2482" s="35"/>
      <c r="D2482" s="36"/>
      <c r="E2482" s="36"/>
      <c r="F2482" s="142"/>
      <c r="G2482" s="142"/>
      <c r="H2482" s="142"/>
      <c r="I2482" s="142"/>
      <c r="J2482" s="142"/>
    </row>
    <row r="2483" spans="1:10" x14ac:dyDescent="0.25">
      <c r="A2483" s="28"/>
      <c r="B2483" s="180"/>
      <c r="C2483" s="35"/>
      <c r="D2483" s="36"/>
      <c r="E2483" s="36"/>
      <c r="F2483" s="142"/>
      <c r="G2483" s="142"/>
      <c r="H2483" s="142"/>
      <c r="I2483" s="142"/>
      <c r="J2483" s="142"/>
    </row>
    <row r="2484" spans="1:10" x14ac:dyDescent="0.25">
      <c r="A2484" s="28"/>
      <c r="B2484" s="180"/>
      <c r="C2484" s="35"/>
      <c r="D2484" s="36"/>
      <c r="E2484" s="36"/>
      <c r="F2484" s="142"/>
      <c r="G2484" s="142"/>
      <c r="H2484" s="142"/>
      <c r="I2484" s="142"/>
      <c r="J2484" s="142"/>
    </row>
    <row r="2485" spans="1:10" x14ac:dyDescent="0.25">
      <c r="A2485" s="28"/>
      <c r="B2485" s="180"/>
      <c r="C2485" s="35"/>
      <c r="D2485" s="36"/>
      <c r="E2485" s="36"/>
      <c r="F2485" s="142"/>
      <c r="G2485" s="142"/>
      <c r="H2485" s="142"/>
      <c r="I2485" s="142"/>
      <c r="J2485" s="142"/>
    </row>
    <row r="2486" spans="1:10" x14ac:dyDescent="0.25">
      <c r="A2486" s="28"/>
      <c r="B2486" s="180"/>
      <c r="C2486" s="35"/>
      <c r="D2486" s="36"/>
      <c r="E2486" s="36"/>
      <c r="F2486" s="142"/>
      <c r="G2486" s="142"/>
      <c r="H2486" s="142"/>
      <c r="I2486" s="142"/>
      <c r="J2486" s="142"/>
    </row>
    <row r="2487" spans="1:10" x14ac:dyDescent="0.25">
      <c r="A2487" s="28"/>
      <c r="B2487" s="180"/>
      <c r="C2487" s="35"/>
      <c r="D2487" s="36"/>
      <c r="E2487" s="36"/>
      <c r="F2487" s="142"/>
      <c r="G2487" s="142"/>
      <c r="H2487" s="142"/>
      <c r="I2487" s="142"/>
      <c r="J2487" s="142"/>
    </row>
    <row r="2488" spans="1:10" x14ac:dyDescent="0.25">
      <c r="A2488" s="28"/>
      <c r="B2488" s="180"/>
      <c r="C2488" s="35"/>
      <c r="D2488" s="36"/>
      <c r="E2488" s="36"/>
      <c r="F2488" s="142"/>
      <c r="G2488" s="142"/>
      <c r="H2488" s="142"/>
      <c r="I2488" s="142"/>
      <c r="J2488" s="142"/>
    </row>
    <row r="2489" spans="1:10" x14ac:dyDescent="0.25">
      <c r="A2489" s="28"/>
      <c r="B2489" s="180"/>
      <c r="C2489" s="35"/>
      <c r="D2489" s="36"/>
      <c r="E2489" s="36"/>
      <c r="F2489" s="142"/>
      <c r="G2489" s="142"/>
      <c r="H2489" s="142"/>
      <c r="I2489" s="142"/>
      <c r="J2489" s="142"/>
    </row>
    <row r="2490" spans="1:10" x14ac:dyDescent="0.25">
      <c r="A2490" s="28"/>
      <c r="B2490" s="180"/>
      <c r="C2490" s="35"/>
      <c r="D2490" s="36"/>
      <c r="E2490" s="36"/>
      <c r="F2490" s="142"/>
      <c r="G2490" s="142"/>
      <c r="H2490" s="142"/>
      <c r="I2490" s="142"/>
      <c r="J2490" s="142"/>
    </row>
    <row r="2491" spans="1:10" x14ac:dyDescent="0.25">
      <c r="A2491" s="28"/>
      <c r="B2491" s="180"/>
      <c r="C2491" s="35"/>
      <c r="D2491" s="36"/>
      <c r="E2491" s="36"/>
      <c r="F2491" s="142"/>
      <c r="G2491" s="142"/>
      <c r="H2491" s="142"/>
      <c r="I2491" s="142"/>
      <c r="J2491" s="142"/>
    </row>
    <row r="2492" spans="1:10" x14ac:dyDescent="0.25">
      <c r="A2492" s="28"/>
      <c r="B2492" s="180"/>
      <c r="C2492" s="35"/>
      <c r="D2492" s="36"/>
      <c r="E2492" s="36"/>
      <c r="F2492" s="142"/>
      <c r="G2492" s="142"/>
      <c r="H2492" s="142"/>
      <c r="I2492" s="142"/>
      <c r="J2492" s="142"/>
    </row>
    <row r="2493" spans="1:10" x14ac:dyDescent="0.25">
      <c r="A2493" s="28"/>
      <c r="B2493" s="180"/>
      <c r="C2493" s="35"/>
      <c r="D2493" s="36"/>
      <c r="E2493" s="36"/>
      <c r="F2493" s="142"/>
      <c r="G2493" s="142"/>
      <c r="H2493" s="142"/>
      <c r="I2493" s="142"/>
      <c r="J2493" s="142"/>
    </row>
    <row r="2494" spans="1:10" x14ac:dyDescent="0.25">
      <c r="A2494" s="28"/>
      <c r="B2494" s="180"/>
      <c r="C2494" s="35"/>
      <c r="D2494" s="36"/>
      <c r="E2494" s="36"/>
      <c r="F2494" s="142"/>
      <c r="G2494" s="142"/>
      <c r="H2494" s="142"/>
      <c r="I2494" s="142"/>
      <c r="J2494" s="142"/>
    </row>
    <row r="2495" spans="1:10" x14ac:dyDescent="0.25">
      <c r="A2495" s="28"/>
      <c r="B2495" s="180"/>
      <c r="C2495" s="35"/>
      <c r="D2495" s="36"/>
      <c r="E2495" s="36"/>
      <c r="F2495" s="142"/>
      <c r="G2495" s="142"/>
      <c r="H2495" s="142"/>
      <c r="I2495" s="142"/>
      <c r="J2495" s="142"/>
    </row>
    <row r="2496" spans="1:10" x14ac:dyDescent="0.25">
      <c r="A2496" s="28"/>
      <c r="B2496" s="180"/>
      <c r="C2496" s="35"/>
      <c r="D2496" s="36"/>
      <c r="E2496" s="36"/>
      <c r="F2496" s="142"/>
      <c r="G2496" s="142"/>
      <c r="H2496" s="142"/>
      <c r="I2496" s="142"/>
      <c r="J2496" s="142"/>
    </row>
    <row r="2497" spans="1:10" x14ac:dyDescent="0.25">
      <c r="A2497" s="28"/>
      <c r="B2497" s="180"/>
      <c r="C2497" s="35"/>
      <c r="D2497" s="36"/>
      <c r="E2497" s="36"/>
      <c r="F2497" s="142"/>
      <c r="G2497" s="142"/>
      <c r="H2497" s="142"/>
      <c r="I2497" s="142"/>
      <c r="J2497" s="142"/>
    </row>
    <row r="2498" spans="1:10" x14ac:dyDescent="0.25">
      <c r="A2498" s="28"/>
      <c r="B2498" s="180"/>
      <c r="C2498" s="35"/>
      <c r="D2498" s="36"/>
      <c r="E2498" s="36"/>
      <c r="F2498" s="142"/>
      <c r="G2498" s="142"/>
      <c r="H2498" s="142"/>
      <c r="I2498" s="142"/>
      <c r="J2498" s="142"/>
    </row>
    <row r="2499" spans="1:10" x14ac:dyDescent="0.25">
      <c r="A2499" s="28"/>
      <c r="B2499" s="180"/>
      <c r="C2499" s="35"/>
      <c r="D2499" s="36"/>
      <c r="E2499" s="36"/>
      <c r="F2499" s="142"/>
      <c r="G2499" s="142"/>
      <c r="H2499" s="142"/>
      <c r="I2499" s="142"/>
      <c r="J2499" s="142"/>
    </row>
    <row r="2500" spans="1:10" x14ac:dyDescent="0.25">
      <c r="A2500" s="28"/>
      <c r="B2500" s="180"/>
      <c r="C2500" s="35"/>
      <c r="D2500" s="36"/>
      <c r="E2500" s="36"/>
      <c r="F2500" s="142"/>
      <c r="G2500" s="142"/>
      <c r="H2500" s="142"/>
      <c r="I2500" s="142"/>
      <c r="J2500" s="142"/>
    </row>
    <row r="2501" spans="1:10" x14ac:dyDescent="0.25">
      <c r="A2501" s="28"/>
      <c r="B2501" s="180"/>
      <c r="C2501" s="35"/>
      <c r="D2501" s="36"/>
      <c r="E2501" s="36"/>
      <c r="F2501" s="142"/>
      <c r="G2501" s="142"/>
      <c r="H2501" s="142"/>
      <c r="I2501" s="142"/>
      <c r="J2501" s="142"/>
    </row>
    <row r="2502" spans="1:10" x14ac:dyDescent="0.25">
      <c r="A2502" s="28"/>
      <c r="B2502" s="180"/>
      <c r="C2502" s="35"/>
      <c r="D2502" s="36"/>
      <c r="E2502" s="36"/>
      <c r="F2502" s="142"/>
      <c r="G2502" s="142"/>
      <c r="H2502" s="142"/>
      <c r="I2502" s="142"/>
      <c r="J2502" s="142"/>
    </row>
    <row r="2503" spans="1:10" x14ac:dyDescent="0.25">
      <c r="A2503" s="28"/>
      <c r="B2503" s="180"/>
      <c r="C2503" s="35"/>
      <c r="D2503" s="36"/>
      <c r="E2503" s="36"/>
      <c r="F2503" s="142"/>
      <c r="G2503" s="142"/>
      <c r="H2503" s="142"/>
      <c r="I2503" s="142"/>
      <c r="J2503" s="142"/>
    </row>
    <row r="2504" spans="1:10" x14ac:dyDescent="0.25">
      <c r="A2504" s="28"/>
      <c r="B2504" s="180"/>
      <c r="C2504" s="35"/>
      <c r="D2504" s="36"/>
      <c r="E2504" s="36"/>
      <c r="F2504" s="142"/>
      <c r="G2504" s="142"/>
      <c r="H2504" s="142"/>
      <c r="I2504" s="142"/>
      <c r="J2504" s="142"/>
    </row>
    <row r="2505" spans="1:10" x14ac:dyDescent="0.25">
      <c r="A2505" s="28"/>
      <c r="B2505" s="180"/>
      <c r="C2505" s="35"/>
      <c r="D2505" s="36"/>
      <c r="E2505" s="36"/>
      <c r="F2505" s="142"/>
      <c r="G2505" s="142"/>
      <c r="H2505" s="142"/>
      <c r="I2505" s="142"/>
      <c r="J2505" s="142"/>
    </row>
    <row r="2506" spans="1:10" x14ac:dyDescent="0.25">
      <c r="A2506" s="28"/>
      <c r="B2506" s="180"/>
      <c r="C2506" s="35"/>
      <c r="D2506" s="36"/>
      <c r="E2506" s="36"/>
      <c r="F2506" s="142"/>
      <c r="G2506" s="142"/>
      <c r="H2506" s="142"/>
      <c r="I2506" s="142"/>
      <c r="J2506" s="142"/>
    </row>
    <row r="2507" spans="1:10" x14ac:dyDescent="0.25">
      <c r="A2507" s="28"/>
      <c r="B2507" s="180"/>
      <c r="C2507" s="35"/>
      <c r="D2507" s="36"/>
      <c r="E2507" s="36"/>
      <c r="F2507" s="142"/>
      <c r="G2507" s="142"/>
      <c r="H2507" s="142"/>
      <c r="I2507" s="142"/>
      <c r="J2507" s="142"/>
    </row>
    <row r="2508" spans="1:10" x14ac:dyDescent="0.25">
      <c r="A2508" s="28"/>
      <c r="B2508" s="180"/>
      <c r="C2508" s="35"/>
      <c r="D2508" s="36"/>
      <c r="E2508" s="36"/>
      <c r="F2508" s="142"/>
      <c r="G2508" s="142"/>
      <c r="H2508" s="142"/>
      <c r="I2508" s="142"/>
      <c r="J2508" s="142"/>
    </row>
    <row r="2509" spans="1:10" x14ac:dyDescent="0.25">
      <c r="A2509" s="28"/>
      <c r="B2509" s="180"/>
      <c r="C2509" s="35"/>
      <c r="D2509" s="36"/>
      <c r="E2509" s="36"/>
      <c r="F2509" s="142"/>
      <c r="G2509" s="142"/>
      <c r="H2509" s="142"/>
      <c r="I2509" s="142"/>
      <c r="J2509" s="142"/>
    </row>
    <row r="2510" spans="1:10" x14ac:dyDescent="0.25">
      <c r="A2510" s="28"/>
      <c r="B2510" s="180"/>
      <c r="C2510" s="35"/>
      <c r="D2510" s="36"/>
      <c r="E2510" s="36"/>
      <c r="F2510" s="142"/>
      <c r="G2510" s="142"/>
      <c r="H2510" s="142"/>
      <c r="I2510" s="142"/>
      <c r="J2510" s="142"/>
    </row>
    <row r="2511" spans="1:10" x14ac:dyDescent="0.25">
      <c r="A2511" s="28"/>
      <c r="B2511" s="180"/>
      <c r="C2511" s="35"/>
      <c r="D2511" s="36"/>
      <c r="E2511" s="36"/>
      <c r="F2511" s="142"/>
      <c r="G2511" s="142"/>
      <c r="H2511" s="142"/>
      <c r="I2511" s="142"/>
      <c r="J2511" s="142"/>
    </row>
    <row r="2512" spans="1:10" x14ac:dyDescent="0.25">
      <c r="A2512" s="28"/>
      <c r="B2512" s="180"/>
      <c r="C2512" s="35"/>
      <c r="D2512" s="36"/>
      <c r="E2512" s="36"/>
      <c r="F2512" s="142"/>
      <c r="G2512" s="142"/>
      <c r="H2512" s="142"/>
      <c r="I2512" s="142"/>
      <c r="J2512" s="142"/>
    </row>
    <row r="2513" spans="1:10" x14ac:dyDescent="0.25">
      <c r="A2513" s="28"/>
      <c r="B2513" s="180"/>
      <c r="C2513" s="35"/>
      <c r="D2513" s="36"/>
      <c r="E2513" s="36"/>
      <c r="F2513" s="142"/>
      <c r="G2513" s="142"/>
      <c r="H2513" s="142"/>
      <c r="I2513" s="142"/>
      <c r="J2513" s="142"/>
    </row>
    <row r="2514" spans="1:10" x14ac:dyDescent="0.25">
      <c r="A2514" s="28"/>
      <c r="B2514" s="180"/>
      <c r="C2514" s="35"/>
      <c r="D2514" s="36"/>
      <c r="E2514" s="36"/>
      <c r="F2514" s="142"/>
      <c r="G2514" s="142"/>
      <c r="H2514" s="142"/>
      <c r="I2514" s="142"/>
      <c r="J2514" s="142"/>
    </row>
    <row r="2515" spans="1:10" x14ac:dyDescent="0.25">
      <c r="A2515" s="28"/>
      <c r="B2515" s="180"/>
      <c r="C2515" s="35"/>
      <c r="D2515" s="36"/>
      <c r="E2515" s="36"/>
      <c r="F2515" s="142"/>
      <c r="G2515" s="142"/>
      <c r="H2515" s="142"/>
      <c r="I2515" s="142"/>
      <c r="J2515" s="142"/>
    </row>
    <row r="2516" spans="1:10" x14ac:dyDescent="0.25">
      <c r="A2516" s="28"/>
      <c r="B2516" s="180"/>
      <c r="C2516" s="35"/>
      <c r="D2516" s="36"/>
      <c r="E2516" s="36"/>
      <c r="F2516" s="142"/>
      <c r="G2516" s="142"/>
      <c r="H2516" s="142"/>
      <c r="I2516" s="142"/>
      <c r="J2516" s="142"/>
    </row>
    <row r="2517" spans="1:10" x14ac:dyDescent="0.25">
      <c r="A2517" s="28"/>
      <c r="B2517" s="180"/>
      <c r="C2517" s="35"/>
      <c r="D2517" s="36"/>
      <c r="E2517" s="36"/>
      <c r="F2517" s="142"/>
      <c r="G2517" s="142"/>
      <c r="H2517" s="142"/>
      <c r="I2517" s="142"/>
      <c r="J2517" s="142"/>
    </row>
    <row r="2518" spans="1:10" x14ac:dyDescent="0.25">
      <c r="A2518" s="28"/>
      <c r="B2518" s="180"/>
      <c r="C2518" s="35"/>
      <c r="D2518" s="36"/>
      <c r="E2518" s="36"/>
      <c r="F2518" s="142"/>
      <c r="G2518" s="142"/>
      <c r="H2518" s="142"/>
      <c r="I2518" s="142"/>
      <c r="J2518" s="142"/>
    </row>
    <row r="2519" spans="1:10" x14ac:dyDescent="0.25">
      <c r="A2519" s="28"/>
      <c r="B2519" s="180"/>
      <c r="C2519" s="35"/>
      <c r="D2519" s="36"/>
      <c r="E2519" s="36"/>
      <c r="F2519" s="142"/>
      <c r="G2519" s="142"/>
      <c r="H2519" s="142"/>
      <c r="I2519" s="142"/>
      <c r="J2519" s="142"/>
    </row>
    <row r="2520" spans="1:10" x14ac:dyDescent="0.25">
      <c r="A2520" s="28"/>
      <c r="B2520" s="180"/>
      <c r="C2520" s="35"/>
      <c r="D2520" s="36"/>
      <c r="E2520" s="36"/>
      <c r="F2520" s="142"/>
      <c r="G2520" s="142"/>
      <c r="H2520" s="142"/>
      <c r="I2520" s="142"/>
      <c r="J2520" s="142"/>
    </row>
    <row r="2521" spans="1:10" x14ac:dyDescent="0.25">
      <c r="A2521" s="28"/>
      <c r="B2521" s="180"/>
      <c r="C2521" s="35"/>
      <c r="D2521" s="36"/>
      <c r="E2521" s="36"/>
      <c r="F2521" s="142"/>
      <c r="G2521" s="142"/>
      <c r="H2521" s="142"/>
      <c r="I2521" s="142"/>
      <c r="J2521" s="142"/>
    </row>
    <row r="2522" spans="1:10" x14ac:dyDescent="0.25">
      <c r="A2522" s="28"/>
      <c r="B2522" s="180"/>
      <c r="C2522" s="35"/>
      <c r="D2522" s="36"/>
      <c r="E2522" s="36"/>
      <c r="F2522" s="142"/>
      <c r="G2522" s="142"/>
      <c r="H2522" s="142"/>
      <c r="I2522" s="142"/>
      <c r="J2522" s="142"/>
    </row>
    <row r="2523" spans="1:10" x14ac:dyDescent="0.25">
      <c r="A2523" s="28"/>
      <c r="B2523" s="180"/>
      <c r="C2523" s="35"/>
      <c r="D2523" s="36"/>
      <c r="E2523" s="36"/>
      <c r="F2523" s="142"/>
      <c r="G2523" s="142"/>
      <c r="H2523" s="142"/>
      <c r="I2523" s="142"/>
      <c r="J2523" s="142"/>
    </row>
    <row r="2524" spans="1:10" x14ac:dyDescent="0.25">
      <c r="A2524" s="28"/>
      <c r="B2524" s="180"/>
      <c r="C2524" s="35"/>
      <c r="D2524" s="36"/>
      <c r="E2524" s="36"/>
      <c r="F2524" s="142"/>
      <c r="G2524" s="142"/>
      <c r="H2524" s="142"/>
      <c r="I2524" s="142"/>
      <c r="J2524" s="142"/>
    </row>
    <row r="2525" spans="1:10" x14ac:dyDescent="0.25">
      <c r="A2525" s="28"/>
      <c r="B2525" s="180"/>
      <c r="C2525" s="35"/>
      <c r="D2525" s="36"/>
      <c r="E2525" s="36"/>
      <c r="F2525" s="142"/>
      <c r="G2525" s="142"/>
      <c r="H2525" s="142"/>
      <c r="I2525" s="142"/>
      <c r="J2525" s="142"/>
    </row>
    <row r="2526" spans="1:10" x14ac:dyDescent="0.25">
      <c r="A2526" s="28"/>
      <c r="B2526" s="180"/>
      <c r="C2526" s="35"/>
      <c r="D2526" s="36"/>
      <c r="E2526" s="36"/>
      <c r="F2526" s="142"/>
      <c r="G2526" s="142"/>
      <c r="H2526" s="142"/>
      <c r="I2526" s="142"/>
      <c r="J2526" s="142"/>
    </row>
    <row r="2527" spans="1:10" x14ac:dyDescent="0.25">
      <c r="A2527" s="28"/>
      <c r="B2527" s="180"/>
      <c r="C2527" s="35"/>
      <c r="D2527" s="36"/>
      <c r="E2527" s="36"/>
      <c r="F2527" s="142"/>
      <c r="G2527" s="142"/>
      <c r="H2527" s="142"/>
      <c r="I2527" s="142"/>
      <c r="J2527" s="142"/>
    </row>
    <row r="2528" spans="1:10" x14ac:dyDescent="0.25">
      <c r="A2528" s="28"/>
      <c r="B2528" s="180"/>
      <c r="C2528" s="35"/>
      <c r="D2528" s="36"/>
      <c r="E2528" s="36"/>
      <c r="F2528" s="142"/>
      <c r="G2528" s="142"/>
      <c r="H2528" s="142"/>
      <c r="I2528" s="142"/>
      <c r="J2528" s="142"/>
    </row>
    <row r="2529" spans="1:10" x14ac:dyDescent="0.25">
      <c r="A2529" s="28"/>
      <c r="B2529" s="180"/>
      <c r="C2529" s="35"/>
      <c r="D2529" s="36"/>
      <c r="E2529" s="36"/>
      <c r="F2529" s="142"/>
      <c r="G2529" s="142"/>
      <c r="H2529" s="142"/>
      <c r="I2529" s="142"/>
      <c r="J2529" s="142"/>
    </row>
    <row r="2530" spans="1:10" x14ac:dyDescent="0.25">
      <c r="A2530" s="28"/>
      <c r="B2530" s="180"/>
      <c r="C2530" s="35"/>
      <c r="D2530" s="36"/>
      <c r="E2530" s="36"/>
      <c r="F2530" s="142"/>
      <c r="G2530" s="142"/>
      <c r="H2530" s="142"/>
      <c r="I2530" s="142"/>
      <c r="J2530" s="142"/>
    </row>
    <row r="2531" spans="1:10" x14ac:dyDescent="0.25">
      <c r="A2531" s="28"/>
      <c r="B2531" s="180"/>
      <c r="C2531" s="35"/>
      <c r="D2531" s="36"/>
      <c r="E2531" s="36"/>
      <c r="F2531" s="142"/>
      <c r="G2531" s="142"/>
      <c r="H2531" s="142"/>
      <c r="I2531" s="142"/>
      <c r="J2531" s="142"/>
    </row>
    <row r="2532" spans="1:10" x14ac:dyDescent="0.25">
      <c r="A2532" s="28"/>
      <c r="B2532" s="180"/>
      <c r="C2532" s="35"/>
      <c r="D2532" s="36"/>
      <c r="E2532" s="36"/>
      <c r="F2532" s="142"/>
      <c r="G2532" s="142"/>
      <c r="H2532" s="142"/>
      <c r="I2532" s="142"/>
      <c r="J2532" s="142"/>
    </row>
    <row r="2533" spans="1:10" x14ac:dyDescent="0.25">
      <c r="A2533" s="28"/>
      <c r="B2533" s="180"/>
      <c r="C2533" s="35"/>
      <c r="D2533" s="36"/>
      <c r="E2533" s="36"/>
      <c r="F2533" s="142"/>
      <c r="G2533" s="142"/>
      <c r="H2533" s="142"/>
      <c r="I2533" s="142"/>
      <c r="J2533" s="142"/>
    </row>
    <row r="2534" spans="1:10" x14ac:dyDescent="0.25">
      <c r="A2534" s="28"/>
      <c r="B2534" s="180"/>
      <c r="C2534" s="35"/>
      <c r="D2534" s="36"/>
      <c r="E2534" s="36"/>
      <c r="F2534" s="142"/>
      <c r="G2534" s="142"/>
      <c r="H2534" s="142"/>
      <c r="I2534" s="142"/>
      <c r="J2534" s="142"/>
    </row>
    <row r="2535" spans="1:10" x14ac:dyDescent="0.25">
      <c r="A2535" s="28"/>
      <c r="B2535" s="180"/>
      <c r="C2535" s="35"/>
      <c r="D2535" s="36"/>
      <c r="E2535" s="36"/>
      <c r="F2535" s="142"/>
      <c r="G2535" s="142"/>
      <c r="H2535" s="142"/>
      <c r="I2535" s="142"/>
      <c r="J2535" s="142"/>
    </row>
    <row r="2536" spans="1:10" x14ac:dyDescent="0.25">
      <c r="A2536" s="28"/>
      <c r="B2536" s="180"/>
      <c r="C2536" s="35"/>
      <c r="D2536" s="36"/>
      <c r="E2536" s="36"/>
      <c r="F2536" s="142"/>
      <c r="G2536" s="142"/>
      <c r="H2536" s="142"/>
      <c r="I2536" s="142"/>
      <c r="J2536" s="142"/>
    </row>
    <row r="2537" spans="1:10" x14ac:dyDescent="0.25">
      <c r="A2537" s="28"/>
      <c r="B2537" s="180"/>
      <c r="C2537" s="35"/>
      <c r="D2537" s="36"/>
      <c r="E2537" s="36"/>
      <c r="F2537" s="142"/>
      <c r="G2537" s="142"/>
      <c r="H2537" s="142"/>
      <c r="I2537" s="142"/>
      <c r="J2537" s="142"/>
    </row>
    <row r="2538" spans="1:10" x14ac:dyDescent="0.25">
      <c r="A2538" s="28"/>
      <c r="B2538" s="180"/>
      <c r="C2538" s="35"/>
      <c r="D2538" s="36"/>
      <c r="E2538" s="36"/>
      <c r="F2538" s="142"/>
      <c r="G2538" s="142"/>
      <c r="H2538" s="142"/>
      <c r="I2538" s="142"/>
      <c r="J2538" s="142"/>
    </row>
    <row r="2539" spans="1:10" x14ac:dyDescent="0.25">
      <c r="A2539" s="28"/>
      <c r="B2539" s="180"/>
      <c r="C2539" s="35"/>
      <c r="D2539" s="36"/>
      <c r="E2539" s="36"/>
      <c r="F2539" s="142"/>
      <c r="G2539" s="142"/>
      <c r="H2539" s="142"/>
      <c r="I2539" s="142"/>
      <c r="J2539" s="142"/>
    </row>
    <row r="2540" spans="1:10" x14ac:dyDescent="0.25">
      <c r="A2540" s="28"/>
      <c r="B2540" s="180"/>
      <c r="C2540" s="35"/>
      <c r="D2540" s="36"/>
      <c r="E2540" s="36"/>
      <c r="F2540" s="142"/>
      <c r="G2540" s="142"/>
      <c r="H2540" s="142"/>
      <c r="I2540" s="142"/>
      <c r="J2540" s="142"/>
    </row>
    <row r="2541" spans="1:10" x14ac:dyDescent="0.25">
      <c r="A2541" s="28"/>
      <c r="B2541" s="180"/>
      <c r="C2541" s="35"/>
      <c r="D2541" s="36"/>
      <c r="E2541" s="36"/>
      <c r="F2541" s="142"/>
      <c r="G2541" s="142"/>
      <c r="H2541" s="142"/>
      <c r="I2541" s="142"/>
      <c r="J2541" s="142"/>
    </row>
    <row r="2542" spans="1:10" x14ac:dyDescent="0.25">
      <c r="A2542" s="28"/>
      <c r="B2542" s="180"/>
      <c r="C2542" s="35"/>
      <c r="D2542" s="36"/>
      <c r="E2542" s="36"/>
      <c r="F2542" s="142"/>
      <c r="G2542" s="142"/>
      <c r="H2542" s="142"/>
      <c r="I2542" s="142"/>
      <c r="J2542" s="142"/>
    </row>
    <row r="2543" spans="1:10" x14ac:dyDescent="0.25">
      <c r="A2543" s="28"/>
      <c r="B2543" s="180"/>
      <c r="C2543" s="35"/>
      <c r="D2543" s="36"/>
      <c r="E2543" s="36"/>
      <c r="F2543" s="142"/>
      <c r="G2543" s="142"/>
      <c r="H2543" s="142"/>
      <c r="I2543" s="142"/>
      <c r="J2543" s="142"/>
    </row>
    <row r="2544" spans="1:10" x14ac:dyDescent="0.25">
      <c r="A2544" s="28"/>
      <c r="B2544" s="180"/>
      <c r="C2544" s="35"/>
      <c r="D2544" s="36"/>
      <c r="E2544" s="36"/>
      <c r="F2544" s="142"/>
      <c r="G2544" s="142"/>
      <c r="H2544" s="142"/>
      <c r="I2544" s="142"/>
      <c r="J2544" s="142"/>
    </row>
    <row r="2545" spans="1:10" x14ac:dyDescent="0.25">
      <c r="A2545" s="28"/>
      <c r="B2545" s="180"/>
      <c r="C2545" s="35"/>
      <c r="D2545" s="36"/>
      <c r="E2545" s="36"/>
      <c r="F2545" s="142"/>
      <c r="G2545" s="142"/>
      <c r="H2545" s="142"/>
      <c r="I2545" s="142"/>
      <c r="J2545" s="142"/>
    </row>
    <row r="2546" spans="1:10" x14ac:dyDescent="0.25">
      <c r="A2546" s="28"/>
      <c r="B2546" s="180"/>
      <c r="C2546" s="35"/>
      <c r="D2546" s="36"/>
      <c r="E2546" s="36"/>
      <c r="F2546" s="142"/>
      <c r="G2546" s="142"/>
      <c r="H2546" s="142"/>
      <c r="I2546" s="142"/>
      <c r="J2546" s="142"/>
    </row>
    <row r="2547" spans="1:10" x14ac:dyDescent="0.25">
      <c r="A2547" s="28"/>
      <c r="B2547" s="180"/>
      <c r="C2547" s="35"/>
      <c r="D2547" s="36"/>
      <c r="E2547" s="36"/>
      <c r="F2547" s="142"/>
      <c r="G2547" s="142"/>
      <c r="H2547" s="142"/>
      <c r="I2547" s="142"/>
      <c r="J2547" s="142"/>
    </row>
    <row r="2548" spans="1:10" x14ac:dyDescent="0.25">
      <c r="A2548" s="28"/>
      <c r="B2548" s="180"/>
      <c r="C2548" s="35"/>
      <c r="D2548" s="36"/>
      <c r="E2548" s="36"/>
      <c r="F2548" s="142"/>
      <c r="G2548" s="142"/>
      <c r="H2548" s="142"/>
      <c r="I2548" s="142"/>
      <c r="J2548" s="142"/>
    </row>
    <row r="2549" spans="1:10" x14ac:dyDescent="0.25">
      <c r="A2549" s="28"/>
      <c r="B2549" s="180"/>
      <c r="C2549" s="35"/>
      <c r="D2549" s="36"/>
      <c r="E2549" s="36"/>
      <c r="F2549" s="142"/>
      <c r="G2549" s="142"/>
      <c r="H2549" s="142"/>
      <c r="I2549" s="142"/>
      <c r="J2549" s="142"/>
    </row>
    <row r="2550" spans="1:10" x14ac:dyDescent="0.25">
      <c r="A2550" s="28"/>
      <c r="B2550" s="180"/>
      <c r="C2550" s="35"/>
      <c r="D2550" s="36"/>
      <c r="E2550" s="36"/>
      <c r="F2550" s="142"/>
      <c r="G2550" s="142"/>
      <c r="H2550" s="142"/>
      <c r="I2550" s="142"/>
      <c r="J2550" s="142"/>
    </row>
    <row r="2551" spans="1:10" x14ac:dyDescent="0.25">
      <c r="A2551" s="28"/>
      <c r="B2551" s="180"/>
      <c r="C2551" s="35"/>
      <c r="D2551" s="36"/>
      <c r="E2551" s="36"/>
      <c r="F2551" s="142"/>
      <c r="G2551" s="142"/>
      <c r="H2551" s="142"/>
      <c r="I2551" s="142"/>
      <c r="J2551" s="142"/>
    </row>
    <row r="2552" spans="1:10" x14ac:dyDescent="0.25">
      <c r="A2552" s="28"/>
      <c r="B2552" s="180"/>
      <c r="C2552" s="35"/>
      <c r="D2552" s="36"/>
      <c r="E2552" s="36"/>
      <c r="F2552" s="142"/>
      <c r="G2552" s="142"/>
      <c r="H2552" s="142"/>
      <c r="I2552" s="142"/>
      <c r="J2552" s="142"/>
    </row>
    <row r="2553" spans="1:10" x14ac:dyDescent="0.25">
      <c r="A2553" s="28"/>
      <c r="B2553" s="180"/>
      <c r="C2553" s="35"/>
      <c r="D2553" s="36"/>
      <c r="E2553" s="36"/>
      <c r="F2553" s="142"/>
      <c r="G2553" s="142"/>
      <c r="H2553" s="142"/>
      <c r="I2553" s="142"/>
      <c r="J2553" s="142"/>
    </row>
    <row r="2554" spans="1:10" x14ac:dyDescent="0.25">
      <c r="A2554" s="28"/>
      <c r="B2554" s="180"/>
      <c r="C2554" s="35"/>
      <c r="D2554" s="36"/>
      <c r="E2554" s="36"/>
      <c r="F2554" s="142"/>
      <c r="G2554" s="142"/>
      <c r="H2554" s="142"/>
      <c r="I2554" s="142"/>
      <c r="J2554" s="142"/>
    </row>
    <row r="2555" spans="1:10" x14ac:dyDescent="0.25">
      <c r="A2555" s="28"/>
      <c r="B2555" s="180"/>
      <c r="C2555" s="35"/>
      <c r="D2555" s="36"/>
      <c r="E2555" s="36"/>
      <c r="F2555" s="142"/>
      <c r="G2555" s="142"/>
      <c r="H2555" s="142"/>
      <c r="I2555" s="142"/>
      <c r="J2555" s="142"/>
    </row>
    <row r="2556" spans="1:10" x14ac:dyDescent="0.25">
      <c r="A2556" s="28"/>
      <c r="B2556" s="180"/>
      <c r="C2556" s="35"/>
      <c r="D2556" s="36"/>
      <c r="E2556" s="36"/>
      <c r="F2556" s="142"/>
      <c r="G2556" s="142"/>
      <c r="H2556" s="142"/>
      <c r="I2556" s="142"/>
      <c r="J2556" s="142"/>
    </row>
    <row r="2557" spans="1:10" x14ac:dyDescent="0.25">
      <c r="A2557" s="28"/>
      <c r="B2557" s="180"/>
      <c r="C2557" s="35"/>
      <c r="D2557" s="36"/>
      <c r="E2557" s="36"/>
      <c r="F2557" s="142"/>
      <c r="G2557" s="142"/>
      <c r="H2557" s="142"/>
      <c r="I2557" s="142"/>
      <c r="J2557" s="142"/>
    </row>
    <row r="2558" spans="1:10" x14ac:dyDescent="0.25">
      <c r="A2558" s="28"/>
      <c r="B2558" s="180"/>
      <c r="C2558" s="35"/>
      <c r="D2558" s="36"/>
      <c r="E2558" s="36"/>
      <c r="F2558" s="142"/>
      <c r="G2558" s="142"/>
      <c r="H2558" s="142"/>
      <c r="I2558" s="142"/>
      <c r="J2558" s="142"/>
    </row>
    <row r="2559" spans="1:10" x14ac:dyDescent="0.25">
      <c r="A2559" s="28"/>
      <c r="B2559" s="180"/>
      <c r="C2559" s="35"/>
      <c r="D2559" s="36"/>
      <c r="E2559" s="36"/>
      <c r="F2559" s="142"/>
      <c r="G2559" s="142"/>
      <c r="H2559" s="142"/>
      <c r="I2559" s="142"/>
      <c r="J2559" s="142"/>
    </row>
    <row r="2560" spans="1:10" x14ac:dyDescent="0.25">
      <c r="A2560" s="28"/>
      <c r="B2560" s="180"/>
      <c r="C2560" s="35"/>
      <c r="D2560" s="36"/>
      <c r="E2560" s="36"/>
      <c r="F2560" s="142"/>
      <c r="G2560" s="142"/>
      <c r="H2560" s="142"/>
      <c r="I2560" s="142"/>
      <c r="J2560" s="142"/>
    </row>
    <row r="2561" spans="1:10" x14ac:dyDescent="0.25">
      <c r="A2561" s="28"/>
      <c r="B2561" s="180"/>
      <c r="C2561" s="35"/>
      <c r="D2561" s="36"/>
      <c r="E2561" s="36"/>
      <c r="F2561" s="142"/>
      <c r="G2561" s="142"/>
      <c r="H2561" s="142"/>
      <c r="I2561" s="142"/>
      <c r="J2561" s="142"/>
    </row>
    <row r="2562" spans="1:10" x14ac:dyDescent="0.25">
      <c r="A2562" s="28"/>
      <c r="B2562" s="180"/>
      <c r="C2562" s="35"/>
      <c r="D2562" s="36"/>
      <c r="E2562" s="36"/>
      <c r="F2562" s="142"/>
      <c r="G2562" s="142"/>
      <c r="H2562" s="142"/>
      <c r="I2562" s="142"/>
      <c r="J2562" s="142"/>
    </row>
    <row r="2563" spans="1:10" x14ac:dyDescent="0.25">
      <c r="A2563" s="28"/>
      <c r="B2563" s="180"/>
      <c r="C2563" s="35"/>
      <c r="D2563" s="36"/>
      <c r="E2563" s="36"/>
      <c r="F2563" s="142"/>
      <c r="G2563" s="142"/>
      <c r="H2563" s="142"/>
      <c r="I2563" s="142"/>
      <c r="J2563" s="142"/>
    </row>
    <row r="2564" spans="1:10" x14ac:dyDescent="0.25">
      <c r="A2564" s="28"/>
      <c r="B2564" s="180"/>
      <c r="C2564" s="35"/>
      <c r="D2564" s="36"/>
      <c r="E2564" s="36"/>
      <c r="F2564" s="142"/>
      <c r="G2564" s="142"/>
      <c r="H2564" s="142"/>
      <c r="I2564" s="142"/>
      <c r="J2564" s="142"/>
    </row>
    <row r="2565" spans="1:10" x14ac:dyDescent="0.25">
      <c r="A2565" s="28"/>
      <c r="B2565" s="180"/>
      <c r="C2565" s="35"/>
      <c r="D2565" s="36"/>
      <c r="E2565" s="36"/>
      <c r="F2565" s="142"/>
      <c r="G2565" s="142"/>
      <c r="H2565" s="142"/>
      <c r="I2565" s="142"/>
      <c r="J2565" s="142"/>
    </row>
    <row r="2566" spans="1:10" x14ac:dyDescent="0.25">
      <c r="A2566" s="28"/>
      <c r="B2566" s="180"/>
      <c r="C2566" s="35"/>
      <c r="D2566" s="36"/>
      <c r="E2566" s="36"/>
      <c r="F2566" s="142"/>
      <c r="G2566" s="142"/>
      <c r="H2566" s="142"/>
      <c r="I2566" s="142"/>
      <c r="J2566" s="142"/>
    </row>
    <row r="2567" spans="1:10" x14ac:dyDescent="0.25">
      <c r="A2567" s="28"/>
      <c r="B2567" s="180"/>
      <c r="C2567" s="35"/>
      <c r="D2567" s="36"/>
      <c r="E2567" s="36"/>
      <c r="F2567" s="142"/>
      <c r="G2567" s="142"/>
      <c r="H2567" s="142"/>
      <c r="I2567" s="142"/>
      <c r="J2567" s="142"/>
    </row>
    <row r="2568" spans="1:10" x14ac:dyDescent="0.25">
      <c r="A2568" s="28"/>
      <c r="B2568" s="180"/>
      <c r="C2568" s="35"/>
      <c r="D2568" s="36"/>
      <c r="E2568" s="36"/>
      <c r="F2568" s="142"/>
      <c r="G2568" s="142"/>
      <c r="H2568" s="142"/>
      <c r="I2568" s="142"/>
      <c r="J2568" s="142"/>
    </row>
    <row r="2569" spans="1:10" x14ac:dyDescent="0.25">
      <c r="A2569" s="28"/>
      <c r="B2569" s="180"/>
      <c r="C2569" s="35"/>
      <c r="D2569" s="36"/>
      <c r="E2569" s="36"/>
      <c r="F2569" s="142"/>
      <c r="G2569" s="142"/>
      <c r="H2569" s="142"/>
      <c r="I2569" s="142"/>
      <c r="J2569" s="142"/>
    </row>
    <row r="2570" spans="1:10" x14ac:dyDescent="0.25">
      <c r="A2570" s="28"/>
      <c r="B2570" s="180"/>
      <c r="C2570" s="35"/>
      <c r="D2570" s="36"/>
      <c r="E2570" s="36"/>
      <c r="F2570" s="142"/>
      <c r="G2570" s="142"/>
      <c r="H2570" s="142"/>
      <c r="I2570" s="142"/>
      <c r="J2570" s="142"/>
    </row>
    <row r="2571" spans="1:10" x14ac:dyDescent="0.25">
      <c r="A2571" s="28"/>
      <c r="B2571" s="180"/>
      <c r="C2571" s="35"/>
      <c r="D2571" s="36"/>
      <c r="E2571" s="36"/>
      <c r="F2571" s="142"/>
      <c r="G2571" s="142"/>
      <c r="H2571" s="142"/>
      <c r="I2571" s="142"/>
      <c r="J2571" s="142"/>
    </row>
    <row r="2572" spans="1:10" x14ac:dyDescent="0.25">
      <c r="A2572" s="28"/>
      <c r="B2572" s="180"/>
      <c r="C2572" s="35"/>
      <c r="D2572" s="36"/>
      <c r="E2572" s="36"/>
      <c r="F2572" s="142"/>
      <c r="G2572" s="142"/>
      <c r="H2572" s="142"/>
      <c r="I2572" s="142"/>
      <c r="J2572" s="142"/>
    </row>
    <row r="2573" spans="1:10" x14ac:dyDescent="0.25">
      <c r="A2573" s="28"/>
      <c r="B2573" s="180"/>
      <c r="C2573" s="35"/>
      <c r="D2573" s="36"/>
      <c r="E2573" s="36"/>
      <c r="F2573" s="142"/>
      <c r="G2573" s="142"/>
      <c r="H2573" s="142"/>
      <c r="I2573" s="142"/>
      <c r="J2573" s="142"/>
    </row>
    <row r="2574" spans="1:10" x14ac:dyDescent="0.25">
      <c r="A2574" s="28"/>
      <c r="B2574" s="180"/>
      <c r="C2574" s="35"/>
      <c r="D2574" s="36"/>
      <c r="E2574" s="36"/>
      <c r="F2574" s="142"/>
      <c r="G2574" s="142"/>
      <c r="H2574" s="142"/>
      <c r="I2574" s="142"/>
      <c r="J2574" s="142"/>
    </row>
    <row r="2575" spans="1:10" x14ac:dyDescent="0.25">
      <c r="A2575" s="28"/>
      <c r="B2575" s="180"/>
      <c r="C2575" s="35"/>
      <c r="D2575" s="36"/>
      <c r="E2575" s="36"/>
      <c r="F2575" s="142"/>
      <c r="G2575" s="142"/>
      <c r="H2575" s="142"/>
      <c r="I2575" s="142"/>
      <c r="J2575" s="142"/>
    </row>
    <row r="2576" spans="1:10" x14ac:dyDescent="0.25">
      <c r="A2576" s="28"/>
      <c r="B2576" s="180"/>
      <c r="C2576" s="35"/>
      <c r="D2576" s="36"/>
      <c r="E2576" s="36"/>
      <c r="F2576" s="142"/>
      <c r="G2576" s="142"/>
      <c r="H2576" s="142"/>
      <c r="I2576" s="142"/>
      <c r="J2576" s="142"/>
    </row>
    <row r="2577" spans="1:10" x14ac:dyDescent="0.25">
      <c r="A2577" s="28"/>
      <c r="B2577" s="180"/>
      <c r="C2577" s="35"/>
      <c r="D2577" s="36"/>
      <c r="E2577" s="36"/>
      <c r="F2577" s="142"/>
      <c r="G2577" s="142"/>
      <c r="H2577" s="142"/>
      <c r="I2577" s="142"/>
      <c r="J2577" s="142"/>
    </row>
    <row r="2578" spans="1:10" x14ac:dyDescent="0.25">
      <c r="A2578" s="28"/>
      <c r="B2578" s="180"/>
      <c r="C2578" s="35"/>
      <c r="D2578" s="36"/>
      <c r="E2578" s="36"/>
      <c r="F2578" s="142"/>
      <c r="G2578" s="142"/>
      <c r="H2578" s="142"/>
      <c r="I2578" s="142"/>
      <c r="J2578" s="142"/>
    </row>
    <row r="2579" spans="1:10" x14ac:dyDescent="0.25">
      <c r="A2579" s="28"/>
      <c r="B2579" s="180"/>
      <c r="C2579" s="35"/>
      <c r="D2579" s="36"/>
      <c r="E2579" s="36"/>
      <c r="F2579" s="142"/>
      <c r="G2579" s="142"/>
      <c r="H2579" s="142"/>
      <c r="I2579" s="142"/>
      <c r="J2579" s="142"/>
    </row>
    <row r="2580" spans="1:10" x14ac:dyDescent="0.25">
      <c r="A2580" s="28"/>
      <c r="B2580" s="180"/>
      <c r="C2580" s="35"/>
      <c r="D2580" s="36"/>
      <c r="E2580" s="36"/>
      <c r="F2580" s="142"/>
      <c r="G2580" s="142"/>
      <c r="H2580" s="142"/>
      <c r="I2580" s="142"/>
      <c r="J2580" s="142"/>
    </row>
    <row r="2581" spans="1:10" x14ac:dyDescent="0.25">
      <c r="A2581" s="28"/>
      <c r="B2581" s="180"/>
      <c r="C2581" s="35"/>
      <c r="D2581" s="36"/>
      <c r="E2581" s="36"/>
      <c r="F2581" s="142"/>
      <c r="G2581" s="142"/>
      <c r="H2581" s="142"/>
      <c r="I2581" s="142"/>
      <c r="J2581" s="142"/>
    </row>
    <row r="2582" spans="1:10" x14ac:dyDescent="0.25">
      <c r="A2582" s="28"/>
      <c r="B2582" s="180"/>
      <c r="C2582" s="35"/>
      <c r="D2582" s="36"/>
      <c r="E2582" s="36"/>
      <c r="F2582" s="142"/>
      <c r="G2582" s="142"/>
      <c r="H2582" s="142"/>
      <c r="I2582" s="142"/>
      <c r="J2582" s="142"/>
    </row>
    <row r="2583" spans="1:10" x14ac:dyDescent="0.25">
      <c r="A2583" s="28"/>
      <c r="B2583" s="180"/>
      <c r="C2583" s="35"/>
      <c r="D2583" s="36"/>
      <c r="E2583" s="36"/>
      <c r="F2583" s="142"/>
      <c r="G2583" s="142"/>
      <c r="H2583" s="142"/>
      <c r="I2583" s="142"/>
      <c r="J2583" s="142"/>
    </row>
    <row r="2584" spans="1:10" x14ac:dyDescent="0.25">
      <c r="A2584" s="28"/>
      <c r="B2584" s="180"/>
      <c r="C2584" s="35"/>
      <c r="D2584" s="36"/>
      <c r="E2584" s="36"/>
      <c r="F2584" s="142"/>
      <c r="G2584" s="142"/>
      <c r="H2584" s="142"/>
      <c r="I2584" s="142"/>
      <c r="J2584" s="142"/>
    </row>
    <row r="2585" spans="1:10" x14ac:dyDescent="0.25">
      <c r="A2585" s="28"/>
      <c r="B2585" s="180"/>
      <c r="C2585" s="35"/>
      <c r="D2585" s="36"/>
      <c r="E2585" s="36"/>
      <c r="F2585" s="142"/>
      <c r="G2585" s="142"/>
      <c r="H2585" s="142"/>
      <c r="I2585" s="142"/>
      <c r="J2585" s="142"/>
    </row>
    <row r="2586" spans="1:10" x14ac:dyDescent="0.25">
      <c r="A2586" s="28"/>
      <c r="B2586" s="180"/>
      <c r="C2586" s="35"/>
      <c r="D2586" s="36"/>
      <c r="E2586" s="36"/>
      <c r="F2586" s="142"/>
      <c r="G2586" s="142"/>
      <c r="H2586" s="142"/>
      <c r="I2586" s="142"/>
      <c r="J2586" s="142"/>
    </row>
    <row r="2587" spans="1:10" x14ac:dyDescent="0.25">
      <c r="A2587" s="28"/>
      <c r="B2587" s="180"/>
      <c r="C2587" s="35"/>
      <c r="D2587" s="36"/>
      <c r="E2587" s="36"/>
      <c r="F2587" s="142"/>
      <c r="G2587" s="142"/>
      <c r="H2587" s="142"/>
      <c r="I2587" s="142"/>
      <c r="J2587" s="142"/>
    </row>
    <row r="2588" spans="1:10" x14ac:dyDescent="0.25">
      <c r="A2588" s="28"/>
      <c r="B2588" s="180"/>
      <c r="C2588" s="35"/>
      <c r="D2588" s="36"/>
      <c r="E2588" s="36"/>
      <c r="F2588" s="142"/>
      <c r="G2588" s="142"/>
      <c r="H2588" s="142"/>
      <c r="I2588" s="142"/>
      <c r="J2588" s="142"/>
    </row>
    <row r="2589" spans="1:10" x14ac:dyDescent="0.25">
      <c r="A2589" s="28"/>
      <c r="B2589" s="180"/>
      <c r="C2589" s="35"/>
      <c r="D2589" s="36"/>
      <c r="E2589" s="36"/>
      <c r="F2589" s="142"/>
      <c r="G2589" s="142"/>
      <c r="H2589" s="142"/>
      <c r="I2589" s="142"/>
      <c r="J2589" s="142"/>
    </row>
    <row r="2590" spans="1:10" x14ac:dyDescent="0.25">
      <c r="A2590" s="28"/>
      <c r="B2590" s="180"/>
      <c r="C2590" s="35"/>
      <c r="D2590" s="36"/>
      <c r="E2590" s="36"/>
      <c r="F2590" s="142"/>
      <c r="G2590" s="142"/>
      <c r="H2590" s="142"/>
      <c r="I2590" s="142"/>
      <c r="J2590" s="142"/>
    </row>
    <row r="2591" spans="1:10" x14ac:dyDescent="0.25">
      <c r="A2591" s="28"/>
      <c r="B2591" s="180"/>
      <c r="C2591" s="35"/>
      <c r="D2591" s="36"/>
      <c r="E2591" s="36"/>
      <c r="F2591" s="142"/>
      <c r="G2591" s="142"/>
      <c r="H2591" s="142"/>
      <c r="I2591" s="142"/>
      <c r="J2591" s="142"/>
    </row>
    <row r="2592" spans="1:10" x14ac:dyDescent="0.25">
      <c r="A2592" s="28"/>
      <c r="B2592" s="180"/>
      <c r="C2592" s="35"/>
      <c r="D2592" s="36"/>
      <c r="E2592" s="36"/>
      <c r="F2592" s="142"/>
      <c r="G2592" s="142"/>
      <c r="H2592" s="142"/>
      <c r="I2592" s="142"/>
      <c r="J2592" s="142"/>
    </row>
    <row r="2593" spans="1:10" x14ac:dyDescent="0.25">
      <c r="A2593" s="28"/>
      <c r="B2593" s="180"/>
      <c r="C2593" s="35"/>
      <c r="D2593" s="36"/>
      <c r="E2593" s="36"/>
      <c r="F2593" s="142"/>
      <c r="G2593" s="142"/>
      <c r="H2593" s="142"/>
      <c r="I2593" s="142"/>
      <c r="J2593" s="142"/>
    </row>
    <row r="2594" spans="1:10" x14ac:dyDescent="0.25">
      <c r="A2594" s="28"/>
      <c r="B2594" s="180"/>
      <c r="C2594" s="35"/>
      <c r="D2594" s="36"/>
      <c r="E2594" s="36"/>
      <c r="F2594" s="142"/>
      <c r="G2594" s="142"/>
      <c r="H2594" s="142"/>
      <c r="I2594" s="142"/>
      <c r="J2594" s="142"/>
    </row>
    <row r="2595" spans="1:10" x14ac:dyDescent="0.25">
      <c r="A2595" s="28"/>
      <c r="B2595" s="180"/>
      <c r="C2595" s="35"/>
      <c r="D2595" s="36"/>
      <c r="E2595" s="36"/>
      <c r="F2595" s="142"/>
      <c r="G2595" s="142"/>
      <c r="H2595" s="142"/>
      <c r="I2595" s="142"/>
      <c r="J2595" s="142"/>
    </row>
    <row r="2596" spans="1:10" x14ac:dyDescent="0.25">
      <c r="A2596" s="28"/>
      <c r="B2596" s="180"/>
      <c r="C2596" s="35"/>
      <c r="D2596" s="36"/>
      <c r="E2596" s="36"/>
      <c r="F2596" s="142"/>
      <c r="G2596" s="142"/>
      <c r="H2596" s="142"/>
      <c r="I2596" s="142"/>
      <c r="J2596" s="142"/>
    </row>
    <row r="2597" spans="1:10" x14ac:dyDescent="0.25">
      <c r="A2597" s="28"/>
      <c r="B2597" s="180"/>
      <c r="C2597" s="35"/>
      <c r="D2597" s="36"/>
      <c r="E2597" s="36"/>
      <c r="F2597" s="142"/>
      <c r="G2597" s="142"/>
      <c r="H2597" s="142"/>
      <c r="I2597" s="142"/>
      <c r="J2597" s="142"/>
    </row>
    <row r="2598" spans="1:10" x14ac:dyDescent="0.25">
      <c r="A2598" s="28"/>
      <c r="B2598" s="180"/>
      <c r="C2598" s="35"/>
      <c r="D2598" s="36"/>
      <c r="E2598" s="36"/>
      <c r="F2598" s="142"/>
      <c r="G2598" s="142"/>
      <c r="H2598" s="142"/>
      <c r="I2598" s="142"/>
      <c r="J2598" s="142"/>
    </row>
    <row r="2599" spans="1:10" x14ac:dyDescent="0.25">
      <c r="A2599" s="28"/>
      <c r="B2599" s="180"/>
      <c r="C2599" s="35"/>
      <c r="D2599" s="36"/>
      <c r="E2599" s="36"/>
      <c r="F2599" s="142"/>
      <c r="G2599" s="142"/>
      <c r="H2599" s="142"/>
      <c r="I2599" s="142"/>
      <c r="J2599" s="142"/>
    </row>
    <row r="2600" spans="1:10" x14ac:dyDescent="0.25">
      <c r="A2600" s="28"/>
      <c r="B2600" s="180"/>
      <c r="C2600" s="35"/>
      <c r="D2600" s="36"/>
      <c r="E2600" s="36"/>
      <c r="F2600" s="142"/>
      <c r="G2600" s="142"/>
      <c r="H2600" s="142"/>
      <c r="I2600" s="142"/>
      <c r="J2600" s="142"/>
    </row>
    <row r="2601" spans="1:10" x14ac:dyDescent="0.25">
      <c r="A2601" s="28"/>
      <c r="B2601" s="180"/>
      <c r="C2601" s="35"/>
      <c r="D2601" s="36"/>
      <c r="E2601" s="36"/>
      <c r="F2601" s="142"/>
      <c r="G2601" s="142"/>
      <c r="H2601" s="142"/>
      <c r="I2601" s="142"/>
      <c r="J2601" s="142"/>
    </row>
    <row r="2602" spans="1:10" x14ac:dyDescent="0.25">
      <c r="A2602" s="28"/>
      <c r="B2602" s="180"/>
      <c r="C2602" s="35"/>
      <c r="D2602" s="36"/>
      <c r="E2602" s="36"/>
      <c r="F2602" s="142"/>
      <c r="G2602" s="142"/>
      <c r="H2602" s="142"/>
      <c r="I2602" s="142"/>
      <c r="J2602" s="142"/>
    </row>
    <row r="2603" spans="1:10" x14ac:dyDescent="0.25">
      <c r="A2603" s="28"/>
      <c r="B2603" s="180"/>
      <c r="C2603" s="35"/>
      <c r="D2603" s="36"/>
      <c r="E2603" s="36"/>
      <c r="F2603" s="142"/>
      <c r="G2603" s="142"/>
      <c r="H2603" s="142"/>
      <c r="I2603" s="142"/>
      <c r="J2603" s="142"/>
    </row>
    <row r="2604" spans="1:10" x14ac:dyDescent="0.25">
      <c r="A2604" s="28"/>
      <c r="B2604" s="180"/>
      <c r="C2604" s="35"/>
      <c r="D2604" s="36"/>
      <c r="E2604" s="36"/>
      <c r="F2604" s="142"/>
      <c r="G2604" s="142"/>
      <c r="H2604" s="142"/>
      <c r="I2604" s="142"/>
      <c r="J2604" s="142"/>
    </row>
    <row r="2605" spans="1:10" x14ac:dyDescent="0.25">
      <c r="A2605" s="28"/>
      <c r="B2605" s="180"/>
      <c r="C2605" s="35"/>
      <c r="D2605" s="36"/>
      <c r="E2605" s="36"/>
      <c r="F2605" s="142"/>
      <c r="G2605" s="142"/>
      <c r="H2605" s="142"/>
      <c r="I2605" s="142"/>
      <c r="J2605" s="142"/>
    </row>
    <row r="2606" spans="1:10" x14ac:dyDescent="0.25">
      <c r="A2606" s="28"/>
      <c r="B2606" s="180"/>
      <c r="C2606" s="35"/>
      <c r="D2606" s="36"/>
      <c r="E2606" s="36"/>
      <c r="F2606" s="142"/>
      <c r="G2606" s="142"/>
      <c r="H2606" s="142"/>
      <c r="I2606" s="142"/>
      <c r="J2606" s="142"/>
    </row>
    <row r="2607" spans="1:10" x14ac:dyDescent="0.25">
      <c r="A2607" s="28"/>
      <c r="B2607" s="180"/>
      <c r="C2607" s="35"/>
      <c r="D2607" s="36"/>
      <c r="E2607" s="36"/>
      <c r="F2607" s="142"/>
      <c r="G2607" s="142"/>
      <c r="H2607" s="142"/>
      <c r="I2607" s="142"/>
      <c r="J2607" s="142"/>
    </row>
    <row r="2608" spans="1:10" x14ac:dyDescent="0.25">
      <c r="A2608" s="28"/>
      <c r="B2608" s="180"/>
      <c r="C2608" s="35"/>
      <c r="D2608" s="36"/>
      <c r="E2608" s="36"/>
      <c r="F2608" s="142"/>
      <c r="G2608" s="142"/>
      <c r="H2608" s="142"/>
      <c r="I2608" s="142"/>
      <c r="J2608" s="142"/>
    </row>
    <row r="2609" spans="1:10" x14ac:dyDescent="0.25">
      <c r="A2609" s="28"/>
      <c r="B2609" s="180"/>
      <c r="C2609" s="35"/>
      <c r="D2609" s="36"/>
      <c r="E2609" s="36"/>
      <c r="F2609" s="142"/>
      <c r="G2609" s="142"/>
      <c r="H2609" s="142"/>
      <c r="I2609" s="142"/>
      <c r="J2609" s="142"/>
    </row>
    <row r="2610" spans="1:10" x14ac:dyDescent="0.25">
      <c r="A2610" s="28"/>
      <c r="B2610" s="180"/>
      <c r="C2610" s="35"/>
      <c r="D2610" s="36"/>
      <c r="E2610" s="36"/>
      <c r="F2610" s="142"/>
      <c r="G2610" s="142"/>
      <c r="H2610" s="142"/>
      <c r="I2610" s="142"/>
      <c r="J2610" s="142"/>
    </row>
    <row r="2611" spans="1:10" x14ac:dyDescent="0.25">
      <c r="A2611" s="28"/>
      <c r="B2611" s="180"/>
      <c r="C2611" s="35"/>
      <c r="D2611" s="36"/>
      <c r="E2611" s="36"/>
      <c r="F2611" s="142"/>
      <c r="G2611" s="142"/>
      <c r="H2611" s="142"/>
      <c r="I2611" s="142"/>
      <c r="J2611" s="142"/>
    </row>
    <row r="2612" spans="1:10" x14ac:dyDescent="0.25">
      <c r="A2612" s="28"/>
      <c r="B2612" s="180"/>
      <c r="C2612" s="35"/>
      <c r="D2612" s="36"/>
      <c r="E2612" s="36"/>
      <c r="F2612" s="142"/>
      <c r="G2612" s="142"/>
      <c r="H2612" s="142"/>
      <c r="I2612" s="142"/>
      <c r="J2612" s="142"/>
    </row>
    <row r="2613" spans="1:10" x14ac:dyDescent="0.25">
      <c r="A2613" s="28"/>
      <c r="B2613" s="180"/>
      <c r="C2613" s="35"/>
      <c r="D2613" s="36"/>
      <c r="E2613" s="36"/>
    </row>
    <row r="2614" spans="1:10" x14ac:dyDescent="0.25">
      <c r="A2614" s="28"/>
      <c r="B2614" s="180"/>
      <c r="C2614" s="35"/>
      <c r="D2614" s="36"/>
      <c r="E2614" s="36"/>
    </row>
    <row r="2615" spans="1:10" x14ac:dyDescent="0.25">
      <c r="A2615" s="28"/>
      <c r="B2615" s="180"/>
      <c r="C2615" s="35"/>
      <c r="D2615" s="36"/>
      <c r="E2615" s="36"/>
    </row>
    <row r="2616" spans="1:10" x14ac:dyDescent="0.25">
      <c r="A2616" s="28"/>
      <c r="B2616" s="180"/>
      <c r="C2616" s="35"/>
      <c r="D2616" s="36"/>
      <c r="E2616" s="36"/>
    </row>
    <row r="2617" spans="1:10" x14ac:dyDescent="0.25">
      <c r="A2617" s="28"/>
      <c r="B2617" s="180"/>
      <c r="C2617" s="35"/>
      <c r="D2617" s="36"/>
      <c r="E2617" s="36"/>
    </row>
    <row r="2618" spans="1:10" x14ac:dyDescent="0.25">
      <c r="A2618" s="28"/>
      <c r="B2618" s="180"/>
      <c r="C2618" s="35"/>
      <c r="D2618" s="36"/>
      <c r="E2618" s="36"/>
    </row>
    <row r="2619" spans="1:10" x14ac:dyDescent="0.25">
      <c r="A2619" s="28"/>
      <c r="B2619" s="180"/>
      <c r="C2619" s="35"/>
      <c r="D2619" s="36"/>
      <c r="E2619" s="36"/>
    </row>
    <row r="2620" spans="1:10" x14ac:dyDescent="0.25">
      <c r="A2620" s="28"/>
      <c r="B2620" s="180"/>
      <c r="C2620" s="35"/>
      <c r="D2620" s="36"/>
      <c r="E2620" s="36"/>
    </row>
    <row r="2621" spans="1:10" x14ac:dyDescent="0.25">
      <c r="A2621" s="28"/>
      <c r="B2621" s="180"/>
      <c r="C2621" s="35"/>
      <c r="D2621" s="36"/>
      <c r="E2621" s="36"/>
    </row>
    <row r="2622" spans="1:10" x14ac:dyDescent="0.25">
      <c r="A2622" s="28"/>
      <c r="B2622" s="180"/>
      <c r="C2622" s="35"/>
      <c r="D2622" s="36"/>
      <c r="E2622" s="36"/>
    </row>
    <row r="2623" spans="1:10" x14ac:dyDescent="0.25">
      <c r="A2623" s="28"/>
      <c r="B2623" s="180"/>
      <c r="C2623" s="35"/>
      <c r="D2623" s="36"/>
      <c r="E2623" s="36"/>
    </row>
    <row r="2624" spans="1:10" x14ac:dyDescent="0.25">
      <c r="A2624" s="28"/>
      <c r="B2624" s="180"/>
      <c r="C2624" s="35"/>
      <c r="D2624" s="36"/>
      <c r="E2624" s="36"/>
    </row>
    <row r="2625" spans="1:5" x14ac:dyDescent="0.25">
      <c r="A2625" s="28"/>
      <c r="B2625" s="180"/>
      <c r="C2625" s="35"/>
      <c r="D2625" s="36"/>
      <c r="E2625" s="36"/>
    </row>
    <row r="2626" spans="1:5" x14ac:dyDescent="0.25">
      <c r="A2626" s="28"/>
      <c r="B2626" s="180"/>
      <c r="C2626" s="35"/>
      <c r="D2626" s="36"/>
      <c r="E2626" s="36"/>
    </row>
    <row r="2627" spans="1:5" x14ac:dyDescent="0.25">
      <c r="A2627" s="28"/>
      <c r="B2627" s="180"/>
      <c r="C2627" s="35"/>
      <c r="D2627" s="36"/>
      <c r="E2627" s="36"/>
    </row>
    <row r="2628" spans="1:5" x14ac:dyDescent="0.25">
      <c r="A2628" s="28"/>
      <c r="B2628" s="180"/>
      <c r="C2628" s="35"/>
      <c r="D2628" s="36"/>
      <c r="E2628" s="36"/>
    </row>
    <row r="2629" spans="1:5" x14ac:dyDescent="0.25">
      <c r="A2629" s="28"/>
      <c r="B2629" s="180"/>
      <c r="C2629" s="35"/>
      <c r="D2629" s="36"/>
      <c r="E2629" s="36"/>
    </row>
    <row r="2630" spans="1:5" x14ac:dyDescent="0.25">
      <c r="A2630" s="28"/>
      <c r="B2630" s="180"/>
      <c r="C2630" s="35"/>
      <c r="D2630" s="36"/>
      <c r="E2630" s="36"/>
    </row>
    <row r="2631" spans="1:5" x14ac:dyDescent="0.25">
      <c r="A2631" s="28"/>
      <c r="B2631" s="180"/>
      <c r="C2631" s="35"/>
      <c r="D2631" s="36"/>
      <c r="E2631" s="36"/>
    </row>
    <row r="2632" spans="1:5" x14ac:dyDescent="0.25">
      <c r="A2632" s="28"/>
      <c r="B2632" s="180"/>
      <c r="C2632" s="35"/>
      <c r="D2632" s="36"/>
      <c r="E2632" s="36"/>
    </row>
    <row r="2633" spans="1:5" x14ac:dyDescent="0.25">
      <c r="A2633" s="28"/>
      <c r="B2633" s="180"/>
      <c r="C2633" s="35"/>
      <c r="D2633" s="36"/>
      <c r="E2633" s="36"/>
    </row>
    <row r="2634" spans="1:5" x14ac:dyDescent="0.25">
      <c r="A2634" s="28"/>
      <c r="B2634" s="180"/>
      <c r="C2634" s="35"/>
      <c r="D2634" s="36"/>
      <c r="E2634" s="36"/>
    </row>
    <row r="2635" spans="1:5" x14ac:dyDescent="0.25">
      <c r="A2635" s="28"/>
      <c r="B2635" s="180"/>
      <c r="C2635" s="35"/>
      <c r="D2635" s="36"/>
      <c r="E2635" s="36"/>
    </row>
    <row r="2636" spans="1:5" x14ac:dyDescent="0.25">
      <c r="A2636" s="28"/>
      <c r="B2636" s="180"/>
      <c r="C2636" s="35"/>
      <c r="D2636" s="36"/>
      <c r="E2636" s="36"/>
    </row>
    <row r="2637" spans="1:5" x14ac:dyDescent="0.25">
      <c r="A2637" s="28"/>
      <c r="B2637" s="180"/>
      <c r="C2637" s="35"/>
      <c r="D2637" s="36"/>
      <c r="E2637" s="36"/>
    </row>
    <row r="2638" spans="1:5" x14ac:dyDescent="0.25">
      <c r="A2638" s="28"/>
      <c r="B2638" s="180"/>
      <c r="C2638" s="35"/>
      <c r="D2638" s="36"/>
      <c r="E2638" s="36"/>
    </row>
    <row r="2639" spans="1:5" x14ac:dyDescent="0.25">
      <c r="A2639" s="28"/>
      <c r="B2639" s="180"/>
      <c r="C2639" s="35"/>
      <c r="D2639" s="36"/>
      <c r="E2639" s="36"/>
    </row>
    <row r="2640" spans="1:5" x14ac:dyDescent="0.25">
      <c r="A2640" s="28"/>
      <c r="B2640" s="180"/>
      <c r="C2640" s="35"/>
      <c r="D2640" s="36"/>
      <c r="E2640" s="36"/>
    </row>
    <row r="2641" spans="1:5" x14ac:dyDescent="0.25">
      <c r="A2641" s="28"/>
      <c r="B2641" s="180"/>
      <c r="C2641" s="35"/>
      <c r="D2641" s="36"/>
      <c r="E2641" s="36"/>
    </row>
    <row r="2642" spans="1:5" x14ac:dyDescent="0.25">
      <c r="A2642" s="28"/>
      <c r="B2642" s="180"/>
      <c r="C2642" s="35"/>
      <c r="D2642" s="36"/>
      <c r="E2642" s="36"/>
    </row>
    <row r="2643" spans="1:5" x14ac:dyDescent="0.25">
      <c r="A2643" s="28"/>
      <c r="B2643" s="180"/>
      <c r="C2643" s="35"/>
      <c r="D2643" s="36"/>
      <c r="E2643" s="36"/>
    </row>
    <row r="2644" spans="1:5" x14ac:dyDescent="0.25">
      <c r="A2644" s="28"/>
      <c r="B2644" s="180"/>
      <c r="C2644" s="35"/>
      <c r="D2644" s="36"/>
      <c r="E2644" s="36"/>
    </row>
    <row r="2645" spans="1:5" x14ac:dyDescent="0.25">
      <c r="A2645" s="28"/>
      <c r="B2645" s="180"/>
      <c r="C2645" s="35"/>
      <c r="D2645" s="36"/>
      <c r="E2645" s="36"/>
    </row>
    <row r="2646" spans="1:5" x14ac:dyDescent="0.25">
      <c r="A2646" s="28"/>
      <c r="B2646" s="180"/>
      <c r="C2646" s="35"/>
      <c r="D2646" s="36"/>
      <c r="E2646" s="36"/>
    </row>
    <row r="2647" spans="1:5" x14ac:dyDescent="0.25">
      <c r="A2647" s="28"/>
      <c r="B2647" s="180"/>
      <c r="C2647" s="35"/>
      <c r="D2647" s="36"/>
      <c r="E2647" s="36"/>
    </row>
    <row r="2648" spans="1:5" x14ac:dyDescent="0.25">
      <c r="A2648" s="28"/>
      <c r="B2648" s="180"/>
      <c r="C2648" s="35"/>
      <c r="D2648" s="36"/>
      <c r="E2648" s="36"/>
    </row>
    <row r="2649" spans="1:5" x14ac:dyDescent="0.25">
      <c r="A2649" s="28"/>
      <c r="B2649" s="180"/>
      <c r="C2649" s="35"/>
      <c r="D2649" s="36"/>
      <c r="E2649" s="36"/>
    </row>
    <row r="2650" spans="1:5" x14ac:dyDescent="0.25">
      <c r="A2650" s="28"/>
      <c r="B2650" s="180"/>
      <c r="C2650" s="35"/>
      <c r="D2650" s="36"/>
      <c r="E2650" s="36"/>
    </row>
    <row r="2651" spans="1:5" x14ac:dyDescent="0.25">
      <c r="A2651" s="28"/>
      <c r="B2651" s="180"/>
      <c r="C2651" s="35"/>
      <c r="D2651" s="36"/>
      <c r="E2651" s="36"/>
    </row>
    <row r="2652" spans="1:5" x14ac:dyDescent="0.25">
      <c r="A2652" s="28"/>
      <c r="B2652" s="180"/>
      <c r="C2652" s="35"/>
      <c r="D2652" s="36"/>
      <c r="E2652" s="36"/>
    </row>
    <row r="2653" spans="1:5" x14ac:dyDescent="0.25">
      <c r="A2653" s="28"/>
      <c r="B2653" s="180"/>
      <c r="C2653" s="35"/>
      <c r="D2653" s="36"/>
      <c r="E2653" s="36"/>
    </row>
    <row r="2654" spans="1:5" x14ac:dyDescent="0.25">
      <c r="A2654" s="28"/>
      <c r="B2654" s="180"/>
      <c r="C2654" s="35"/>
      <c r="D2654" s="36"/>
      <c r="E2654" s="36"/>
    </row>
    <row r="2655" spans="1:5" x14ac:dyDescent="0.25">
      <c r="A2655" s="28"/>
      <c r="B2655" s="180"/>
      <c r="C2655" s="35"/>
      <c r="D2655" s="36"/>
      <c r="E2655" s="36"/>
    </row>
    <row r="2656" spans="1:5" x14ac:dyDescent="0.25">
      <c r="A2656" s="28"/>
      <c r="B2656" s="180"/>
      <c r="C2656" s="35"/>
      <c r="D2656" s="36"/>
      <c r="E2656" s="36"/>
    </row>
    <row r="2657" spans="1:5" x14ac:dyDescent="0.25">
      <c r="A2657" s="28"/>
      <c r="B2657" s="180"/>
      <c r="C2657" s="35"/>
      <c r="D2657" s="36"/>
      <c r="E2657" s="36"/>
    </row>
    <row r="2658" spans="1:5" x14ac:dyDescent="0.25">
      <c r="A2658" s="28"/>
      <c r="B2658" s="180"/>
      <c r="C2658" s="35"/>
      <c r="D2658" s="36"/>
      <c r="E2658" s="36"/>
    </row>
    <row r="2659" spans="1:5" x14ac:dyDescent="0.25">
      <c r="A2659" s="28"/>
      <c r="B2659" s="180"/>
      <c r="C2659" s="35"/>
      <c r="D2659" s="36"/>
      <c r="E2659" s="36"/>
    </row>
    <row r="2660" spans="1:5" x14ac:dyDescent="0.25">
      <c r="A2660" s="28"/>
      <c r="B2660" s="180"/>
      <c r="C2660" s="35"/>
      <c r="D2660" s="36"/>
      <c r="E2660" s="36"/>
    </row>
    <row r="2661" spans="1:5" x14ac:dyDescent="0.25">
      <c r="A2661" s="28"/>
      <c r="B2661" s="180"/>
      <c r="C2661" s="35"/>
      <c r="D2661" s="36"/>
      <c r="E2661" s="36"/>
    </row>
    <row r="2662" spans="1:5" x14ac:dyDescent="0.25">
      <c r="A2662" s="28"/>
      <c r="B2662" s="180"/>
      <c r="C2662" s="35"/>
      <c r="D2662" s="36"/>
      <c r="E2662" s="36"/>
    </row>
    <row r="2663" spans="1:5" x14ac:dyDescent="0.25">
      <c r="A2663" s="28"/>
      <c r="B2663" s="180"/>
      <c r="C2663" s="35"/>
      <c r="D2663" s="36"/>
      <c r="E2663" s="36"/>
    </row>
    <row r="2664" spans="1:5" x14ac:dyDescent="0.25">
      <c r="A2664" s="28"/>
      <c r="B2664" s="180"/>
      <c r="C2664" s="35"/>
      <c r="D2664" s="36"/>
      <c r="E2664" s="36"/>
    </row>
    <row r="2665" spans="1:5" x14ac:dyDescent="0.25">
      <c r="A2665" s="28"/>
      <c r="B2665" s="180"/>
      <c r="C2665" s="35"/>
      <c r="D2665" s="36"/>
      <c r="E2665" s="36"/>
    </row>
    <row r="2666" spans="1:5" x14ac:dyDescent="0.25">
      <c r="A2666" s="28"/>
      <c r="B2666" s="180"/>
      <c r="C2666" s="35"/>
      <c r="D2666" s="36"/>
      <c r="E2666" s="36"/>
    </row>
    <row r="2667" spans="1:5" x14ac:dyDescent="0.25">
      <c r="A2667" s="28"/>
      <c r="B2667" s="180"/>
      <c r="C2667" s="35"/>
      <c r="D2667" s="36"/>
      <c r="E2667" s="36"/>
    </row>
    <row r="2668" spans="1:5" x14ac:dyDescent="0.25">
      <c r="A2668" s="28"/>
      <c r="B2668" s="180"/>
      <c r="C2668" s="35"/>
      <c r="D2668" s="36"/>
      <c r="E2668" s="36"/>
    </row>
    <row r="2669" spans="1:5" x14ac:dyDescent="0.25">
      <c r="A2669" s="28"/>
      <c r="B2669" s="180"/>
      <c r="C2669" s="35"/>
      <c r="D2669" s="36"/>
      <c r="E2669" s="36"/>
    </row>
    <row r="2670" spans="1:5" x14ac:dyDescent="0.25">
      <c r="A2670" s="28"/>
      <c r="B2670" s="180"/>
      <c r="C2670" s="35"/>
      <c r="D2670" s="36"/>
      <c r="E2670" s="36"/>
    </row>
    <row r="2671" spans="1:5" x14ac:dyDescent="0.25">
      <c r="A2671" s="28"/>
      <c r="B2671" s="180"/>
      <c r="C2671" s="35"/>
      <c r="D2671" s="36"/>
      <c r="E2671" s="36"/>
    </row>
    <row r="2672" spans="1:5" x14ac:dyDescent="0.25">
      <c r="A2672" s="28"/>
      <c r="B2672" s="180"/>
      <c r="C2672" s="35"/>
      <c r="D2672" s="36"/>
      <c r="E2672" s="36"/>
    </row>
    <row r="2673" spans="1:5" x14ac:dyDescent="0.25">
      <c r="A2673" s="28"/>
      <c r="B2673" s="180"/>
      <c r="C2673" s="35"/>
      <c r="D2673" s="36"/>
      <c r="E2673" s="36"/>
    </row>
    <row r="2674" spans="1:5" x14ac:dyDescent="0.25">
      <c r="A2674" s="28"/>
      <c r="B2674" s="180"/>
      <c r="C2674" s="35"/>
      <c r="D2674" s="36"/>
      <c r="E2674" s="36"/>
    </row>
    <row r="2675" spans="1:5" x14ac:dyDescent="0.25">
      <c r="A2675" s="28"/>
      <c r="B2675" s="180"/>
      <c r="C2675" s="35"/>
      <c r="D2675" s="36"/>
      <c r="E2675" s="36"/>
    </row>
    <row r="2676" spans="1:5" x14ac:dyDescent="0.25">
      <c r="A2676" s="28"/>
      <c r="B2676" s="180"/>
      <c r="C2676" s="35"/>
      <c r="D2676" s="36"/>
      <c r="E2676" s="36"/>
    </row>
    <row r="2677" spans="1:5" x14ac:dyDescent="0.25">
      <c r="A2677" s="28"/>
      <c r="B2677" s="180"/>
      <c r="C2677" s="35"/>
      <c r="D2677" s="36"/>
      <c r="E2677" s="36"/>
    </row>
    <row r="2678" spans="1:5" x14ac:dyDescent="0.25">
      <c r="A2678" s="28"/>
      <c r="B2678" s="180"/>
      <c r="C2678" s="35"/>
      <c r="D2678" s="36"/>
      <c r="E2678" s="36"/>
    </row>
    <row r="2679" spans="1:5" x14ac:dyDescent="0.25">
      <c r="A2679" s="28"/>
      <c r="B2679" s="180"/>
      <c r="C2679" s="35"/>
      <c r="D2679" s="36"/>
      <c r="E2679" s="36"/>
    </row>
    <row r="2680" spans="1:5" x14ac:dyDescent="0.25">
      <c r="A2680" s="28"/>
      <c r="B2680" s="180"/>
      <c r="C2680" s="35"/>
      <c r="D2680" s="36"/>
      <c r="E2680" s="36"/>
    </row>
    <row r="2681" spans="1:5" x14ac:dyDescent="0.25">
      <c r="A2681" s="28"/>
      <c r="B2681" s="180"/>
      <c r="C2681" s="35"/>
      <c r="D2681" s="36"/>
      <c r="E2681" s="36"/>
    </row>
    <row r="2682" spans="1:5" x14ac:dyDescent="0.25">
      <c r="A2682" s="28"/>
      <c r="B2682" s="180"/>
      <c r="C2682" s="35"/>
      <c r="D2682" s="36"/>
      <c r="E2682" s="36"/>
    </row>
    <row r="2683" spans="1:5" x14ac:dyDescent="0.25">
      <c r="A2683" s="28"/>
      <c r="B2683" s="180"/>
      <c r="C2683" s="35"/>
      <c r="D2683" s="36"/>
      <c r="E2683" s="36"/>
    </row>
    <row r="2684" spans="1:5" x14ac:dyDescent="0.25">
      <c r="A2684" s="28"/>
      <c r="B2684" s="180"/>
      <c r="C2684" s="35"/>
      <c r="D2684" s="36"/>
      <c r="E2684" s="36"/>
    </row>
    <row r="2685" spans="1:5" x14ac:dyDescent="0.25">
      <c r="A2685" s="28"/>
      <c r="B2685" s="180"/>
      <c r="C2685" s="35"/>
      <c r="D2685" s="36"/>
      <c r="E2685" s="36"/>
    </row>
    <row r="2686" spans="1:5" x14ac:dyDescent="0.25">
      <c r="A2686" s="28"/>
      <c r="B2686" s="180"/>
      <c r="C2686" s="35"/>
      <c r="D2686" s="36"/>
      <c r="E2686" s="36"/>
    </row>
    <row r="2687" spans="1:5" x14ac:dyDescent="0.25">
      <c r="A2687" s="28"/>
      <c r="B2687" s="180"/>
      <c r="C2687" s="35"/>
      <c r="D2687" s="36"/>
      <c r="E2687" s="36"/>
    </row>
    <row r="2688" spans="1:5" x14ac:dyDescent="0.25">
      <c r="A2688" s="28"/>
      <c r="B2688" s="180"/>
      <c r="C2688" s="35"/>
      <c r="D2688" s="36"/>
      <c r="E2688" s="36"/>
    </row>
    <row r="2689" spans="1:5" x14ac:dyDescent="0.25">
      <c r="A2689" s="28"/>
      <c r="B2689" s="180"/>
      <c r="C2689" s="35"/>
      <c r="D2689" s="36"/>
      <c r="E2689" s="36"/>
    </row>
    <row r="2690" spans="1:5" x14ac:dyDescent="0.25">
      <c r="A2690" s="28"/>
      <c r="B2690" s="180"/>
      <c r="C2690" s="35"/>
      <c r="D2690" s="36"/>
      <c r="E2690" s="36"/>
    </row>
    <row r="2691" spans="1:5" x14ac:dyDescent="0.25">
      <c r="A2691" s="28"/>
      <c r="B2691" s="180"/>
      <c r="C2691" s="35"/>
      <c r="D2691" s="36"/>
      <c r="E2691" s="36"/>
    </row>
    <row r="2692" spans="1:5" x14ac:dyDescent="0.25">
      <c r="A2692" s="28"/>
      <c r="B2692" s="180"/>
      <c r="C2692" s="35"/>
      <c r="D2692" s="36"/>
      <c r="E2692" s="36"/>
    </row>
    <row r="2693" spans="1:5" x14ac:dyDescent="0.25">
      <c r="A2693" s="28"/>
      <c r="B2693" s="180"/>
      <c r="C2693" s="35"/>
      <c r="D2693" s="36"/>
      <c r="E2693" s="36"/>
    </row>
    <row r="2694" spans="1:5" x14ac:dyDescent="0.25">
      <c r="A2694" s="28"/>
      <c r="B2694" s="180"/>
      <c r="C2694" s="35"/>
      <c r="D2694" s="36"/>
      <c r="E2694" s="36"/>
    </row>
    <row r="2695" spans="1:5" x14ac:dyDescent="0.25">
      <c r="A2695" s="28"/>
      <c r="B2695" s="180"/>
      <c r="C2695" s="35"/>
      <c r="D2695" s="36"/>
      <c r="E2695" s="36"/>
    </row>
    <row r="2696" spans="1:5" x14ac:dyDescent="0.25">
      <c r="A2696" s="28"/>
      <c r="B2696" s="180"/>
      <c r="C2696" s="35"/>
      <c r="D2696" s="36"/>
      <c r="E2696" s="36"/>
    </row>
    <row r="2697" spans="1:5" x14ac:dyDescent="0.25">
      <c r="A2697" s="28"/>
      <c r="B2697" s="180"/>
      <c r="C2697" s="35"/>
      <c r="D2697" s="36"/>
      <c r="E2697" s="36"/>
    </row>
    <row r="2698" spans="1:5" x14ac:dyDescent="0.25">
      <c r="A2698" s="28"/>
      <c r="B2698" s="180"/>
      <c r="C2698" s="35"/>
      <c r="D2698" s="36"/>
      <c r="E2698" s="36"/>
    </row>
    <row r="2699" spans="1:5" x14ac:dyDescent="0.25">
      <c r="A2699" s="28"/>
      <c r="B2699" s="180"/>
      <c r="C2699" s="35"/>
      <c r="D2699" s="36"/>
      <c r="E2699" s="36"/>
    </row>
    <row r="2700" spans="1:5" x14ac:dyDescent="0.25">
      <c r="A2700" s="28"/>
      <c r="B2700" s="180"/>
      <c r="C2700" s="35"/>
      <c r="D2700" s="36"/>
      <c r="E2700" s="36"/>
    </row>
    <row r="2701" spans="1:5" x14ac:dyDescent="0.25">
      <c r="A2701" s="28"/>
      <c r="B2701" s="180"/>
      <c r="C2701" s="35"/>
      <c r="D2701" s="36"/>
      <c r="E2701" s="36"/>
    </row>
    <row r="2702" spans="1:5" x14ac:dyDescent="0.25">
      <c r="A2702" s="28"/>
      <c r="B2702" s="180"/>
      <c r="C2702" s="35"/>
      <c r="D2702" s="36"/>
      <c r="E2702" s="36"/>
    </row>
    <row r="2703" spans="1:5" x14ac:dyDescent="0.25">
      <c r="A2703" s="28"/>
      <c r="B2703" s="180"/>
      <c r="C2703" s="35"/>
      <c r="D2703" s="36"/>
      <c r="E2703" s="36"/>
    </row>
    <row r="2704" spans="1:5" x14ac:dyDescent="0.25">
      <c r="A2704" s="28"/>
      <c r="B2704" s="180"/>
      <c r="C2704" s="35"/>
      <c r="D2704" s="36"/>
      <c r="E2704" s="36"/>
    </row>
    <row r="2705" spans="1:5" x14ac:dyDescent="0.25">
      <c r="A2705" s="28"/>
      <c r="B2705" s="180"/>
      <c r="C2705" s="35"/>
      <c r="D2705" s="36"/>
      <c r="E2705" s="36"/>
    </row>
    <row r="2706" spans="1:5" x14ac:dyDescent="0.25">
      <c r="A2706" s="28"/>
      <c r="B2706" s="180"/>
      <c r="C2706" s="35"/>
      <c r="D2706" s="36"/>
      <c r="E2706" s="36"/>
    </row>
    <row r="2707" spans="1:5" x14ac:dyDescent="0.25">
      <c r="A2707" s="28"/>
      <c r="B2707" s="180"/>
      <c r="C2707" s="35"/>
      <c r="D2707" s="36"/>
      <c r="E2707" s="36"/>
    </row>
    <row r="2708" spans="1:5" x14ac:dyDescent="0.25">
      <c r="A2708" s="28"/>
      <c r="B2708" s="180"/>
      <c r="C2708" s="35"/>
      <c r="D2708" s="36"/>
      <c r="E2708" s="36"/>
    </row>
    <row r="2709" spans="1:5" x14ac:dyDescent="0.25">
      <c r="A2709" s="28"/>
      <c r="B2709" s="180"/>
      <c r="C2709" s="35"/>
      <c r="D2709" s="36"/>
      <c r="E2709" s="36"/>
    </row>
    <row r="2710" spans="1:5" x14ac:dyDescent="0.25">
      <c r="A2710" s="28"/>
      <c r="B2710" s="180"/>
      <c r="C2710" s="35"/>
      <c r="D2710" s="36"/>
      <c r="E2710" s="36"/>
    </row>
    <row r="2711" spans="1:5" x14ac:dyDescent="0.25">
      <c r="A2711" s="28"/>
      <c r="B2711" s="180"/>
      <c r="C2711" s="35"/>
      <c r="D2711" s="36"/>
      <c r="E2711" s="36"/>
    </row>
    <row r="2712" spans="1:5" x14ac:dyDescent="0.25">
      <c r="A2712" s="28"/>
      <c r="B2712" s="180"/>
      <c r="C2712" s="35"/>
      <c r="D2712" s="36"/>
      <c r="E2712" s="36"/>
    </row>
    <row r="2713" spans="1:5" x14ac:dyDescent="0.25">
      <c r="A2713" s="28"/>
      <c r="B2713" s="180"/>
      <c r="C2713" s="35"/>
      <c r="D2713" s="36"/>
      <c r="E2713" s="36"/>
    </row>
    <row r="2714" spans="1:5" x14ac:dyDescent="0.25">
      <c r="A2714" s="28"/>
      <c r="B2714" s="180"/>
      <c r="C2714" s="35"/>
      <c r="D2714" s="36"/>
      <c r="E2714" s="36"/>
    </row>
    <row r="2715" spans="1:5" x14ac:dyDescent="0.25">
      <c r="A2715" s="28"/>
      <c r="B2715" s="180"/>
      <c r="C2715" s="35"/>
      <c r="D2715" s="36"/>
      <c r="E2715" s="36"/>
    </row>
    <row r="2716" spans="1:5" x14ac:dyDescent="0.25">
      <c r="A2716" s="28"/>
      <c r="B2716" s="180"/>
      <c r="C2716" s="35"/>
      <c r="D2716" s="36"/>
      <c r="E2716" s="36"/>
    </row>
    <row r="2717" spans="1:5" x14ac:dyDescent="0.25">
      <c r="A2717" s="28"/>
      <c r="B2717" s="180"/>
      <c r="C2717" s="35"/>
      <c r="D2717" s="36"/>
      <c r="E2717" s="36"/>
    </row>
    <row r="2718" spans="1:5" x14ac:dyDescent="0.25">
      <c r="A2718" s="28"/>
      <c r="B2718" s="180"/>
      <c r="C2718" s="35"/>
      <c r="D2718" s="36"/>
      <c r="E2718" s="36"/>
    </row>
    <row r="2719" spans="1:5" x14ac:dyDescent="0.25">
      <c r="A2719" s="28"/>
      <c r="B2719" s="180"/>
      <c r="C2719" s="35"/>
      <c r="D2719" s="36"/>
      <c r="E2719" s="36"/>
    </row>
    <row r="2720" spans="1:5" x14ac:dyDescent="0.25">
      <c r="A2720" s="28"/>
      <c r="B2720" s="180"/>
      <c r="C2720" s="35"/>
      <c r="D2720" s="36"/>
      <c r="E2720" s="36"/>
    </row>
    <row r="2721" spans="1:5" x14ac:dyDescent="0.25">
      <c r="A2721" s="28"/>
      <c r="B2721" s="180"/>
      <c r="C2721" s="35"/>
      <c r="D2721" s="36"/>
      <c r="E2721" s="36"/>
    </row>
    <row r="2722" spans="1:5" x14ac:dyDescent="0.25">
      <c r="A2722" s="28"/>
      <c r="B2722" s="180"/>
      <c r="C2722" s="35"/>
      <c r="D2722" s="36"/>
      <c r="E2722" s="36"/>
    </row>
    <row r="2723" spans="1:5" x14ac:dyDescent="0.25">
      <c r="A2723" s="28"/>
      <c r="B2723" s="180"/>
      <c r="C2723" s="35"/>
      <c r="D2723" s="36"/>
      <c r="E2723" s="36"/>
    </row>
    <row r="2724" spans="1:5" x14ac:dyDescent="0.25">
      <c r="A2724" s="28"/>
      <c r="B2724" s="180"/>
      <c r="C2724" s="35"/>
      <c r="D2724" s="36"/>
      <c r="E2724" s="36"/>
    </row>
    <row r="2725" spans="1:5" x14ac:dyDescent="0.25">
      <c r="A2725" s="28"/>
      <c r="B2725" s="180"/>
      <c r="C2725" s="35"/>
      <c r="D2725" s="36"/>
      <c r="E2725" s="36"/>
    </row>
    <row r="2726" spans="1:5" x14ac:dyDescent="0.25">
      <c r="A2726" s="28"/>
      <c r="B2726" s="180"/>
      <c r="C2726" s="35"/>
      <c r="D2726" s="36"/>
      <c r="E2726" s="36"/>
    </row>
    <row r="2727" spans="1:5" x14ac:dyDescent="0.25">
      <c r="A2727" s="28"/>
      <c r="B2727" s="180"/>
      <c r="C2727" s="35"/>
      <c r="D2727" s="36"/>
      <c r="E2727" s="36"/>
    </row>
    <row r="2728" spans="1:5" x14ac:dyDescent="0.25">
      <c r="A2728" s="28"/>
      <c r="B2728" s="180"/>
      <c r="C2728" s="35"/>
      <c r="D2728" s="36"/>
      <c r="E2728" s="36"/>
    </row>
    <row r="2729" spans="1:5" x14ac:dyDescent="0.25">
      <c r="A2729" s="28"/>
      <c r="B2729" s="180"/>
      <c r="C2729" s="35"/>
      <c r="D2729" s="36"/>
      <c r="E2729" s="36"/>
    </row>
    <row r="2730" spans="1:5" x14ac:dyDescent="0.25">
      <c r="A2730" s="28"/>
      <c r="B2730" s="180"/>
      <c r="C2730" s="35"/>
      <c r="D2730" s="36"/>
      <c r="E2730" s="36"/>
    </row>
    <row r="2731" spans="1:5" x14ac:dyDescent="0.25">
      <c r="A2731" s="28"/>
      <c r="B2731" s="180"/>
      <c r="C2731" s="35"/>
      <c r="D2731" s="36"/>
      <c r="E2731" s="36"/>
    </row>
    <row r="2732" spans="1:5" x14ac:dyDescent="0.25">
      <c r="A2732" s="28"/>
      <c r="B2732" s="180"/>
      <c r="C2732" s="35"/>
      <c r="D2732" s="36"/>
      <c r="E2732" s="36"/>
    </row>
    <row r="2733" spans="1:5" x14ac:dyDescent="0.25">
      <c r="A2733" s="28"/>
      <c r="B2733" s="180"/>
      <c r="C2733" s="35"/>
      <c r="D2733" s="36"/>
      <c r="E2733" s="36"/>
    </row>
    <row r="2734" spans="1:5" x14ac:dyDescent="0.25">
      <c r="A2734" s="28"/>
      <c r="B2734" s="180"/>
      <c r="C2734" s="35"/>
      <c r="D2734" s="36"/>
      <c r="E2734" s="36"/>
    </row>
    <row r="2735" spans="1:5" x14ac:dyDescent="0.25">
      <c r="A2735" s="28"/>
      <c r="B2735" s="180"/>
      <c r="C2735" s="35"/>
      <c r="D2735" s="36"/>
      <c r="E2735" s="36"/>
    </row>
    <row r="2736" spans="1:5" x14ac:dyDescent="0.25">
      <c r="A2736" s="28"/>
      <c r="B2736" s="180"/>
      <c r="C2736" s="35"/>
      <c r="D2736" s="36"/>
      <c r="E2736" s="36"/>
    </row>
    <row r="2737" spans="1:5" x14ac:dyDescent="0.25">
      <c r="A2737" s="28"/>
      <c r="B2737" s="180"/>
      <c r="C2737" s="35"/>
      <c r="D2737" s="36"/>
      <c r="E2737" s="36"/>
    </row>
    <row r="2738" spans="1:5" x14ac:dyDescent="0.25">
      <c r="A2738" s="28"/>
      <c r="B2738" s="180"/>
      <c r="C2738" s="35"/>
      <c r="D2738" s="36"/>
      <c r="E2738" s="36"/>
    </row>
    <row r="2739" spans="1:5" x14ac:dyDescent="0.25">
      <c r="A2739" s="28"/>
      <c r="B2739" s="180"/>
      <c r="C2739" s="35"/>
      <c r="D2739" s="36"/>
      <c r="E2739" s="36"/>
    </row>
    <row r="2740" spans="1:5" x14ac:dyDescent="0.25">
      <c r="A2740" s="28"/>
      <c r="B2740" s="180"/>
      <c r="C2740" s="35"/>
      <c r="D2740" s="36"/>
      <c r="E2740" s="36"/>
    </row>
    <row r="2741" spans="1:5" x14ac:dyDescent="0.25">
      <c r="A2741" s="28"/>
      <c r="B2741" s="180"/>
      <c r="C2741" s="35"/>
      <c r="D2741" s="36"/>
      <c r="E2741" s="36"/>
    </row>
    <row r="2742" spans="1:5" x14ac:dyDescent="0.25">
      <c r="A2742" s="28"/>
      <c r="B2742" s="180"/>
      <c r="C2742" s="35"/>
      <c r="D2742" s="36"/>
      <c r="E2742" s="36"/>
    </row>
    <row r="2743" spans="1:5" x14ac:dyDescent="0.25">
      <c r="A2743" s="28"/>
      <c r="B2743" s="180"/>
      <c r="C2743" s="35"/>
      <c r="D2743" s="36"/>
      <c r="E2743" s="36"/>
    </row>
    <row r="2744" spans="1:5" x14ac:dyDescent="0.25">
      <c r="A2744" s="28"/>
      <c r="B2744" s="180"/>
      <c r="C2744" s="35"/>
      <c r="D2744" s="36"/>
      <c r="E2744" s="36"/>
    </row>
    <row r="2745" spans="1:5" x14ac:dyDescent="0.25">
      <c r="A2745" s="28"/>
      <c r="B2745" s="180"/>
      <c r="C2745" s="35"/>
      <c r="D2745" s="36"/>
      <c r="E2745" s="36"/>
    </row>
    <row r="2746" spans="1:5" x14ac:dyDescent="0.25">
      <c r="A2746" s="28"/>
      <c r="B2746" s="180"/>
      <c r="C2746" s="35"/>
      <c r="D2746" s="36"/>
      <c r="E2746" s="36"/>
    </row>
    <row r="2747" spans="1:5" x14ac:dyDescent="0.25">
      <c r="A2747" s="28"/>
      <c r="B2747" s="180"/>
      <c r="C2747" s="35"/>
      <c r="D2747" s="36"/>
      <c r="E2747" s="36"/>
    </row>
    <row r="2748" spans="1:5" x14ac:dyDescent="0.25">
      <c r="A2748" s="28"/>
      <c r="B2748" s="180"/>
      <c r="C2748" s="35"/>
      <c r="D2748" s="36"/>
      <c r="E2748" s="36"/>
    </row>
    <row r="2749" spans="1:5" x14ac:dyDescent="0.25">
      <c r="A2749" s="28"/>
      <c r="B2749" s="180"/>
      <c r="C2749" s="35"/>
      <c r="D2749" s="36"/>
      <c r="E2749" s="36"/>
    </row>
    <row r="2750" spans="1:5" x14ac:dyDescent="0.25">
      <c r="A2750" s="28"/>
      <c r="B2750" s="180"/>
      <c r="C2750" s="35"/>
      <c r="D2750" s="36"/>
      <c r="E2750" s="36"/>
    </row>
    <row r="2751" spans="1:5" x14ac:dyDescent="0.25">
      <c r="A2751" s="28"/>
      <c r="B2751" s="180"/>
      <c r="C2751" s="35"/>
      <c r="D2751" s="36"/>
      <c r="E2751" s="36"/>
    </row>
    <row r="2752" spans="1:5" x14ac:dyDescent="0.25">
      <c r="A2752" s="28"/>
      <c r="B2752" s="180"/>
      <c r="C2752" s="35"/>
      <c r="D2752" s="36"/>
      <c r="E2752" s="36"/>
    </row>
    <row r="2753" spans="1:5" x14ac:dyDescent="0.25">
      <c r="A2753" s="28"/>
      <c r="B2753" s="180"/>
      <c r="C2753" s="35"/>
      <c r="D2753" s="36"/>
      <c r="E2753" s="36"/>
    </row>
    <row r="2754" spans="1:5" x14ac:dyDescent="0.25">
      <c r="A2754" s="28"/>
      <c r="B2754" s="180"/>
      <c r="C2754" s="35"/>
      <c r="D2754" s="36"/>
      <c r="E2754" s="36"/>
    </row>
    <row r="2755" spans="1:5" x14ac:dyDescent="0.25">
      <c r="A2755" s="28"/>
      <c r="B2755" s="180"/>
      <c r="C2755" s="35"/>
      <c r="D2755" s="36"/>
      <c r="E2755" s="36"/>
    </row>
    <row r="2756" spans="1:5" x14ac:dyDescent="0.25">
      <c r="A2756" s="28"/>
      <c r="B2756" s="180"/>
      <c r="C2756" s="35"/>
      <c r="D2756" s="36"/>
      <c r="E2756" s="36"/>
    </row>
    <row r="2757" spans="1:5" x14ac:dyDescent="0.25">
      <c r="A2757" s="28"/>
      <c r="B2757" s="180"/>
      <c r="C2757" s="35"/>
      <c r="D2757" s="36"/>
      <c r="E2757" s="36"/>
    </row>
    <row r="2758" spans="1:5" x14ac:dyDescent="0.25">
      <c r="A2758" s="28"/>
      <c r="B2758" s="180"/>
      <c r="C2758" s="35"/>
      <c r="D2758" s="36"/>
      <c r="E2758" s="36"/>
    </row>
    <row r="2759" spans="1:5" x14ac:dyDescent="0.25">
      <c r="A2759" s="28"/>
      <c r="B2759" s="180"/>
      <c r="C2759" s="35"/>
      <c r="D2759" s="36"/>
      <c r="E2759" s="36"/>
    </row>
    <row r="2760" spans="1:5" x14ac:dyDescent="0.25">
      <c r="A2760" s="28"/>
      <c r="B2760" s="180"/>
      <c r="C2760" s="35"/>
      <c r="D2760" s="36"/>
      <c r="E2760" s="36"/>
    </row>
    <row r="2761" spans="1:5" x14ac:dyDescent="0.25">
      <c r="A2761" s="28"/>
      <c r="B2761" s="180"/>
      <c r="C2761" s="35"/>
      <c r="D2761" s="36"/>
      <c r="E2761" s="36"/>
    </row>
    <row r="2762" spans="1:5" x14ac:dyDescent="0.25">
      <c r="A2762" s="28"/>
      <c r="B2762" s="180"/>
      <c r="C2762" s="35"/>
      <c r="D2762" s="36"/>
      <c r="E2762" s="36"/>
    </row>
    <row r="2763" spans="1:5" x14ac:dyDescent="0.25">
      <c r="A2763" s="28"/>
      <c r="B2763" s="180"/>
      <c r="C2763" s="35"/>
      <c r="D2763" s="36"/>
      <c r="E2763" s="36"/>
    </row>
    <row r="2764" spans="1:5" x14ac:dyDescent="0.25">
      <c r="A2764" s="28"/>
      <c r="B2764" s="180"/>
      <c r="C2764" s="35"/>
      <c r="D2764" s="36"/>
      <c r="E2764" s="36"/>
    </row>
    <row r="2765" spans="1:5" x14ac:dyDescent="0.25">
      <c r="A2765" s="28"/>
      <c r="B2765" s="180"/>
      <c r="C2765" s="35"/>
      <c r="D2765" s="36"/>
      <c r="E2765" s="36"/>
    </row>
    <row r="2766" spans="1:5" x14ac:dyDescent="0.25">
      <c r="A2766" s="28"/>
      <c r="B2766" s="180"/>
      <c r="C2766" s="35"/>
      <c r="D2766" s="36"/>
      <c r="E2766" s="36"/>
    </row>
    <row r="2767" spans="1:5" x14ac:dyDescent="0.25">
      <c r="A2767" s="28"/>
      <c r="B2767" s="180"/>
      <c r="C2767" s="35"/>
      <c r="D2767" s="36"/>
      <c r="E2767" s="36"/>
    </row>
    <row r="2768" spans="1:5" x14ac:dyDescent="0.25">
      <c r="A2768" s="28"/>
      <c r="B2768" s="180"/>
      <c r="C2768" s="35"/>
      <c r="D2768" s="36"/>
      <c r="E2768" s="36"/>
    </row>
    <row r="2769" spans="1:5" x14ac:dyDescent="0.25">
      <c r="A2769" s="28"/>
      <c r="B2769" s="180"/>
      <c r="C2769" s="35"/>
      <c r="D2769" s="36"/>
      <c r="E2769" s="36"/>
    </row>
    <row r="2770" spans="1:5" x14ac:dyDescent="0.25">
      <c r="A2770" s="28"/>
      <c r="B2770" s="180"/>
      <c r="C2770" s="35"/>
      <c r="D2770" s="36"/>
      <c r="E2770" s="36"/>
    </row>
    <row r="2771" spans="1:5" x14ac:dyDescent="0.25">
      <c r="A2771" s="28"/>
      <c r="B2771" s="180"/>
      <c r="C2771" s="35"/>
      <c r="D2771" s="36"/>
      <c r="E2771" s="36"/>
    </row>
    <row r="2772" spans="1:5" x14ac:dyDescent="0.25">
      <c r="A2772" s="28"/>
      <c r="B2772" s="180"/>
      <c r="C2772" s="35"/>
      <c r="D2772" s="36"/>
      <c r="E2772" s="36"/>
    </row>
    <row r="2773" spans="1:5" x14ac:dyDescent="0.25">
      <c r="A2773" s="28"/>
      <c r="B2773" s="180"/>
      <c r="C2773" s="35"/>
      <c r="D2773" s="36"/>
      <c r="E2773" s="36"/>
    </row>
    <row r="2774" spans="1:5" x14ac:dyDescent="0.25">
      <c r="A2774" s="28"/>
      <c r="B2774" s="180"/>
      <c r="C2774" s="35"/>
      <c r="D2774" s="36"/>
      <c r="E2774" s="36"/>
    </row>
    <row r="2775" spans="1:5" x14ac:dyDescent="0.25">
      <c r="A2775" s="28"/>
      <c r="B2775" s="180"/>
      <c r="C2775" s="35"/>
      <c r="D2775" s="36"/>
      <c r="E2775" s="36"/>
    </row>
    <row r="2776" spans="1:5" x14ac:dyDescent="0.25">
      <c r="A2776" s="28"/>
      <c r="B2776" s="180"/>
      <c r="C2776" s="35"/>
      <c r="D2776" s="36"/>
      <c r="E2776" s="36"/>
    </row>
    <row r="2777" spans="1:5" x14ac:dyDescent="0.25">
      <c r="A2777" s="28"/>
      <c r="B2777" s="180"/>
      <c r="C2777" s="35"/>
      <c r="D2777" s="36"/>
      <c r="E2777" s="36"/>
    </row>
    <row r="2778" spans="1:5" x14ac:dyDescent="0.25">
      <c r="A2778" s="28"/>
      <c r="B2778" s="180"/>
      <c r="C2778" s="35"/>
      <c r="D2778" s="36"/>
      <c r="E2778" s="36"/>
    </row>
    <row r="2779" spans="1:5" x14ac:dyDescent="0.25">
      <c r="A2779" s="28"/>
      <c r="B2779" s="180"/>
      <c r="C2779" s="35"/>
      <c r="D2779" s="36"/>
      <c r="E2779" s="36"/>
    </row>
    <row r="2780" spans="1:5" x14ac:dyDescent="0.25">
      <c r="A2780" s="28"/>
      <c r="B2780" s="180"/>
      <c r="C2780" s="35"/>
      <c r="D2780" s="36"/>
      <c r="E2780" s="36"/>
    </row>
    <row r="2781" spans="1:5" x14ac:dyDescent="0.25">
      <c r="A2781" s="28"/>
      <c r="B2781" s="180"/>
      <c r="C2781" s="35"/>
      <c r="D2781" s="36"/>
      <c r="E2781" s="36"/>
    </row>
    <row r="2782" spans="1:5" x14ac:dyDescent="0.25">
      <c r="A2782" s="28"/>
      <c r="B2782" s="180"/>
      <c r="C2782" s="35"/>
      <c r="D2782" s="36"/>
      <c r="E2782" s="36"/>
    </row>
    <row r="2783" spans="1:5" x14ac:dyDescent="0.25">
      <c r="A2783" s="28"/>
      <c r="B2783" s="180"/>
      <c r="C2783" s="35"/>
      <c r="D2783" s="36"/>
      <c r="E2783" s="36"/>
    </row>
    <row r="2784" spans="1:5" x14ac:dyDescent="0.25">
      <c r="A2784" s="28"/>
      <c r="B2784" s="180"/>
      <c r="C2784" s="35"/>
      <c r="D2784" s="36"/>
      <c r="E2784" s="36"/>
    </row>
    <row r="2785" spans="1:5" x14ac:dyDescent="0.25">
      <c r="A2785" s="28"/>
      <c r="B2785" s="180"/>
      <c r="C2785" s="35"/>
      <c r="D2785" s="36"/>
      <c r="E2785" s="36"/>
    </row>
    <row r="2786" spans="1:5" x14ac:dyDescent="0.25">
      <c r="A2786" s="28"/>
      <c r="B2786" s="180"/>
      <c r="C2786" s="35"/>
      <c r="D2786" s="36"/>
      <c r="E2786" s="36"/>
    </row>
    <row r="2787" spans="1:5" x14ac:dyDescent="0.25">
      <c r="A2787" s="28"/>
      <c r="B2787" s="180"/>
      <c r="C2787" s="35"/>
      <c r="D2787" s="36"/>
      <c r="E2787" s="36"/>
    </row>
    <row r="2788" spans="1:5" x14ac:dyDescent="0.25">
      <c r="A2788" s="28"/>
      <c r="B2788" s="180"/>
      <c r="C2788" s="35"/>
      <c r="D2788" s="36"/>
      <c r="E2788" s="36"/>
    </row>
    <row r="2789" spans="1:5" x14ac:dyDescent="0.25">
      <c r="A2789" s="28"/>
      <c r="B2789" s="180"/>
      <c r="C2789" s="35"/>
      <c r="D2789" s="36"/>
      <c r="E2789" s="36"/>
    </row>
    <row r="2790" spans="1:5" x14ac:dyDescent="0.25">
      <c r="A2790" s="28"/>
      <c r="B2790" s="180"/>
      <c r="C2790" s="35"/>
      <c r="D2790" s="36"/>
      <c r="E2790" s="36"/>
    </row>
    <row r="2791" spans="1:5" x14ac:dyDescent="0.25">
      <c r="A2791" s="28"/>
      <c r="B2791" s="180"/>
      <c r="C2791" s="35"/>
      <c r="D2791" s="36"/>
      <c r="E2791" s="36"/>
    </row>
    <row r="2792" spans="1:5" x14ac:dyDescent="0.25">
      <c r="A2792" s="28"/>
      <c r="B2792" s="180"/>
      <c r="C2792" s="35"/>
      <c r="D2792" s="36"/>
      <c r="E2792" s="36"/>
    </row>
    <row r="2793" spans="1:5" x14ac:dyDescent="0.25">
      <c r="A2793" s="28"/>
      <c r="B2793" s="180"/>
      <c r="C2793" s="35"/>
      <c r="D2793" s="36"/>
      <c r="E2793" s="36"/>
    </row>
    <row r="2794" spans="1:5" x14ac:dyDescent="0.25">
      <c r="A2794" s="28"/>
      <c r="B2794" s="180"/>
      <c r="C2794" s="35"/>
      <c r="D2794" s="36"/>
      <c r="E2794" s="36"/>
    </row>
    <row r="2795" spans="1:5" x14ac:dyDescent="0.25">
      <c r="A2795" s="28"/>
      <c r="B2795" s="180"/>
      <c r="C2795" s="35"/>
      <c r="D2795" s="36"/>
      <c r="E2795" s="36"/>
    </row>
    <row r="2796" spans="1:5" x14ac:dyDescent="0.25">
      <c r="A2796" s="28"/>
      <c r="B2796" s="180"/>
      <c r="C2796" s="35"/>
      <c r="D2796" s="36"/>
      <c r="E2796" s="36"/>
    </row>
    <row r="2797" spans="1:5" x14ac:dyDescent="0.25">
      <c r="A2797" s="28"/>
      <c r="B2797" s="180"/>
      <c r="C2797" s="35"/>
      <c r="D2797" s="36"/>
      <c r="E2797" s="36"/>
    </row>
    <row r="2798" spans="1:5" x14ac:dyDescent="0.25">
      <c r="A2798" s="28"/>
      <c r="B2798" s="180"/>
      <c r="C2798" s="35"/>
      <c r="D2798" s="36"/>
      <c r="E2798" s="36"/>
    </row>
    <row r="2799" spans="1:5" x14ac:dyDescent="0.25">
      <c r="A2799" s="28"/>
      <c r="B2799" s="180"/>
      <c r="C2799" s="35"/>
      <c r="D2799" s="36"/>
      <c r="E2799" s="36"/>
    </row>
    <row r="2800" spans="1:5" x14ac:dyDescent="0.25">
      <c r="A2800" s="28"/>
      <c r="B2800" s="180"/>
      <c r="C2800" s="35"/>
      <c r="D2800" s="36"/>
      <c r="E2800" s="36"/>
    </row>
    <row r="2801" spans="1:5" x14ac:dyDescent="0.25">
      <c r="A2801" s="28"/>
      <c r="B2801" s="180"/>
      <c r="C2801" s="35"/>
      <c r="D2801" s="36"/>
      <c r="E2801" s="36"/>
    </row>
    <row r="2802" spans="1:5" x14ac:dyDescent="0.25">
      <c r="A2802" s="28"/>
      <c r="B2802" s="180"/>
      <c r="C2802" s="35"/>
      <c r="D2802" s="36"/>
      <c r="E2802" s="36"/>
    </row>
    <row r="2803" spans="1:5" x14ac:dyDescent="0.25">
      <c r="A2803" s="28"/>
      <c r="B2803" s="180"/>
      <c r="C2803" s="35"/>
      <c r="D2803" s="36"/>
      <c r="E2803" s="36"/>
    </row>
    <row r="2804" spans="1:5" x14ac:dyDescent="0.25">
      <c r="A2804" s="28"/>
      <c r="B2804" s="180"/>
      <c r="C2804" s="35"/>
      <c r="D2804" s="36"/>
      <c r="E2804" s="36"/>
    </row>
    <row r="2805" spans="1:5" x14ac:dyDescent="0.25">
      <c r="A2805" s="28"/>
      <c r="B2805" s="180"/>
      <c r="C2805" s="35"/>
      <c r="D2805" s="36"/>
      <c r="E2805" s="36"/>
    </row>
    <row r="2806" spans="1:5" x14ac:dyDescent="0.25">
      <c r="A2806" s="28"/>
      <c r="B2806" s="180"/>
      <c r="C2806" s="35"/>
      <c r="D2806" s="36"/>
      <c r="E2806" s="36"/>
    </row>
    <row r="2807" spans="1:5" x14ac:dyDescent="0.25">
      <c r="A2807" s="28"/>
      <c r="B2807" s="180"/>
      <c r="C2807" s="35"/>
      <c r="D2807" s="36"/>
      <c r="E2807" s="36"/>
    </row>
    <row r="2808" spans="1:5" x14ac:dyDescent="0.25">
      <c r="A2808" s="28"/>
      <c r="B2808" s="180"/>
      <c r="C2808" s="35"/>
      <c r="D2808" s="36"/>
      <c r="E2808" s="36"/>
    </row>
    <row r="2809" spans="1:5" x14ac:dyDescent="0.25">
      <c r="A2809" s="28"/>
      <c r="B2809" s="180"/>
      <c r="C2809" s="35"/>
      <c r="D2809" s="36"/>
      <c r="E2809" s="36"/>
    </row>
    <row r="2810" spans="1:5" x14ac:dyDescent="0.25">
      <c r="A2810" s="28"/>
      <c r="B2810" s="180"/>
      <c r="C2810" s="35"/>
      <c r="D2810" s="36"/>
      <c r="E2810" s="36"/>
    </row>
    <row r="2811" spans="1:5" x14ac:dyDescent="0.25">
      <c r="A2811" s="28"/>
      <c r="B2811" s="180"/>
      <c r="C2811" s="35"/>
      <c r="D2811" s="36"/>
      <c r="E2811" s="36"/>
    </row>
    <row r="2812" spans="1:5" x14ac:dyDescent="0.25">
      <c r="A2812" s="28"/>
      <c r="B2812" s="180"/>
      <c r="C2812" s="35"/>
      <c r="D2812" s="36"/>
      <c r="E2812" s="36"/>
    </row>
    <row r="2813" spans="1:5" x14ac:dyDescent="0.25">
      <c r="A2813" s="28"/>
      <c r="B2813" s="180"/>
      <c r="C2813" s="35"/>
      <c r="D2813" s="36"/>
      <c r="E2813" s="36"/>
    </row>
    <row r="2814" spans="1:5" x14ac:dyDescent="0.25">
      <c r="A2814" s="28"/>
      <c r="B2814" s="180"/>
      <c r="C2814" s="35"/>
      <c r="D2814" s="36"/>
      <c r="E2814" s="36"/>
    </row>
    <row r="2815" spans="1:5" x14ac:dyDescent="0.25">
      <c r="A2815" s="28"/>
      <c r="B2815" s="180"/>
      <c r="C2815" s="35"/>
      <c r="D2815" s="36"/>
      <c r="E2815" s="36"/>
    </row>
    <row r="2816" spans="1:5" x14ac:dyDescent="0.25">
      <c r="A2816" s="28"/>
      <c r="B2816" s="180"/>
      <c r="C2816" s="35"/>
      <c r="D2816" s="36"/>
      <c r="E2816" s="36"/>
    </row>
    <row r="2817" spans="1:5" x14ac:dyDescent="0.25">
      <c r="A2817" s="28"/>
      <c r="B2817" s="180"/>
      <c r="C2817" s="35"/>
      <c r="D2817" s="36"/>
      <c r="E2817" s="36"/>
    </row>
    <row r="2818" spans="1:5" x14ac:dyDescent="0.25">
      <c r="A2818" s="28"/>
      <c r="B2818" s="180"/>
      <c r="C2818" s="35"/>
      <c r="D2818" s="36"/>
      <c r="E2818" s="36"/>
    </row>
    <row r="2819" spans="1:5" x14ac:dyDescent="0.25">
      <c r="A2819" s="28"/>
      <c r="B2819" s="180"/>
      <c r="C2819" s="35"/>
      <c r="D2819" s="36"/>
      <c r="E2819" s="36"/>
    </row>
    <row r="2820" spans="1:5" x14ac:dyDescent="0.25">
      <c r="A2820" s="28"/>
      <c r="B2820" s="180"/>
      <c r="C2820" s="35"/>
      <c r="D2820" s="36"/>
      <c r="E2820" s="36"/>
    </row>
    <row r="2821" spans="1:5" x14ac:dyDescent="0.25">
      <c r="A2821" s="28"/>
      <c r="B2821" s="180"/>
      <c r="C2821" s="35"/>
      <c r="D2821" s="36"/>
      <c r="E2821" s="36"/>
    </row>
    <row r="2822" spans="1:5" x14ac:dyDescent="0.25">
      <c r="A2822" s="28"/>
      <c r="B2822" s="180"/>
      <c r="C2822" s="35"/>
      <c r="D2822" s="36"/>
      <c r="E2822" s="36"/>
    </row>
    <row r="2823" spans="1:5" x14ac:dyDescent="0.25">
      <c r="A2823" s="28"/>
      <c r="B2823" s="180"/>
      <c r="C2823" s="35"/>
      <c r="D2823" s="36"/>
      <c r="E2823" s="36"/>
    </row>
    <row r="2824" spans="1:5" x14ac:dyDescent="0.25">
      <c r="A2824" s="28"/>
      <c r="B2824" s="180"/>
      <c r="C2824" s="35"/>
      <c r="D2824" s="36"/>
      <c r="E2824" s="36"/>
    </row>
    <row r="2825" spans="1:5" x14ac:dyDescent="0.25">
      <c r="A2825" s="28"/>
      <c r="B2825" s="180"/>
      <c r="C2825" s="35"/>
      <c r="D2825" s="36"/>
      <c r="E2825" s="36"/>
    </row>
    <row r="2826" spans="1:5" x14ac:dyDescent="0.25">
      <c r="A2826" s="28"/>
      <c r="B2826" s="180"/>
      <c r="C2826" s="35"/>
      <c r="D2826" s="36"/>
      <c r="E2826" s="36"/>
    </row>
    <row r="2827" spans="1:5" x14ac:dyDescent="0.25">
      <c r="A2827" s="28"/>
      <c r="B2827" s="180"/>
      <c r="C2827" s="35"/>
      <c r="D2827" s="36"/>
      <c r="E2827" s="36"/>
    </row>
    <row r="2828" spans="1:5" x14ac:dyDescent="0.25">
      <c r="A2828" s="28"/>
      <c r="B2828" s="180"/>
      <c r="C2828" s="35"/>
      <c r="D2828" s="36"/>
      <c r="E2828" s="36"/>
    </row>
    <row r="2829" spans="1:5" x14ac:dyDescent="0.25">
      <c r="A2829" s="28"/>
      <c r="B2829" s="180"/>
      <c r="C2829" s="35"/>
      <c r="D2829" s="36"/>
      <c r="E2829" s="36"/>
    </row>
    <row r="2830" spans="1:5" x14ac:dyDescent="0.25">
      <c r="A2830" s="28"/>
      <c r="B2830" s="180"/>
      <c r="C2830" s="35"/>
      <c r="D2830" s="36"/>
      <c r="E2830" s="36"/>
    </row>
    <row r="2831" spans="1:5" x14ac:dyDescent="0.25">
      <c r="A2831" s="28"/>
      <c r="B2831" s="180"/>
      <c r="C2831" s="35"/>
      <c r="D2831" s="36"/>
      <c r="E2831" s="36"/>
    </row>
    <row r="2832" spans="1:5" x14ac:dyDescent="0.25">
      <c r="A2832" s="28"/>
      <c r="B2832" s="180"/>
      <c r="C2832" s="35"/>
      <c r="D2832" s="36"/>
      <c r="E2832" s="36"/>
    </row>
    <row r="2833" spans="1:5" x14ac:dyDescent="0.25">
      <c r="A2833" s="28"/>
      <c r="B2833" s="180"/>
      <c r="C2833" s="35"/>
      <c r="D2833" s="36"/>
      <c r="E2833" s="36"/>
    </row>
    <row r="2834" spans="1:5" x14ac:dyDescent="0.25">
      <c r="A2834" s="28"/>
      <c r="B2834" s="180"/>
      <c r="C2834" s="35"/>
      <c r="D2834" s="36"/>
      <c r="E2834" s="36"/>
    </row>
    <row r="2835" spans="1:5" x14ac:dyDescent="0.25">
      <c r="A2835" s="28"/>
      <c r="B2835" s="180"/>
      <c r="C2835" s="35"/>
      <c r="D2835" s="36"/>
      <c r="E2835" s="36"/>
    </row>
    <row r="2836" spans="1:5" x14ac:dyDescent="0.25">
      <c r="A2836" s="28"/>
      <c r="B2836" s="180"/>
      <c r="C2836" s="35"/>
      <c r="D2836" s="36"/>
      <c r="E2836" s="36"/>
    </row>
    <row r="2837" spans="1:5" x14ac:dyDescent="0.25">
      <c r="A2837" s="28"/>
      <c r="B2837" s="180"/>
      <c r="C2837" s="35"/>
      <c r="D2837" s="36"/>
      <c r="E2837" s="36"/>
    </row>
    <row r="2838" spans="1:5" x14ac:dyDescent="0.25">
      <c r="A2838" s="28"/>
      <c r="B2838" s="180"/>
      <c r="C2838" s="35"/>
      <c r="D2838" s="36"/>
      <c r="E2838" s="36"/>
    </row>
    <row r="2839" spans="1:5" x14ac:dyDescent="0.25">
      <c r="A2839" s="28"/>
      <c r="B2839" s="180"/>
      <c r="C2839" s="35"/>
      <c r="D2839" s="36"/>
      <c r="E2839" s="36"/>
    </row>
    <row r="2840" spans="1:5" x14ac:dyDescent="0.25">
      <c r="A2840" s="28"/>
      <c r="B2840" s="180"/>
      <c r="C2840" s="35"/>
      <c r="D2840" s="36"/>
      <c r="E2840" s="36"/>
    </row>
    <row r="2841" spans="1:5" x14ac:dyDescent="0.25">
      <c r="A2841" s="28"/>
      <c r="B2841" s="180"/>
      <c r="C2841" s="35"/>
      <c r="D2841" s="36"/>
      <c r="E2841" s="36"/>
    </row>
    <row r="2842" spans="1:5" x14ac:dyDescent="0.25">
      <c r="A2842" s="28"/>
      <c r="B2842" s="180"/>
      <c r="C2842" s="35"/>
      <c r="D2842" s="36"/>
      <c r="E2842" s="36"/>
    </row>
    <row r="2843" spans="1:5" x14ac:dyDescent="0.25">
      <c r="A2843" s="28"/>
      <c r="B2843" s="180"/>
      <c r="C2843" s="35"/>
      <c r="D2843" s="36"/>
      <c r="E2843" s="36"/>
    </row>
    <row r="2844" spans="1:5" x14ac:dyDescent="0.25">
      <c r="A2844" s="28"/>
      <c r="B2844" s="180"/>
      <c r="C2844" s="35"/>
      <c r="D2844" s="36"/>
      <c r="E2844" s="36"/>
    </row>
    <row r="2845" spans="1:5" x14ac:dyDescent="0.25">
      <c r="A2845" s="28"/>
      <c r="B2845" s="180"/>
      <c r="C2845" s="35"/>
      <c r="D2845" s="36"/>
      <c r="E2845" s="36"/>
    </row>
    <row r="2846" spans="1:5" x14ac:dyDescent="0.25">
      <c r="A2846" s="28"/>
      <c r="B2846" s="180"/>
      <c r="C2846" s="35"/>
      <c r="D2846" s="36"/>
      <c r="E2846" s="36"/>
    </row>
    <row r="2847" spans="1:5" x14ac:dyDescent="0.25">
      <c r="A2847" s="28"/>
      <c r="B2847" s="180"/>
      <c r="C2847" s="35"/>
      <c r="D2847" s="36"/>
      <c r="E2847" s="36"/>
    </row>
    <row r="2848" spans="1:5" x14ac:dyDescent="0.25">
      <c r="A2848" s="28"/>
      <c r="B2848" s="180"/>
      <c r="C2848" s="35"/>
      <c r="D2848" s="36"/>
      <c r="E2848" s="36"/>
    </row>
    <row r="2849" spans="1:5" x14ac:dyDescent="0.25">
      <c r="A2849" s="28"/>
      <c r="B2849" s="180"/>
      <c r="C2849" s="35"/>
      <c r="D2849" s="36"/>
      <c r="E2849" s="36"/>
    </row>
    <row r="2850" spans="1:5" x14ac:dyDescent="0.25">
      <c r="A2850" s="28"/>
      <c r="B2850" s="180"/>
      <c r="C2850" s="35"/>
      <c r="D2850" s="36"/>
      <c r="E2850" s="36"/>
    </row>
    <row r="2851" spans="1:5" x14ac:dyDescent="0.25">
      <c r="A2851" s="28"/>
      <c r="B2851" s="180"/>
      <c r="C2851" s="35"/>
      <c r="D2851" s="36"/>
      <c r="E2851" s="36"/>
    </row>
    <row r="2852" spans="1:5" x14ac:dyDescent="0.25">
      <c r="A2852" s="28"/>
      <c r="B2852" s="180"/>
      <c r="C2852" s="35"/>
      <c r="D2852" s="36"/>
      <c r="E2852" s="36"/>
    </row>
    <row r="2853" spans="1:5" x14ac:dyDescent="0.25">
      <c r="A2853" s="28"/>
      <c r="B2853" s="180"/>
      <c r="C2853" s="35"/>
      <c r="D2853" s="36"/>
      <c r="E2853" s="36"/>
    </row>
    <row r="2854" spans="1:5" x14ac:dyDescent="0.25">
      <c r="A2854" s="28"/>
      <c r="B2854" s="180"/>
      <c r="C2854" s="35"/>
      <c r="D2854" s="36"/>
      <c r="E2854" s="36"/>
    </row>
    <row r="2855" spans="1:5" x14ac:dyDescent="0.25">
      <c r="A2855" s="28"/>
      <c r="B2855" s="180"/>
      <c r="C2855" s="35"/>
      <c r="D2855" s="36"/>
      <c r="E2855" s="36"/>
    </row>
    <row r="2856" spans="1:5" x14ac:dyDescent="0.25">
      <c r="A2856" s="28"/>
      <c r="B2856" s="180"/>
      <c r="C2856" s="35"/>
      <c r="D2856" s="36"/>
      <c r="E2856" s="36"/>
    </row>
    <row r="2857" spans="1:5" x14ac:dyDescent="0.25">
      <c r="A2857" s="28"/>
      <c r="B2857" s="180"/>
      <c r="C2857" s="35"/>
      <c r="D2857" s="36"/>
      <c r="E2857" s="36"/>
    </row>
    <row r="2858" spans="1:5" x14ac:dyDescent="0.25">
      <c r="A2858" s="28"/>
      <c r="B2858" s="180"/>
      <c r="C2858" s="35"/>
      <c r="D2858" s="36"/>
      <c r="E2858" s="36"/>
    </row>
    <row r="2859" spans="1:5" x14ac:dyDescent="0.25">
      <c r="A2859" s="28"/>
      <c r="B2859" s="180"/>
      <c r="C2859" s="35"/>
      <c r="D2859" s="36"/>
      <c r="E2859" s="36"/>
    </row>
    <row r="2860" spans="1:5" x14ac:dyDescent="0.25">
      <c r="A2860" s="28"/>
      <c r="B2860" s="180"/>
      <c r="C2860" s="35"/>
      <c r="D2860" s="36"/>
      <c r="E2860" s="36"/>
    </row>
    <row r="2861" spans="1:5" x14ac:dyDescent="0.25">
      <c r="A2861" s="28"/>
      <c r="B2861" s="180"/>
      <c r="C2861" s="35"/>
      <c r="D2861" s="36"/>
      <c r="E2861" s="36"/>
    </row>
    <row r="2862" spans="1:5" x14ac:dyDescent="0.25">
      <c r="A2862" s="28"/>
      <c r="B2862" s="180"/>
      <c r="C2862" s="35"/>
      <c r="D2862" s="36"/>
      <c r="E2862" s="36"/>
    </row>
    <row r="2863" spans="1:5" x14ac:dyDescent="0.25">
      <c r="A2863" s="28"/>
      <c r="B2863" s="180"/>
      <c r="C2863" s="35"/>
      <c r="D2863" s="36"/>
      <c r="E2863" s="36"/>
    </row>
    <row r="2864" spans="1:5" x14ac:dyDescent="0.25">
      <c r="A2864" s="28"/>
      <c r="B2864" s="180"/>
      <c r="C2864" s="35"/>
      <c r="D2864" s="36"/>
      <c r="E2864" s="36"/>
    </row>
    <row r="2865" spans="1:5" x14ac:dyDescent="0.25">
      <c r="A2865" s="28"/>
      <c r="B2865" s="180"/>
      <c r="C2865" s="35"/>
      <c r="D2865" s="36"/>
      <c r="E2865" s="36"/>
    </row>
    <row r="2866" spans="1:5" x14ac:dyDescent="0.25">
      <c r="A2866" s="28"/>
      <c r="B2866" s="180"/>
      <c r="C2866" s="35"/>
      <c r="D2866" s="36"/>
      <c r="E2866" s="36"/>
    </row>
    <row r="2867" spans="1:5" x14ac:dyDescent="0.25">
      <c r="A2867" s="28"/>
      <c r="B2867" s="180"/>
      <c r="C2867" s="35"/>
      <c r="D2867" s="36"/>
      <c r="E2867" s="36"/>
    </row>
    <row r="2868" spans="1:5" x14ac:dyDescent="0.25">
      <c r="A2868" s="28"/>
      <c r="B2868" s="180"/>
      <c r="C2868" s="35"/>
      <c r="D2868" s="36"/>
      <c r="E2868" s="36"/>
    </row>
    <row r="2869" spans="1:5" x14ac:dyDescent="0.25">
      <c r="A2869" s="28"/>
      <c r="B2869" s="180"/>
      <c r="C2869" s="35"/>
      <c r="D2869" s="36"/>
      <c r="E2869" s="36"/>
    </row>
    <row r="2870" spans="1:5" x14ac:dyDescent="0.25">
      <c r="A2870" s="28"/>
      <c r="B2870" s="180"/>
      <c r="C2870" s="35"/>
      <c r="D2870" s="36"/>
      <c r="E2870" s="36"/>
    </row>
    <row r="2871" spans="1:5" x14ac:dyDescent="0.25">
      <c r="A2871" s="28"/>
      <c r="B2871" s="180"/>
      <c r="C2871" s="35"/>
      <c r="D2871" s="36"/>
      <c r="E2871" s="36"/>
    </row>
    <row r="2872" spans="1:5" x14ac:dyDescent="0.25">
      <c r="A2872" s="28"/>
      <c r="B2872" s="180"/>
      <c r="C2872" s="35"/>
      <c r="D2872" s="36"/>
      <c r="E2872" s="36"/>
    </row>
    <row r="2873" spans="1:5" x14ac:dyDescent="0.25">
      <c r="A2873" s="28"/>
      <c r="B2873" s="180"/>
      <c r="C2873" s="35"/>
      <c r="D2873" s="36"/>
      <c r="E2873" s="36"/>
    </row>
    <row r="2874" spans="1:5" x14ac:dyDescent="0.25">
      <c r="A2874" s="28"/>
      <c r="B2874" s="180"/>
      <c r="C2874" s="35"/>
      <c r="D2874" s="36"/>
      <c r="E2874" s="36"/>
    </row>
    <row r="2875" spans="1:5" x14ac:dyDescent="0.25">
      <c r="A2875" s="28"/>
      <c r="B2875" s="180"/>
      <c r="C2875" s="35"/>
      <c r="D2875" s="36"/>
      <c r="E2875" s="36"/>
    </row>
    <row r="2876" spans="1:5" x14ac:dyDescent="0.25">
      <c r="A2876" s="28"/>
      <c r="B2876" s="180"/>
      <c r="C2876" s="35"/>
      <c r="D2876" s="36"/>
      <c r="E2876" s="36"/>
    </row>
    <row r="2877" spans="1:5" x14ac:dyDescent="0.25">
      <c r="A2877" s="28"/>
      <c r="B2877" s="180"/>
      <c r="C2877" s="35"/>
      <c r="D2877" s="36"/>
      <c r="E2877" s="36"/>
    </row>
    <row r="2878" spans="1:5" x14ac:dyDescent="0.25">
      <c r="A2878" s="28"/>
      <c r="B2878" s="180"/>
      <c r="C2878" s="35"/>
      <c r="D2878" s="36"/>
      <c r="E2878" s="36"/>
    </row>
    <row r="2879" spans="1:5" x14ac:dyDescent="0.25">
      <c r="A2879" s="28"/>
      <c r="B2879" s="180"/>
      <c r="C2879" s="35"/>
      <c r="D2879" s="36"/>
      <c r="E2879" s="36"/>
    </row>
    <row r="2880" spans="1:5" x14ac:dyDescent="0.25">
      <c r="A2880" s="28"/>
      <c r="B2880" s="180"/>
      <c r="C2880" s="35"/>
      <c r="D2880" s="36"/>
      <c r="E2880" s="36"/>
    </row>
    <row r="2881" spans="1:5" x14ac:dyDescent="0.25">
      <c r="A2881" s="28"/>
      <c r="B2881" s="180"/>
      <c r="C2881" s="35"/>
      <c r="D2881" s="36"/>
      <c r="E2881" s="36"/>
    </row>
    <row r="2882" spans="1:5" x14ac:dyDescent="0.25">
      <c r="A2882" s="28"/>
      <c r="B2882" s="180"/>
      <c r="C2882" s="35"/>
      <c r="D2882" s="36"/>
      <c r="E2882" s="36"/>
    </row>
    <row r="2883" spans="1:5" x14ac:dyDescent="0.25">
      <c r="A2883" s="28"/>
      <c r="B2883" s="180"/>
      <c r="C2883" s="35"/>
      <c r="D2883" s="36"/>
      <c r="E2883" s="36"/>
    </row>
    <row r="2884" spans="1:5" x14ac:dyDescent="0.25">
      <c r="A2884" s="28"/>
      <c r="B2884" s="180"/>
      <c r="C2884" s="35"/>
      <c r="D2884" s="36"/>
      <c r="E2884" s="36"/>
    </row>
    <row r="2885" spans="1:5" x14ac:dyDescent="0.25">
      <c r="A2885" s="28"/>
      <c r="B2885" s="180"/>
      <c r="C2885" s="35"/>
      <c r="D2885" s="36"/>
      <c r="E2885" s="36"/>
    </row>
    <row r="2886" spans="1:5" x14ac:dyDescent="0.25">
      <c r="A2886" s="28"/>
      <c r="B2886" s="180"/>
      <c r="C2886" s="35"/>
      <c r="D2886" s="36"/>
      <c r="E2886" s="36"/>
    </row>
    <row r="2887" spans="1:5" x14ac:dyDescent="0.25">
      <c r="A2887" s="28"/>
      <c r="B2887" s="180"/>
      <c r="C2887" s="35"/>
      <c r="D2887" s="36"/>
      <c r="E2887" s="36"/>
    </row>
    <row r="2888" spans="1:5" x14ac:dyDescent="0.25">
      <c r="A2888" s="28"/>
      <c r="B2888" s="180"/>
      <c r="C2888" s="35"/>
      <c r="D2888" s="36"/>
      <c r="E2888" s="36"/>
    </row>
    <row r="2889" spans="1:5" x14ac:dyDescent="0.25">
      <c r="A2889" s="28"/>
      <c r="B2889" s="180"/>
      <c r="C2889" s="35"/>
      <c r="D2889" s="36"/>
      <c r="E2889" s="36"/>
    </row>
    <row r="2890" spans="1:5" x14ac:dyDescent="0.25">
      <c r="A2890" s="28"/>
      <c r="B2890" s="180"/>
      <c r="C2890" s="35"/>
      <c r="D2890" s="36"/>
      <c r="E2890" s="36"/>
    </row>
    <row r="2891" spans="1:5" x14ac:dyDescent="0.25">
      <c r="A2891" s="28"/>
      <c r="B2891" s="180"/>
      <c r="C2891" s="35"/>
      <c r="D2891" s="36"/>
      <c r="E2891" s="36"/>
    </row>
    <row r="2892" spans="1:5" x14ac:dyDescent="0.25">
      <c r="A2892" s="28"/>
      <c r="B2892" s="180"/>
      <c r="C2892" s="35"/>
      <c r="D2892" s="36"/>
      <c r="E2892" s="36"/>
    </row>
    <row r="2893" spans="1:5" x14ac:dyDescent="0.25">
      <c r="A2893" s="28"/>
      <c r="B2893" s="180"/>
      <c r="C2893" s="35"/>
      <c r="D2893" s="36"/>
      <c r="E2893" s="36"/>
    </row>
    <row r="2894" spans="1:5" x14ac:dyDescent="0.25">
      <c r="A2894" s="28"/>
      <c r="B2894" s="180"/>
      <c r="C2894" s="35"/>
      <c r="D2894" s="36"/>
      <c r="E2894" s="36"/>
    </row>
    <row r="2895" spans="1:5" x14ac:dyDescent="0.25">
      <c r="A2895" s="28"/>
      <c r="B2895" s="180"/>
      <c r="C2895" s="35"/>
      <c r="D2895" s="36"/>
      <c r="E2895" s="36"/>
    </row>
    <row r="2896" spans="1:5" x14ac:dyDescent="0.25">
      <c r="A2896" s="28"/>
      <c r="B2896" s="180"/>
      <c r="C2896" s="35"/>
      <c r="D2896" s="36"/>
      <c r="E2896" s="36"/>
    </row>
    <row r="2897" spans="1:5" x14ac:dyDescent="0.25">
      <c r="A2897" s="28"/>
      <c r="B2897" s="180"/>
      <c r="C2897" s="35"/>
      <c r="D2897" s="36"/>
      <c r="E2897" s="36"/>
    </row>
    <row r="2898" spans="1:5" x14ac:dyDescent="0.25">
      <c r="A2898" s="28"/>
      <c r="B2898" s="180"/>
      <c r="C2898" s="35"/>
      <c r="D2898" s="36"/>
      <c r="E2898" s="36"/>
    </row>
    <row r="2899" spans="1:5" x14ac:dyDescent="0.25">
      <c r="A2899" s="28"/>
      <c r="B2899" s="180"/>
      <c r="C2899" s="35"/>
      <c r="D2899" s="36"/>
      <c r="E2899" s="36"/>
    </row>
    <row r="2900" spans="1:5" x14ac:dyDescent="0.25">
      <c r="A2900" s="28"/>
      <c r="B2900" s="180"/>
      <c r="C2900" s="35"/>
      <c r="D2900" s="36"/>
      <c r="E2900" s="36"/>
    </row>
    <row r="2901" spans="1:5" x14ac:dyDescent="0.25">
      <c r="A2901" s="28"/>
      <c r="B2901" s="180"/>
      <c r="C2901" s="35"/>
      <c r="D2901" s="36"/>
      <c r="E2901" s="36"/>
    </row>
    <row r="2902" spans="1:5" x14ac:dyDescent="0.25">
      <c r="A2902" s="28"/>
      <c r="B2902" s="180"/>
      <c r="C2902" s="35"/>
      <c r="D2902" s="36"/>
      <c r="E2902" s="36"/>
    </row>
    <row r="2903" spans="1:5" x14ac:dyDescent="0.25">
      <c r="A2903" s="28"/>
      <c r="B2903" s="180"/>
      <c r="C2903" s="35"/>
      <c r="D2903" s="36"/>
      <c r="E2903" s="36"/>
    </row>
    <row r="2904" spans="1:5" x14ac:dyDescent="0.25">
      <c r="A2904" s="28"/>
      <c r="B2904" s="180"/>
      <c r="C2904" s="35"/>
      <c r="D2904" s="36"/>
      <c r="E2904" s="36"/>
    </row>
    <row r="2905" spans="1:5" x14ac:dyDescent="0.25">
      <c r="A2905" s="28"/>
      <c r="B2905" s="180"/>
      <c r="C2905" s="35"/>
      <c r="D2905" s="36"/>
      <c r="E2905" s="36"/>
    </row>
    <row r="2906" spans="1:5" x14ac:dyDescent="0.25">
      <c r="A2906" s="28"/>
      <c r="B2906" s="180"/>
      <c r="C2906" s="35"/>
      <c r="D2906" s="36"/>
      <c r="E2906" s="36"/>
    </row>
    <row r="2907" spans="1:5" x14ac:dyDescent="0.25">
      <c r="A2907" s="28"/>
      <c r="B2907" s="180"/>
      <c r="C2907" s="35"/>
      <c r="D2907" s="36"/>
      <c r="E2907" s="36"/>
    </row>
    <row r="2908" spans="1:5" x14ac:dyDescent="0.25">
      <c r="A2908" s="28"/>
      <c r="B2908" s="180"/>
      <c r="C2908" s="35"/>
      <c r="D2908" s="36"/>
      <c r="E2908" s="36"/>
    </row>
    <row r="2909" spans="1:5" x14ac:dyDescent="0.25">
      <c r="A2909" s="28"/>
      <c r="B2909" s="180"/>
      <c r="C2909" s="35"/>
      <c r="D2909" s="36"/>
      <c r="E2909" s="36"/>
    </row>
    <row r="2910" spans="1:5" x14ac:dyDescent="0.25">
      <c r="A2910" s="28"/>
      <c r="B2910" s="180"/>
      <c r="C2910" s="35"/>
      <c r="D2910" s="36"/>
      <c r="E2910" s="36"/>
    </row>
    <row r="2911" spans="1:5" x14ac:dyDescent="0.25">
      <c r="A2911" s="28"/>
      <c r="B2911" s="180"/>
      <c r="C2911" s="35"/>
      <c r="D2911" s="36"/>
      <c r="E2911" s="36"/>
    </row>
    <row r="2912" spans="1:5" x14ac:dyDescent="0.25">
      <c r="A2912" s="28"/>
      <c r="B2912" s="180"/>
      <c r="C2912" s="35"/>
      <c r="D2912" s="36"/>
      <c r="E2912" s="36"/>
    </row>
    <row r="2913" spans="1:5" x14ac:dyDescent="0.25">
      <c r="A2913" s="28"/>
      <c r="B2913" s="180"/>
      <c r="C2913" s="35"/>
      <c r="D2913" s="36"/>
      <c r="E2913" s="36"/>
    </row>
    <row r="2914" spans="1:5" x14ac:dyDescent="0.25">
      <c r="A2914" s="28"/>
      <c r="B2914" s="180"/>
      <c r="C2914" s="35"/>
      <c r="D2914" s="36"/>
      <c r="E2914" s="36"/>
    </row>
    <row r="2915" spans="1:5" x14ac:dyDescent="0.25">
      <c r="A2915" s="28"/>
      <c r="B2915" s="180"/>
      <c r="C2915" s="35"/>
      <c r="D2915" s="36"/>
      <c r="E2915" s="36"/>
    </row>
    <row r="2916" spans="1:5" x14ac:dyDescent="0.25">
      <c r="A2916" s="28"/>
      <c r="B2916" s="180"/>
      <c r="C2916" s="35"/>
      <c r="D2916" s="36"/>
      <c r="E2916" s="36"/>
    </row>
    <row r="2917" spans="1:5" x14ac:dyDescent="0.25">
      <c r="A2917" s="28"/>
      <c r="B2917" s="180"/>
      <c r="C2917" s="35"/>
      <c r="D2917" s="36"/>
      <c r="E2917" s="36"/>
    </row>
    <row r="2918" spans="1:5" x14ac:dyDescent="0.25">
      <c r="A2918" s="28"/>
      <c r="B2918" s="180"/>
      <c r="C2918" s="35"/>
      <c r="D2918" s="36"/>
      <c r="E2918" s="36"/>
    </row>
    <row r="2919" spans="1:5" x14ac:dyDescent="0.25">
      <c r="A2919" s="28"/>
      <c r="B2919" s="180"/>
      <c r="C2919" s="35"/>
      <c r="D2919" s="36"/>
      <c r="E2919" s="36"/>
    </row>
    <row r="2920" spans="1:5" x14ac:dyDescent="0.25">
      <c r="A2920" s="28"/>
      <c r="B2920" s="180"/>
      <c r="C2920" s="35"/>
      <c r="D2920" s="36"/>
      <c r="E2920" s="36"/>
    </row>
    <row r="2921" spans="1:5" x14ac:dyDescent="0.25">
      <c r="A2921" s="28"/>
      <c r="B2921" s="180"/>
      <c r="C2921" s="35"/>
      <c r="D2921" s="36"/>
      <c r="E2921" s="36"/>
    </row>
    <row r="2922" spans="1:5" x14ac:dyDescent="0.25">
      <c r="A2922" s="28"/>
      <c r="B2922" s="180"/>
      <c r="C2922" s="35"/>
      <c r="D2922" s="36"/>
      <c r="E2922" s="36"/>
    </row>
    <row r="2923" spans="1:5" x14ac:dyDescent="0.25">
      <c r="A2923" s="28"/>
      <c r="B2923" s="180"/>
      <c r="C2923" s="35"/>
      <c r="D2923" s="36"/>
      <c r="E2923" s="36"/>
    </row>
    <row r="2924" spans="1:5" x14ac:dyDescent="0.25">
      <c r="A2924" s="28"/>
      <c r="B2924" s="180"/>
      <c r="C2924" s="35"/>
      <c r="D2924" s="36"/>
      <c r="E2924" s="36"/>
    </row>
    <row r="2925" spans="1:5" x14ac:dyDescent="0.25">
      <c r="A2925" s="28"/>
      <c r="B2925" s="180"/>
      <c r="C2925" s="35"/>
      <c r="D2925" s="36"/>
      <c r="E2925" s="36"/>
    </row>
    <row r="2926" spans="1:5" x14ac:dyDescent="0.25">
      <c r="A2926" s="28"/>
      <c r="B2926" s="180"/>
      <c r="C2926" s="35"/>
      <c r="D2926" s="36"/>
      <c r="E2926" s="36"/>
    </row>
    <row r="2927" spans="1:5" x14ac:dyDescent="0.25">
      <c r="A2927" s="28"/>
      <c r="B2927" s="180"/>
      <c r="C2927" s="35"/>
      <c r="D2927" s="36"/>
      <c r="E2927" s="36"/>
    </row>
    <row r="2928" spans="1:5" x14ac:dyDescent="0.25">
      <c r="A2928" s="28"/>
      <c r="B2928" s="180"/>
      <c r="C2928" s="35"/>
      <c r="D2928" s="36"/>
      <c r="E2928" s="36"/>
    </row>
    <row r="2929" spans="1:5" x14ac:dyDescent="0.25">
      <c r="A2929" s="28"/>
      <c r="B2929" s="180"/>
      <c r="C2929" s="35"/>
      <c r="D2929" s="36"/>
      <c r="E2929" s="36"/>
    </row>
    <row r="2930" spans="1:5" x14ac:dyDescent="0.25">
      <c r="A2930" s="28"/>
      <c r="B2930" s="180"/>
      <c r="C2930" s="35"/>
      <c r="D2930" s="36"/>
      <c r="E2930" s="36"/>
    </row>
    <row r="2931" spans="1:5" x14ac:dyDescent="0.25">
      <c r="A2931" s="28"/>
      <c r="B2931" s="180"/>
      <c r="C2931" s="35"/>
      <c r="D2931" s="36"/>
      <c r="E2931" s="36"/>
    </row>
    <row r="2932" spans="1:5" x14ac:dyDescent="0.25">
      <c r="A2932" s="28"/>
      <c r="B2932" s="180"/>
      <c r="C2932" s="35"/>
      <c r="D2932" s="36"/>
      <c r="E2932" s="36"/>
    </row>
    <row r="2933" spans="1:5" x14ac:dyDescent="0.25">
      <c r="A2933" s="28"/>
      <c r="B2933" s="180"/>
      <c r="C2933" s="35"/>
      <c r="D2933" s="36"/>
      <c r="E2933" s="36"/>
    </row>
    <row r="2934" spans="1:5" x14ac:dyDescent="0.25">
      <c r="A2934" s="28"/>
      <c r="B2934" s="180"/>
      <c r="C2934" s="35"/>
      <c r="D2934" s="36"/>
      <c r="E2934" s="36"/>
    </row>
    <row r="2935" spans="1:5" x14ac:dyDescent="0.25">
      <c r="A2935" s="28"/>
      <c r="B2935" s="180"/>
      <c r="C2935" s="35"/>
      <c r="D2935" s="36"/>
      <c r="E2935" s="36"/>
    </row>
    <row r="2936" spans="1:5" x14ac:dyDescent="0.25">
      <c r="A2936" s="28"/>
      <c r="B2936" s="180"/>
      <c r="C2936" s="35"/>
      <c r="D2936" s="36"/>
      <c r="E2936" s="36"/>
    </row>
    <row r="2937" spans="1:5" x14ac:dyDescent="0.25">
      <c r="A2937" s="28"/>
      <c r="B2937" s="180"/>
      <c r="C2937" s="35"/>
      <c r="D2937" s="36"/>
      <c r="E2937" s="36"/>
    </row>
    <row r="2938" spans="1:5" x14ac:dyDescent="0.25">
      <c r="A2938" s="28"/>
      <c r="B2938" s="180"/>
      <c r="C2938" s="35"/>
      <c r="D2938" s="36"/>
      <c r="E2938" s="36"/>
    </row>
    <row r="2939" spans="1:5" x14ac:dyDescent="0.25">
      <c r="A2939" s="28"/>
      <c r="B2939" s="180"/>
      <c r="C2939" s="35"/>
      <c r="D2939" s="36"/>
      <c r="E2939" s="36"/>
    </row>
    <row r="2940" spans="1:5" x14ac:dyDescent="0.25">
      <c r="A2940" s="28"/>
      <c r="B2940" s="180"/>
      <c r="C2940" s="35"/>
      <c r="D2940" s="36"/>
      <c r="E2940" s="36"/>
    </row>
    <row r="2941" spans="1:5" x14ac:dyDescent="0.25">
      <c r="A2941" s="28"/>
      <c r="B2941" s="180"/>
      <c r="C2941" s="35"/>
      <c r="D2941" s="36"/>
      <c r="E2941" s="36"/>
    </row>
    <row r="2942" spans="1:5" x14ac:dyDescent="0.25">
      <c r="A2942" s="28"/>
      <c r="B2942" s="180"/>
      <c r="C2942" s="35"/>
      <c r="D2942" s="36"/>
      <c r="E2942" s="36"/>
    </row>
    <row r="2943" spans="1:5" x14ac:dyDescent="0.25">
      <c r="A2943" s="28"/>
      <c r="B2943" s="180"/>
      <c r="C2943" s="35"/>
      <c r="D2943" s="36"/>
      <c r="E2943" s="36"/>
    </row>
    <row r="2944" spans="1:5" x14ac:dyDescent="0.25">
      <c r="A2944" s="28"/>
      <c r="B2944" s="180"/>
      <c r="C2944" s="35"/>
      <c r="D2944" s="36"/>
      <c r="E2944" s="36"/>
    </row>
    <row r="2945" spans="1:5" x14ac:dyDescent="0.25">
      <c r="A2945" s="28"/>
      <c r="B2945" s="180"/>
      <c r="C2945" s="35"/>
      <c r="D2945" s="36"/>
      <c r="E2945" s="36"/>
    </row>
    <row r="2946" spans="1:5" x14ac:dyDescent="0.25">
      <c r="A2946" s="28"/>
      <c r="B2946" s="180"/>
      <c r="C2946" s="35"/>
      <c r="D2946" s="36"/>
      <c r="E2946" s="36"/>
    </row>
    <row r="2947" spans="1:5" x14ac:dyDescent="0.25">
      <c r="A2947" s="28"/>
      <c r="B2947" s="180"/>
      <c r="C2947" s="35"/>
      <c r="D2947" s="36"/>
      <c r="E2947" s="36"/>
    </row>
    <row r="2948" spans="1:5" x14ac:dyDescent="0.25">
      <c r="A2948" s="28"/>
      <c r="B2948" s="180"/>
      <c r="C2948" s="35"/>
      <c r="D2948" s="36"/>
      <c r="E2948" s="36"/>
    </row>
    <row r="2949" spans="1:5" x14ac:dyDescent="0.25">
      <c r="A2949" s="28"/>
      <c r="B2949" s="180"/>
      <c r="C2949" s="35"/>
      <c r="D2949" s="36"/>
      <c r="E2949" s="36"/>
    </row>
    <row r="2950" spans="1:5" x14ac:dyDescent="0.25">
      <c r="A2950" s="28"/>
      <c r="B2950" s="180"/>
      <c r="C2950" s="35"/>
      <c r="D2950" s="36"/>
      <c r="E2950" s="36"/>
    </row>
    <row r="2951" spans="1:5" x14ac:dyDescent="0.25">
      <c r="A2951" s="28"/>
      <c r="B2951" s="180"/>
      <c r="C2951" s="35"/>
      <c r="D2951" s="36"/>
      <c r="E2951" s="36"/>
    </row>
    <row r="2952" spans="1:5" x14ac:dyDescent="0.25">
      <c r="A2952" s="28"/>
      <c r="B2952" s="180"/>
      <c r="C2952" s="35"/>
      <c r="D2952" s="36"/>
      <c r="E2952" s="36"/>
    </row>
    <row r="2953" spans="1:5" x14ac:dyDescent="0.25">
      <c r="A2953" s="28"/>
      <c r="B2953" s="180"/>
      <c r="C2953" s="35"/>
      <c r="D2953" s="36"/>
      <c r="E2953" s="36"/>
    </row>
    <row r="2954" spans="1:5" x14ac:dyDescent="0.25">
      <c r="A2954" s="28"/>
      <c r="B2954" s="180"/>
      <c r="C2954" s="35"/>
      <c r="D2954" s="36"/>
      <c r="E2954" s="36"/>
    </row>
    <row r="2955" spans="1:5" x14ac:dyDescent="0.25">
      <c r="A2955" s="28"/>
      <c r="B2955" s="180"/>
      <c r="C2955" s="35"/>
      <c r="D2955" s="36"/>
      <c r="E2955" s="36"/>
    </row>
    <row r="2956" spans="1:5" x14ac:dyDescent="0.25">
      <c r="A2956" s="28"/>
      <c r="B2956" s="180"/>
      <c r="C2956" s="35"/>
      <c r="D2956" s="36"/>
      <c r="E2956" s="36"/>
    </row>
    <row r="2957" spans="1:5" x14ac:dyDescent="0.25">
      <c r="A2957" s="28"/>
      <c r="B2957" s="180"/>
      <c r="C2957" s="35"/>
      <c r="D2957" s="36"/>
      <c r="E2957" s="36"/>
    </row>
    <row r="2958" spans="1:5" x14ac:dyDescent="0.25">
      <c r="A2958" s="28"/>
      <c r="B2958" s="180"/>
      <c r="C2958" s="35"/>
      <c r="D2958" s="36"/>
      <c r="E2958" s="36"/>
    </row>
    <row r="2959" spans="1:5" x14ac:dyDescent="0.25">
      <c r="A2959" s="28"/>
      <c r="B2959" s="180"/>
      <c r="C2959" s="35"/>
      <c r="D2959" s="36"/>
      <c r="E2959" s="36"/>
    </row>
    <row r="2960" spans="1:5" x14ac:dyDescent="0.25">
      <c r="A2960" s="28"/>
      <c r="B2960" s="180"/>
      <c r="C2960" s="35"/>
      <c r="D2960" s="36"/>
      <c r="E2960" s="36"/>
    </row>
    <row r="2961" spans="1:5" x14ac:dyDescent="0.25">
      <c r="A2961" s="28"/>
      <c r="B2961" s="180"/>
      <c r="C2961" s="35"/>
      <c r="D2961" s="36"/>
      <c r="E2961" s="36"/>
    </row>
    <row r="2962" spans="1:5" x14ac:dyDescent="0.25">
      <c r="A2962" s="28"/>
      <c r="B2962" s="180"/>
      <c r="C2962" s="35"/>
      <c r="D2962" s="36"/>
      <c r="E2962" s="36"/>
    </row>
    <row r="2963" spans="1:5" x14ac:dyDescent="0.25">
      <c r="A2963" s="28"/>
      <c r="B2963" s="180"/>
      <c r="C2963" s="35"/>
      <c r="D2963" s="36"/>
      <c r="E2963" s="36"/>
    </row>
    <row r="2964" spans="1:5" x14ac:dyDescent="0.25">
      <c r="A2964" s="28"/>
      <c r="B2964" s="180"/>
      <c r="C2964" s="35"/>
      <c r="D2964" s="36"/>
      <c r="E2964" s="36"/>
    </row>
    <row r="2965" spans="1:5" x14ac:dyDescent="0.25">
      <c r="A2965" s="28"/>
      <c r="B2965" s="180"/>
      <c r="C2965" s="35"/>
      <c r="D2965" s="36"/>
      <c r="E2965" s="36"/>
    </row>
    <row r="2966" spans="1:5" x14ac:dyDescent="0.25">
      <c r="A2966" s="28"/>
      <c r="B2966" s="180"/>
      <c r="C2966" s="35"/>
      <c r="D2966" s="36"/>
      <c r="E2966" s="36"/>
    </row>
    <row r="2967" spans="1:5" x14ac:dyDescent="0.25">
      <c r="A2967" s="28"/>
      <c r="B2967" s="180"/>
      <c r="C2967" s="35"/>
      <c r="D2967" s="36"/>
      <c r="E2967" s="36"/>
    </row>
    <row r="2968" spans="1:5" x14ac:dyDescent="0.25">
      <c r="A2968" s="28"/>
      <c r="B2968" s="180"/>
      <c r="C2968" s="35"/>
      <c r="D2968" s="36"/>
      <c r="E2968" s="36"/>
    </row>
    <row r="2969" spans="1:5" x14ac:dyDescent="0.25">
      <c r="A2969" s="28"/>
      <c r="B2969" s="180"/>
      <c r="C2969" s="35"/>
      <c r="D2969" s="36"/>
      <c r="E2969" s="36"/>
    </row>
    <row r="2970" spans="1:5" x14ac:dyDescent="0.25">
      <c r="A2970" s="28"/>
      <c r="B2970" s="180"/>
      <c r="C2970" s="35"/>
      <c r="D2970" s="36"/>
      <c r="E2970" s="36"/>
    </row>
    <row r="2971" spans="1:5" x14ac:dyDescent="0.25">
      <c r="A2971" s="28"/>
      <c r="B2971" s="180"/>
      <c r="C2971" s="35"/>
      <c r="D2971" s="36"/>
      <c r="E2971" s="36"/>
    </row>
    <row r="2972" spans="1:5" x14ac:dyDescent="0.25">
      <c r="A2972" s="28"/>
      <c r="B2972" s="180"/>
      <c r="C2972" s="35"/>
      <c r="D2972" s="36"/>
      <c r="E2972" s="36"/>
    </row>
    <row r="2973" spans="1:5" x14ac:dyDescent="0.25">
      <c r="A2973" s="28"/>
      <c r="B2973" s="180"/>
      <c r="C2973" s="35"/>
      <c r="D2973" s="36"/>
      <c r="E2973" s="36"/>
    </row>
    <row r="2974" spans="1:5" x14ac:dyDescent="0.25">
      <c r="A2974" s="28"/>
      <c r="B2974" s="180"/>
      <c r="C2974" s="35"/>
      <c r="D2974" s="36"/>
      <c r="E2974" s="36"/>
    </row>
    <row r="2975" spans="1:5" x14ac:dyDescent="0.25">
      <c r="A2975" s="28"/>
      <c r="B2975" s="180"/>
      <c r="C2975" s="35"/>
      <c r="D2975" s="36"/>
      <c r="E2975" s="36"/>
    </row>
    <row r="2976" spans="1:5" x14ac:dyDescent="0.25">
      <c r="A2976" s="28"/>
      <c r="B2976" s="180"/>
      <c r="C2976" s="35"/>
      <c r="D2976" s="36"/>
      <c r="E2976" s="36"/>
    </row>
    <row r="2977" spans="1:5" x14ac:dyDescent="0.25">
      <c r="A2977" s="28"/>
      <c r="B2977" s="180"/>
      <c r="C2977" s="35"/>
      <c r="D2977" s="36"/>
      <c r="E2977" s="36"/>
    </row>
    <row r="2978" spans="1:5" x14ac:dyDescent="0.25">
      <c r="A2978" s="28"/>
      <c r="B2978" s="180"/>
      <c r="C2978" s="35"/>
      <c r="D2978" s="36"/>
      <c r="E2978" s="36"/>
    </row>
    <row r="2979" spans="1:5" x14ac:dyDescent="0.25">
      <c r="A2979" s="28"/>
      <c r="B2979" s="180"/>
      <c r="C2979" s="35"/>
      <c r="D2979" s="36"/>
      <c r="E2979" s="36"/>
    </row>
    <row r="2980" spans="1:5" x14ac:dyDescent="0.25">
      <c r="A2980" s="28"/>
      <c r="B2980" s="180"/>
      <c r="C2980" s="35"/>
      <c r="D2980" s="36"/>
      <c r="E2980" s="36"/>
    </row>
    <row r="2981" spans="1:5" x14ac:dyDescent="0.25">
      <c r="A2981" s="28"/>
      <c r="B2981" s="180"/>
      <c r="C2981" s="35"/>
      <c r="D2981" s="36"/>
      <c r="E2981" s="36"/>
    </row>
    <row r="2982" spans="1:5" x14ac:dyDescent="0.25">
      <c r="A2982" s="28"/>
      <c r="B2982" s="180"/>
      <c r="C2982" s="35"/>
      <c r="D2982" s="36"/>
      <c r="E2982" s="36"/>
    </row>
    <row r="2983" spans="1:5" x14ac:dyDescent="0.25">
      <c r="A2983" s="28"/>
      <c r="B2983" s="180"/>
      <c r="C2983" s="35"/>
      <c r="D2983" s="36"/>
      <c r="E2983" s="36"/>
    </row>
    <row r="2984" spans="1:5" x14ac:dyDescent="0.25">
      <c r="A2984" s="28"/>
      <c r="B2984" s="180"/>
      <c r="C2984" s="35"/>
      <c r="D2984" s="36"/>
      <c r="E2984" s="36"/>
    </row>
    <row r="2985" spans="1:5" x14ac:dyDescent="0.25">
      <c r="A2985" s="28"/>
      <c r="B2985" s="180"/>
      <c r="C2985" s="35"/>
      <c r="D2985" s="36"/>
      <c r="E2985" s="36"/>
    </row>
    <row r="2986" spans="1:5" x14ac:dyDescent="0.25">
      <c r="A2986" s="28"/>
      <c r="B2986" s="180"/>
      <c r="C2986" s="35"/>
      <c r="D2986" s="36"/>
      <c r="E2986" s="36"/>
    </row>
    <row r="2987" spans="1:5" x14ac:dyDescent="0.25">
      <c r="A2987" s="28"/>
      <c r="B2987" s="180"/>
      <c r="C2987" s="35"/>
      <c r="D2987" s="36"/>
      <c r="E2987" s="36"/>
    </row>
    <row r="2988" spans="1:5" x14ac:dyDescent="0.25">
      <c r="A2988" s="28"/>
      <c r="B2988" s="180"/>
      <c r="C2988" s="35"/>
      <c r="D2988" s="36"/>
      <c r="E2988" s="36"/>
    </row>
    <row r="2989" spans="1:5" x14ac:dyDescent="0.25">
      <c r="A2989" s="28"/>
      <c r="B2989" s="180"/>
      <c r="C2989" s="35"/>
      <c r="D2989" s="36"/>
      <c r="E2989" s="36"/>
    </row>
    <row r="2990" spans="1:5" x14ac:dyDescent="0.25">
      <c r="A2990" s="28"/>
      <c r="B2990" s="180"/>
      <c r="C2990" s="35"/>
      <c r="D2990" s="36"/>
      <c r="E2990" s="36"/>
    </row>
    <row r="2991" spans="1:5" x14ac:dyDescent="0.25">
      <c r="A2991" s="28"/>
      <c r="B2991" s="180"/>
      <c r="C2991" s="35"/>
      <c r="D2991" s="36"/>
      <c r="E2991" s="36"/>
    </row>
    <row r="2992" spans="1:5" x14ac:dyDescent="0.25">
      <c r="A2992" s="28"/>
      <c r="B2992" s="180"/>
      <c r="C2992" s="35"/>
      <c r="D2992" s="36"/>
      <c r="E2992" s="36"/>
    </row>
    <row r="2993" spans="1:5" x14ac:dyDescent="0.25">
      <c r="A2993" s="28"/>
      <c r="B2993" s="180"/>
      <c r="C2993" s="35"/>
      <c r="D2993" s="36"/>
      <c r="E2993" s="36"/>
    </row>
    <row r="2994" spans="1:5" x14ac:dyDescent="0.25">
      <c r="A2994" s="28"/>
      <c r="B2994" s="180"/>
      <c r="C2994" s="35"/>
      <c r="D2994" s="36"/>
      <c r="E2994" s="36"/>
    </row>
    <row r="2995" spans="1:5" x14ac:dyDescent="0.25">
      <c r="A2995" s="28"/>
      <c r="B2995" s="180"/>
      <c r="C2995" s="35"/>
      <c r="D2995" s="36"/>
      <c r="E2995" s="36"/>
    </row>
    <row r="2996" spans="1:5" x14ac:dyDescent="0.25">
      <c r="A2996" s="28"/>
      <c r="B2996" s="180"/>
      <c r="C2996" s="35"/>
      <c r="D2996" s="36"/>
      <c r="E2996" s="36"/>
    </row>
    <row r="2997" spans="1:5" x14ac:dyDescent="0.25">
      <c r="A2997" s="28"/>
      <c r="B2997" s="180"/>
      <c r="C2997" s="35"/>
      <c r="D2997" s="36"/>
      <c r="E2997" s="36"/>
    </row>
    <row r="2998" spans="1:5" x14ac:dyDescent="0.25">
      <c r="A2998" s="28"/>
      <c r="B2998" s="180"/>
      <c r="C2998" s="35"/>
      <c r="D2998" s="36"/>
      <c r="E2998" s="36"/>
    </row>
    <row r="2999" spans="1:5" x14ac:dyDescent="0.25">
      <c r="A2999" s="28"/>
      <c r="B2999" s="180"/>
      <c r="C2999" s="35"/>
      <c r="D2999" s="36"/>
      <c r="E2999" s="36"/>
    </row>
    <row r="3000" spans="1:5" x14ac:dyDescent="0.25">
      <c r="A3000" s="28"/>
      <c r="B3000" s="180"/>
      <c r="C3000" s="35"/>
      <c r="D3000" s="36"/>
      <c r="E3000" s="36"/>
    </row>
    <row r="3001" spans="1:5" x14ac:dyDescent="0.25">
      <c r="A3001" s="28"/>
      <c r="B3001" s="180"/>
      <c r="C3001" s="35"/>
      <c r="D3001" s="36"/>
      <c r="E3001" s="36"/>
    </row>
    <row r="3002" spans="1:5" x14ac:dyDescent="0.25">
      <c r="A3002" s="28"/>
      <c r="B3002" s="180"/>
      <c r="C3002" s="35"/>
      <c r="D3002" s="36"/>
      <c r="E3002" s="36"/>
    </row>
    <row r="3003" spans="1:5" x14ac:dyDescent="0.25">
      <c r="A3003" s="28"/>
      <c r="B3003" s="180"/>
      <c r="C3003" s="35"/>
      <c r="D3003" s="36"/>
      <c r="E3003" s="36"/>
    </row>
    <row r="3004" spans="1:5" x14ac:dyDescent="0.25">
      <c r="A3004" s="28"/>
      <c r="B3004" s="180"/>
      <c r="C3004" s="35"/>
      <c r="D3004" s="36"/>
      <c r="E3004" s="36"/>
    </row>
    <row r="3005" spans="1:5" x14ac:dyDescent="0.25">
      <c r="A3005" s="28"/>
      <c r="B3005" s="180"/>
      <c r="C3005" s="35"/>
      <c r="D3005" s="36"/>
      <c r="E3005" s="36"/>
    </row>
    <row r="3006" spans="1:5" x14ac:dyDescent="0.25">
      <c r="A3006" s="28"/>
      <c r="B3006" s="180"/>
      <c r="C3006" s="35"/>
      <c r="D3006" s="36"/>
      <c r="E3006" s="36"/>
    </row>
    <row r="3007" spans="1:5" x14ac:dyDescent="0.25">
      <c r="A3007" s="28"/>
      <c r="B3007" s="180"/>
      <c r="C3007" s="35"/>
      <c r="D3007" s="36"/>
      <c r="E3007" s="36"/>
    </row>
    <row r="3008" spans="1:5" x14ac:dyDescent="0.25">
      <c r="A3008" s="28"/>
      <c r="B3008" s="180"/>
      <c r="C3008" s="35"/>
      <c r="D3008" s="36"/>
      <c r="E3008" s="36"/>
    </row>
    <row r="3009" spans="1:5" x14ac:dyDescent="0.25">
      <c r="A3009" s="28"/>
      <c r="B3009" s="180"/>
      <c r="C3009" s="35"/>
      <c r="D3009" s="36"/>
      <c r="E3009" s="36"/>
    </row>
    <row r="3010" spans="1:5" x14ac:dyDescent="0.25">
      <c r="A3010" s="28"/>
      <c r="B3010" s="180"/>
      <c r="C3010" s="35"/>
      <c r="D3010" s="36"/>
      <c r="E3010" s="36"/>
    </row>
    <row r="3011" spans="1:5" x14ac:dyDescent="0.25">
      <c r="A3011" s="28"/>
      <c r="B3011" s="180"/>
      <c r="C3011" s="35"/>
      <c r="D3011" s="36"/>
      <c r="E3011" s="36"/>
    </row>
    <row r="3012" spans="1:5" x14ac:dyDescent="0.25">
      <c r="A3012" s="28"/>
      <c r="B3012" s="180"/>
      <c r="C3012" s="35"/>
      <c r="D3012" s="36"/>
      <c r="E3012" s="36"/>
    </row>
    <row r="3013" spans="1:5" x14ac:dyDescent="0.25">
      <c r="A3013" s="28"/>
      <c r="B3013" s="180"/>
      <c r="C3013" s="35"/>
      <c r="D3013" s="36"/>
      <c r="E3013" s="36"/>
    </row>
    <row r="3014" spans="1:5" x14ac:dyDescent="0.25">
      <c r="A3014" s="28"/>
      <c r="B3014" s="180"/>
      <c r="C3014" s="35"/>
      <c r="D3014" s="36"/>
      <c r="E3014" s="36"/>
    </row>
    <row r="3015" spans="1:5" x14ac:dyDescent="0.25">
      <c r="A3015" s="28"/>
      <c r="B3015" s="180"/>
      <c r="C3015" s="35"/>
      <c r="D3015" s="36"/>
      <c r="E3015" s="36"/>
    </row>
    <row r="3016" spans="1:5" x14ac:dyDescent="0.25">
      <c r="A3016" s="28"/>
      <c r="B3016" s="180"/>
      <c r="C3016" s="35"/>
      <c r="D3016" s="36"/>
      <c r="E3016" s="36"/>
    </row>
    <row r="3017" spans="1:5" x14ac:dyDescent="0.25">
      <c r="A3017" s="28"/>
      <c r="B3017" s="180"/>
      <c r="C3017" s="35"/>
      <c r="D3017" s="36"/>
      <c r="E3017" s="36"/>
    </row>
    <row r="3018" spans="1:5" x14ac:dyDescent="0.25">
      <c r="A3018" s="28"/>
      <c r="B3018" s="180"/>
      <c r="C3018" s="35"/>
      <c r="D3018" s="36"/>
      <c r="E3018" s="36"/>
    </row>
    <row r="3019" spans="1:5" x14ac:dyDescent="0.25">
      <c r="A3019" s="28"/>
      <c r="B3019" s="180"/>
      <c r="C3019" s="35"/>
      <c r="D3019" s="36"/>
      <c r="E3019" s="36"/>
    </row>
    <row r="3020" spans="1:5" x14ac:dyDescent="0.25">
      <c r="A3020" s="28"/>
      <c r="B3020" s="180"/>
      <c r="C3020" s="35"/>
      <c r="D3020" s="36"/>
      <c r="E3020" s="36"/>
    </row>
    <row r="3021" spans="1:5" x14ac:dyDescent="0.25">
      <c r="A3021" s="28"/>
      <c r="B3021" s="180"/>
      <c r="C3021" s="35"/>
      <c r="D3021" s="36"/>
      <c r="E3021" s="36"/>
    </row>
    <row r="3022" spans="1:5" x14ac:dyDescent="0.25">
      <c r="A3022" s="28"/>
      <c r="B3022" s="180"/>
      <c r="C3022" s="35"/>
      <c r="D3022" s="36"/>
      <c r="E3022" s="36"/>
    </row>
    <row r="3023" spans="1:5" x14ac:dyDescent="0.25">
      <c r="A3023" s="28"/>
      <c r="B3023" s="180"/>
      <c r="C3023" s="35"/>
      <c r="D3023" s="36"/>
      <c r="E3023" s="36"/>
    </row>
    <row r="3024" spans="1:5" x14ac:dyDescent="0.25">
      <c r="A3024" s="28"/>
      <c r="B3024" s="180"/>
      <c r="C3024" s="35"/>
      <c r="D3024" s="36"/>
      <c r="E3024" s="36"/>
    </row>
    <row r="3025" spans="1:5" x14ac:dyDescent="0.25">
      <c r="A3025" s="28"/>
      <c r="B3025" s="180"/>
      <c r="C3025" s="35"/>
      <c r="D3025" s="36"/>
      <c r="E3025" s="36"/>
    </row>
    <row r="3026" spans="1:5" x14ac:dyDescent="0.25">
      <c r="A3026" s="28"/>
      <c r="B3026" s="180"/>
      <c r="C3026" s="35"/>
      <c r="D3026" s="36"/>
      <c r="E3026" s="36"/>
    </row>
    <row r="3027" spans="1:5" x14ac:dyDescent="0.25">
      <c r="A3027" s="28"/>
      <c r="B3027" s="180"/>
      <c r="C3027" s="35"/>
      <c r="D3027" s="36"/>
      <c r="E3027" s="36"/>
    </row>
    <row r="3028" spans="1:5" x14ac:dyDescent="0.25">
      <c r="A3028" s="28"/>
      <c r="B3028" s="180"/>
      <c r="C3028" s="35"/>
      <c r="D3028" s="36"/>
      <c r="E3028" s="36"/>
    </row>
    <row r="3029" spans="1:5" x14ac:dyDescent="0.25">
      <c r="A3029" s="28"/>
      <c r="B3029" s="180"/>
      <c r="C3029" s="35"/>
      <c r="D3029" s="36"/>
      <c r="E3029" s="36"/>
    </row>
    <row r="3030" spans="1:5" x14ac:dyDescent="0.25">
      <c r="A3030" s="28"/>
      <c r="B3030" s="180"/>
      <c r="C3030" s="35"/>
      <c r="D3030" s="36"/>
      <c r="E3030" s="36"/>
    </row>
    <row r="3031" spans="1:5" x14ac:dyDescent="0.25">
      <c r="A3031" s="28"/>
      <c r="B3031" s="180"/>
      <c r="C3031" s="35"/>
      <c r="D3031" s="36"/>
      <c r="E3031" s="36"/>
    </row>
    <row r="3032" spans="1:5" x14ac:dyDescent="0.25">
      <c r="A3032" s="28"/>
      <c r="B3032" s="180"/>
      <c r="C3032" s="35"/>
      <c r="D3032" s="36"/>
      <c r="E3032" s="36"/>
    </row>
    <row r="3033" spans="1:5" x14ac:dyDescent="0.25">
      <c r="A3033" s="28"/>
      <c r="B3033" s="180"/>
      <c r="C3033" s="35"/>
      <c r="D3033" s="36"/>
      <c r="E3033" s="36"/>
    </row>
    <row r="3034" spans="1:5" x14ac:dyDescent="0.25">
      <c r="A3034" s="28"/>
      <c r="B3034" s="180"/>
      <c r="C3034" s="35"/>
      <c r="D3034" s="36"/>
      <c r="E3034" s="36"/>
    </row>
    <row r="3035" spans="1:5" x14ac:dyDescent="0.25">
      <c r="A3035" s="28"/>
      <c r="B3035" s="180"/>
      <c r="C3035" s="35"/>
      <c r="D3035" s="36"/>
      <c r="E3035" s="36"/>
    </row>
    <row r="3036" spans="1:5" x14ac:dyDescent="0.25">
      <c r="A3036" s="28"/>
      <c r="B3036" s="180"/>
      <c r="C3036" s="35"/>
      <c r="D3036" s="36"/>
      <c r="E3036" s="36"/>
    </row>
    <row r="3037" spans="1:5" x14ac:dyDescent="0.25">
      <c r="A3037" s="28"/>
      <c r="B3037" s="180"/>
      <c r="C3037" s="35"/>
      <c r="D3037" s="36"/>
      <c r="E3037" s="36"/>
    </row>
    <row r="3038" spans="1:5" x14ac:dyDescent="0.25">
      <c r="A3038" s="28"/>
      <c r="B3038" s="180"/>
      <c r="C3038" s="35"/>
      <c r="D3038" s="36"/>
      <c r="E3038" s="36"/>
    </row>
    <row r="3039" spans="1:5" x14ac:dyDescent="0.25">
      <c r="A3039" s="28"/>
      <c r="B3039" s="180"/>
      <c r="C3039" s="35"/>
      <c r="D3039" s="36"/>
      <c r="E3039" s="36"/>
    </row>
    <row r="3040" spans="1:5" x14ac:dyDescent="0.25">
      <c r="A3040" s="28"/>
      <c r="B3040" s="180"/>
      <c r="C3040" s="35"/>
      <c r="D3040" s="36"/>
      <c r="E3040" s="36"/>
    </row>
    <row r="3041" spans="1:5" x14ac:dyDescent="0.25">
      <c r="A3041" s="28"/>
      <c r="B3041" s="180"/>
      <c r="C3041" s="35"/>
      <c r="D3041" s="36"/>
      <c r="E3041" s="36"/>
    </row>
    <row r="3042" spans="1:5" x14ac:dyDescent="0.25">
      <c r="A3042" s="28"/>
      <c r="B3042" s="180"/>
      <c r="C3042" s="35"/>
      <c r="D3042" s="36"/>
      <c r="E3042" s="36"/>
    </row>
    <row r="3043" spans="1:5" x14ac:dyDescent="0.25">
      <c r="A3043" s="28"/>
      <c r="B3043" s="180"/>
      <c r="C3043" s="35"/>
      <c r="D3043" s="36"/>
      <c r="E3043" s="36"/>
    </row>
    <row r="3044" spans="1:5" x14ac:dyDescent="0.25">
      <c r="A3044" s="28"/>
      <c r="B3044" s="180"/>
      <c r="C3044" s="35"/>
      <c r="D3044" s="36"/>
      <c r="E3044" s="36"/>
    </row>
    <row r="3045" spans="1:5" x14ac:dyDescent="0.25">
      <c r="A3045" s="28"/>
      <c r="B3045" s="180"/>
      <c r="C3045" s="35"/>
      <c r="D3045" s="36"/>
      <c r="E3045" s="36"/>
    </row>
    <row r="3046" spans="1:5" x14ac:dyDescent="0.25">
      <c r="A3046" s="28"/>
      <c r="B3046" s="180"/>
      <c r="C3046" s="35"/>
      <c r="D3046" s="36"/>
      <c r="E3046" s="36"/>
    </row>
    <row r="3047" spans="1:5" x14ac:dyDescent="0.25">
      <c r="A3047" s="28"/>
      <c r="B3047" s="180"/>
      <c r="C3047" s="35"/>
      <c r="D3047" s="36"/>
      <c r="E3047" s="36"/>
    </row>
    <row r="3048" spans="1:5" x14ac:dyDescent="0.25">
      <c r="A3048" s="28"/>
      <c r="B3048" s="180"/>
      <c r="C3048" s="35"/>
      <c r="D3048" s="36"/>
      <c r="E3048" s="36"/>
    </row>
    <row r="3049" spans="1:5" x14ac:dyDescent="0.25">
      <c r="A3049" s="28"/>
      <c r="B3049" s="180"/>
      <c r="C3049" s="35"/>
      <c r="D3049" s="36"/>
      <c r="E3049" s="36"/>
    </row>
    <row r="3050" spans="1:5" x14ac:dyDescent="0.25">
      <c r="A3050" s="28"/>
      <c r="B3050" s="180"/>
      <c r="C3050" s="35"/>
      <c r="D3050" s="36"/>
      <c r="E3050" s="36"/>
    </row>
    <row r="3051" spans="1:5" x14ac:dyDescent="0.25">
      <c r="A3051" s="28"/>
      <c r="B3051" s="180"/>
      <c r="C3051" s="35"/>
      <c r="D3051" s="36"/>
      <c r="E3051" s="36"/>
    </row>
    <row r="3052" spans="1:5" x14ac:dyDescent="0.25">
      <c r="A3052" s="28"/>
      <c r="B3052" s="180"/>
      <c r="C3052" s="35"/>
      <c r="D3052" s="36"/>
      <c r="E3052" s="36"/>
    </row>
    <row r="3053" spans="1:5" x14ac:dyDescent="0.25">
      <c r="A3053" s="28"/>
      <c r="B3053" s="180"/>
      <c r="C3053" s="35"/>
      <c r="D3053" s="36"/>
      <c r="E3053" s="36"/>
    </row>
    <row r="3054" spans="1:5" x14ac:dyDescent="0.25">
      <c r="A3054" s="28"/>
      <c r="B3054" s="180"/>
      <c r="C3054" s="35"/>
      <c r="D3054" s="36"/>
      <c r="E3054" s="36"/>
    </row>
    <row r="3055" spans="1:5" x14ac:dyDescent="0.25">
      <c r="A3055" s="28"/>
      <c r="B3055" s="180"/>
      <c r="C3055" s="35"/>
      <c r="D3055" s="36"/>
      <c r="E3055" s="36"/>
    </row>
    <row r="3056" spans="1:5" x14ac:dyDescent="0.25">
      <c r="A3056" s="28"/>
      <c r="B3056" s="180"/>
      <c r="C3056" s="35"/>
      <c r="D3056" s="36"/>
      <c r="E3056" s="36"/>
    </row>
    <row r="3057" spans="1:5" x14ac:dyDescent="0.25">
      <c r="A3057" s="28"/>
      <c r="B3057" s="180"/>
      <c r="C3057" s="35"/>
      <c r="D3057" s="36"/>
      <c r="E3057" s="36"/>
    </row>
    <row r="3058" spans="1:5" x14ac:dyDescent="0.25">
      <c r="A3058" s="28"/>
      <c r="B3058" s="180"/>
      <c r="C3058" s="35"/>
      <c r="D3058" s="36"/>
      <c r="E3058" s="36"/>
    </row>
    <row r="3059" spans="1:5" x14ac:dyDescent="0.25">
      <c r="A3059" s="28"/>
      <c r="B3059" s="180"/>
      <c r="C3059" s="35"/>
      <c r="D3059" s="36"/>
      <c r="E3059" s="36"/>
    </row>
    <row r="3060" spans="1:5" x14ac:dyDescent="0.25">
      <c r="A3060" s="28"/>
      <c r="B3060" s="180"/>
      <c r="C3060" s="35"/>
      <c r="D3060" s="36"/>
      <c r="E3060" s="36"/>
    </row>
    <row r="3061" spans="1:5" x14ac:dyDescent="0.25">
      <c r="A3061" s="28"/>
      <c r="B3061" s="180"/>
      <c r="C3061" s="35"/>
      <c r="D3061" s="36"/>
      <c r="E3061" s="36"/>
    </row>
    <row r="3062" spans="1:5" x14ac:dyDescent="0.25">
      <c r="A3062" s="28"/>
      <c r="B3062" s="180"/>
      <c r="C3062" s="35"/>
      <c r="D3062" s="36"/>
      <c r="E3062" s="36"/>
    </row>
    <row r="3063" spans="1:5" x14ac:dyDescent="0.25">
      <c r="A3063" s="28"/>
      <c r="B3063" s="180"/>
      <c r="C3063" s="35"/>
      <c r="D3063" s="36"/>
      <c r="E3063" s="36"/>
    </row>
    <row r="3064" spans="1:5" x14ac:dyDescent="0.25">
      <c r="A3064" s="28"/>
      <c r="B3064" s="180"/>
      <c r="C3064" s="35"/>
      <c r="D3064" s="36"/>
      <c r="E3064" s="36"/>
    </row>
    <row r="3065" spans="1:5" x14ac:dyDescent="0.25">
      <c r="A3065" s="28"/>
      <c r="B3065" s="180"/>
      <c r="C3065" s="35"/>
      <c r="D3065" s="36"/>
      <c r="E3065" s="36"/>
    </row>
    <row r="3066" spans="1:5" x14ac:dyDescent="0.25">
      <c r="A3066" s="28"/>
      <c r="B3066" s="180"/>
      <c r="C3066" s="35"/>
      <c r="D3066" s="36"/>
      <c r="E3066" s="36"/>
    </row>
    <row r="3067" spans="1:5" x14ac:dyDescent="0.25">
      <c r="A3067" s="28"/>
      <c r="B3067" s="180"/>
      <c r="C3067" s="35"/>
      <c r="D3067" s="36"/>
      <c r="E3067" s="36"/>
    </row>
    <row r="3068" spans="1:5" x14ac:dyDescent="0.25">
      <c r="A3068" s="28"/>
      <c r="B3068" s="180"/>
      <c r="C3068" s="35"/>
      <c r="D3068" s="36"/>
      <c r="E3068" s="36"/>
    </row>
    <row r="3069" spans="1:5" x14ac:dyDescent="0.25">
      <c r="A3069" s="28"/>
      <c r="B3069" s="180"/>
      <c r="C3069" s="35"/>
      <c r="D3069" s="36"/>
      <c r="E3069" s="36"/>
    </row>
    <row r="3070" spans="1:5" x14ac:dyDescent="0.25">
      <c r="A3070" s="28"/>
      <c r="B3070" s="180"/>
      <c r="C3070" s="35"/>
      <c r="D3070" s="36"/>
      <c r="E3070" s="36"/>
    </row>
    <row r="3071" spans="1:5" x14ac:dyDescent="0.25">
      <c r="A3071" s="28"/>
      <c r="B3071" s="180"/>
      <c r="C3071" s="35"/>
      <c r="D3071" s="36"/>
      <c r="E3071" s="36"/>
    </row>
    <row r="3072" spans="1:5" x14ac:dyDescent="0.25">
      <c r="A3072" s="28"/>
      <c r="B3072" s="180"/>
      <c r="C3072" s="35"/>
      <c r="D3072" s="36"/>
      <c r="E3072" s="36"/>
    </row>
    <row r="3073" spans="1:5" x14ac:dyDescent="0.25">
      <c r="A3073" s="28"/>
      <c r="B3073" s="180"/>
      <c r="C3073" s="35"/>
      <c r="D3073" s="36"/>
      <c r="E3073" s="36"/>
    </row>
    <row r="3074" spans="1:5" x14ac:dyDescent="0.25">
      <c r="A3074" s="28"/>
      <c r="B3074" s="180"/>
      <c r="C3074" s="35"/>
      <c r="D3074" s="36"/>
      <c r="E3074" s="36"/>
    </row>
    <row r="3075" spans="1:5" x14ac:dyDescent="0.25">
      <c r="A3075" s="28"/>
      <c r="B3075" s="180"/>
      <c r="C3075" s="35"/>
      <c r="D3075" s="36"/>
      <c r="E3075" s="36"/>
    </row>
    <row r="3076" spans="1:5" x14ac:dyDescent="0.25">
      <c r="A3076" s="28"/>
      <c r="B3076" s="180"/>
      <c r="C3076" s="35"/>
      <c r="D3076" s="36"/>
      <c r="E3076" s="36"/>
    </row>
    <row r="3077" spans="1:5" x14ac:dyDescent="0.25">
      <c r="A3077" s="28"/>
      <c r="B3077" s="180"/>
      <c r="C3077" s="35"/>
      <c r="D3077" s="36"/>
      <c r="E3077" s="36"/>
    </row>
    <row r="3078" spans="1:5" x14ac:dyDescent="0.25">
      <c r="A3078" s="28"/>
      <c r="B3078" s="180"/>
      <c r="C3078" s="35"/>
      <c r="D3078" s="36"/>
      <c r="E3078" s="36"/>
    </row>
    <row r="3079" spans="1:5" x14ac:dyDescent="0.25">
      <c r="A3079" s="28"/>
      <c r="B3079" s="180"/>
      <c r="C3079" s="35"/>
      <c r="D3079" s="36"/>
      <c r="E3079" s="36"/>
    </row>
    <row r="3080" spans="1:5" x14ac:dyDescent="0.25">
      <c r="A3080" s="28"/>
      <c r="B3080" s="180"/>
      <c r="C3080" s="35"/>
      <c r="D3080" s="36"/>
      <c r="E3080" s="36"/>
    </row>
    <row r="3081" spans="1:5" x14ac:dyDescent="0.25">
      <c r="A3081" s="28"/>
      <c r="B3081" s="180"/>
      <c r="C3081" s="35"/>
      <c r="D3081" s="36"/>
      <c r="E3081" s="36"/>
    </row>
    <row r="3082" spans="1:5" x14ac:dyDescent="0.25">
      <c r="A3082" s="28"/>
      <c r="B3082" s="180"/>
      <c r="C3082" s="35"/>
      <c r="D3082" s="36"/>
      <c r="E3082" s="36"/>
    </row>
    <row r="3083" spans="1:5" x14ac:dyDescent="0.25">
      <c r="A3083" s="28"/>
      <c r="B3083" s="180"/>
      <c r="C3083" s="35"/>
      <c r="D3083" s="36"/>
      <c r="E3083" s="36"/>
    </row>
    <row r="3084" spans="1:5" x14ac:dyDescent="0.25">
      <c r="A3084" s="28"/>
      <c r="B3084" s="180"/>
      <c r="C3084" s="35"/>
      <c r="D3084" s="36"/>
      <c r="E3084" s="36"/>
    </row>
    <row r="3085" spans="1:5" x14ac:dyDescent="0.25">
      <c r="A3085" s="28"/>
      <c r="B3085" s="180"/>
      <c r="C3085" s="35"/>
      <c r="D3085" s="36"/>
      <c r="E3085" s="36"/>
    </row>
    <row r="3086" spans="1:5" x14ac:dyDescent="0.25">
      <c r="A3086" s="28"/>
      <c r="B3086" s="180"/>
      <c r="C3086" s="35"/>
      <c r="D3086" s="36"/>
      <c r="E3086" s="36"/>
    </row>
    <row r="3087" spans="1:5" x14ac:dyDescent="0.25">
      <c r="A3087" s="28"/>
      <c r="B3087" s="180"/>
      <c r="C3087" s="35"/>
      <c r="D3087" s="36"/>
      <c r="E3087" s="36"/>
    </row>
    <row r="3088" spans="1:5" x14ac:dyDescent="0.25">
      <c r="A3088" s="28"/>
      <c r="B3088" s="180"/>
      <c r="C3088" s="35"/>
      <c r="D3088" s="36"/>
      <c r="E3088" s="36"/>
    </row>
    <row r="3089" spans="1:5" x14ac:dyDescent="0.25">
      <c r="A3089" s="28"/>
      <c r="B3089" s="180"/>
      <c r="C3089" s="35"/>
      <c r="D3089" s="36"/>
      <c r="E3089" s="36"/>
    </row>
    <row r="3090" spans="1:5" x14ac:dyDescent="0.25">
      <c r="A3090" s="28"/>
      <c r="B3090" s="180"/>
      <c r="C3090" s="35"/>
      <c r="D3090" s="36"/>
      <c r="E3090" s="36"/>
    </row>
    <row r="3091" spans="1:5" x14ac:dyDescent="0.25">
      <c r="A3091" s="28"/>
      <c r="B3091" s="180"/>
      <c r="C3091" s="35"/>
      <c r="D3091" s="36"/>
      <c r="E3091" s="36"/>
    </row>
    <row r="3092" spans="1:5" x14ac:dyDescent="0.25">
      <c r="A3092" s="28"/>
      <c r="B3092" s="180"/>
      <c r="C3092" s="35"/>
      <c r="D3092" s="36"/>
      <c r="E3092" s="36"/>
    </row>
    <row r="3093" spans="1:5" x14ac:dyDescent="0.25">
      <c r="A3093" s="28"/>
      <c r="B3093" s="180"/>
      <c r="C3093" s="35"/>
      <c r="D3093" s="36"/>
      <c r="E3093" s="36"/>
    </row>
    <row r="3094" spans="1:5" x14ac:dyDescent="0.25">
      <c r="A3094" s="28"/>
      <c r="B3094" s="180"/>
      <c r="C3094" s="35"/>
      <c r="D3094" s="36"/>
      <c r="E3094" s="36"/>
    </row>
    <row r="3095" spans="1:5" x14ac:dyDescent="0.25">
      <c r="A3095" s="28"/>
      <c r="B3095" s="180"/>
      <c r="C3095" s="35"/>
      <c r="D3095" s="36"/>
      <c r="E3095" s="36"/>
    </row>
    <row r="3096" spans="1:5" x14ac:dyDescent="0.25">
      <c r="A3096" s="28"/>
      <c r="B3096" s="180"/>
      <c r="C3096" s="35"/>
      <c r="D3096" s="36"/>
      <c r="E3096" s="36"/>
    </row>
    <row r="3097" spans="1:5" x14ac:dyDescent="0.25">
      <c r="A3097" s="28"/>
      <c r="B3097" s="180"/>
      <c r="C3097" s="35"/>
      <c r="D3097" s="36"/>
      <c r="E3097" s="36"/>
    </row>
    <row r="3098" spans="1:5" x14ac:dyDescent="0.25">
      <c r="A3098" s="28"/>
      <c r="B3098" s="180"/>
      <c r="C3098" s="35"/>
      <c r="D3098" s="36"/>
      <c r="E3098" s="36"/>
    </row>
    <row r="3099" spans="1:5" x14ac:dyDescent="0.25">
      <c r="A3099" s="28"/>
      <c r="B3099" s="180"/>
      <c r="C3099" s="35"/>
      <c r="D3099" s="36"/>
      <c r="E3099" s="36"/>
    </row>
    <row r="3100" spans="1:5" x14ac:dyDescent="0.25">
      <c r="A3100" s="28"/>
      <c r="B3100" s="180"/>
      <c r="C3100" s="35"/>
      <c r="D3100" s="36"/>
      <c r="E3100" s="36"/>
    </row>
    <row r="3101" spans="1:5" x14ac:dyDescent="0.25">
      <c r="A3101" s="28"/>
      <c r="B3101" s="180"/>
      <c r="C3101" s="35"/>
      <c r="D3101" s="36"/>
      <c r="E3101" s="36"/>
    </row>
    <row r="3102" spans="1:5" x14ac:dyDescent="0.25">
      <c r="A3102" s="28"/>
      <c r="B3102" s="180"/>
      <c r="C3102" s="35"/>
      <c r="D3102" s="36"/>
      <c r="E3102" s="36"/>
    </row>
    <row r="3103" spans="1:5" x14ac:dyDescent="0.25">
      <c r="A3103" s="28"/>
      <c r="B3103" s="180"/>
      <c r="C3103" s="35"/>
      <c r="D3103" s="36"/>
      <c r="E3103" s="36"/>
    </row>
    <row r="3104" spans="1:5" x14ac:dyDescent="0.25">
      <c r="A3104" s="28"/>
      <c r="B3104" s="180"/>
      <c r="C3104" s="35"/>
      <c r="D3104" s="36"/>
      <c r="E3104" s="36"/>
    </row>
    <row r="3105" spans="1:5" x14ac:dyDescent="0.25">
      <c r="A3105" s="28"/>
      <c r="B3105" s="180"/>
      <c r="C3105" s="35"/>
      <c r="D3105" s="36"/>
      <c r="E3105" s="36"/>
    </row>
    <row r="3106" spans="1:5" x14ac:dyDescent="0.25">
      <c r="A3106" s="28"/>
      <c r="B3106" s="180"/>
      <c r="C3106" s="35"/>
      <c r="D3106" s="36"/>
      <c r="E3106" s="36"/>
    </row>
    <row r="3107" spans="1:5" x14ac:dyDescent="0.25">
      <c r="A3107" s="28"/>
      <c r="B3107" s="180"/>
      <c r="C3107" s="35"/>
      <c r="D3107" s="36"/>
      <c r="E3107" s="36"/>
    </row>
    <row r="3108" spans="1:5" x14ac:dyDescent="0.25">
      <c r="A3108" s="28"/>
      <c r="B3108" s="180"/>
      <c r="C3108" s="35"/>
      <c r="D3108" s="36"/>
      <c r="E3108" s="36"/>
    </row>
    <row r="3109" spans="1:5" x14ac:dyDescent="0.25">
      <c r="A3109" s="28"/>
      <c r="B3109" s="180"/>
      <c r="C3109" s="35"/>
      <c r="D3109" s="36"/>
      <c r="E3109" s="36"/>
    </row>
    <row r="3110" spans="1:5" x14ac:dyDescent="0.25">
      <c r="A3110" s="28"/>
      <c r="B3110" s="180"/>
      <c r="C3110" s="35"/>
      <c r="D3110" s="36"/>
      <c r="E3110" s="36"/>
    </row>
    <row r="3111" spans="1:5" x14ac:dyDescent="0.25">
      <c r="A3111" s="28"/>
      <c r="B3111" s="180"/>
      <c r="C3111" s="35"/>
      <c r="D3111" s="36"/>
      <c r="E3111" s="36"/>
    </row>
    <row r="3112" spans="1:5" x14ac:dyDescent="0.25">
      <c r="A3112" s="28"/>
      <c r="B3112" s="180"/>
      <c r="C3112" s="35"/>
      <c r="D3112" s="36"/>
      <c r="E3112" s="36"/>
    </row>
    <row r="3113" spans="1:5" x14ac:dyDescent="0.25">
      <c r="A3113" s="28"/>
      <c r="B3113" s="180"/>
      <c r="C3113" s="35"/>
      <c r="D3113" s="36"/>
      <c r="E3113" s="36"/>
    </row>
    <row r="3114" spans="1:5" x14ac:dyDescent="0.25">
      <c r="A3114" s="28"/>
      <c r="B3114" s="180"/>
      <c r="C3114" s="35"/>
      <c r="D3114" s="36"/>
      <c r="E3114" s="36"/>
    </row>
    <row r="3115" spans="1:5" x14ac:dyDescent="0.25">
      <c r="A3115" s="28"/>
      <c r="B3115" s="180"/>
      <c r="C3115" s="35"/>
      <c r="D3115" s="36"/>
      <c r="E3115" s="36"/>
    </row>
    <row r="3116" spans="1:5" x14ac:dyDescent="0.25">
      <c r="A3116" s="28"/>
      <c r="B3116" s="180"/>
      <c r="C3116" s="35"/>
      <c r="D3116" s="36"/>
      <c r="E3116" s="36"/>
    </row>
    <row r="3117" spans="1:5" x14ac:dyDescent="0.25">
      <c r="A3117" s="28"/>
      <c r="B3117" s="180"/>
      <c r="C3117" s="35"/>
      <c r="D3117" s="36"/>
      <c r="E3117" s="36"/>
    </row>
    <row r="3118" spans="1:5" x14ac:dyDescent="0.25">
      <c r="A3118" s="28"/>
      <c r="B3118" s="180"/>
      <c r="C3118" s="35"/>
      <c r="D3118" s="36"/>
      <c r="E3118" s="36"/>
    </row>
    <row r="3119" spans="1:5" x14ac:dyDescent="0.25">
      <c r="A3119" s="28"/>
      <c r="B3119" s="180"/>
      <c r="C3119" s="35"/>
      <c r="D3119" s="36"/>
      <c r="E3119" s="36"/>
    </row>
    <row r="3120" spans="1:5" x14ac:dyDescent="0.25">
      <c r="A3120" s="28"/>
      <c r="B3120" s="180"/>
      <c r="C3120" s="35"/>
      <c r="D3120" s="36"/>
      <c r="E3120" s="36"/>
    </row>
    <row r="3121" spans="1:5" x14ac:dyDescent="0.25">
      <c r="A3121" s="28"/>
      <c r="B3121" s="180"/>
      <c r="C3121" s="35"/>
      <c r="D3121" s="36"/>
      <c r="E3121" s="36"/>
    </row>
    <row r="3122" spans="1:5" x14ac:dyDescent="0.25">
      <c r="A3122" s="28"/>
      <c r="B3122" s="180"/>
      <c r="C3122" s="35"/>
      <c r="D3122" s="36"/>
      <c r="E3122" s="36"/>
    </row>
    <row r="3123" spans="1:5" x14ac:dyDescent="0.25">
      <c r="A3123" s="28"/>
      <c r="B3123" s="180"/>
      <c r="C3123" s="35"/>
      <c r="D3123" s="36"/>
      <c r="E3123" s="36"/>
    </row>
    <row r="3124" spans="1:5" x14ac:dyDescent="0.25">
      <c r="A3124" s="28"/>
      <c r="B3124" s="180"/>
      <c r="C3124" s="35"/>
      <c r="D3124" s="36"/>
      <c r="E3124" s="36"/>
    </row>
    <row r="3125" spans="1:5" x14ac:dyDescent="0.25">
      <c r="A3125" s="28"/>
      <c r="B3125" s="180"/>
      <c r="C3125" s="35"/>
      <c r="D3125" s="36"/>
      <c r="E3125" s="36"/>
    </row>
    <row r="3126" spans="1:5" x14ac:dyDescent="0.25">
      <c r="A3126" s="28"/>
      <c r="B3126" s="180"/>
      <c r="C3126" s="35"/>
      <c r="D3126" s="36"/>
      <c r="E3126" s="36"/>
    </row>
    <row r="3127" spans="1:5" x14ac:dyDescent="0.25">
      <c r="A3127" s="28"/>
      <c r="B3127" s="180"/>
      <c r="C3127" s="35"/>
      <c r="D3127" s="36"/>
      <c r="E3127" s="36"/>
    </row>
    <row r="3128" spans="1:5" x14ac:dyDescent="0.25">
      <c r="A3128" s="28"/>
      <c r="B3128" s="180"/>
      <c r="C3128" s="35"/>
      <c r="D3128" s="36"/>
      <c r="E3128" s="36"/>
    </row>
    <row r="3129" spans="1:5" x14ac:dyDescent="0.25">
      <c r="A3129" s="28"/>
      <c r="B3129" s="180"/>
      <c r="C3129" s="35"/>
      <c r="D3129" s="36"/>
      <c r="E3129" s="36"/>
    </row>
    <row r="3130" spans="1:5" x14ac:dyDescent="0.25">
      <c r="A3130" s="28"/>
      <c r="B3130" s="180"/>
      <c r="C3130" s="35"/>
      <c r="D3130" s="36"/>
      <c r="E3130" s="36"/>
    </row>
    <row r="3131" spans="1:5" x14ac:dyDescent="0.25">
      <c r="A3131" s="28"/>
      <c r="B3131" s="180"/>
      <c r="C3131" s="35"/>
      <c r="D3131" s="36"/>
      <c r="E3131" s="36"/>
    </row>
    <row r="3132" spans="1:5" x14ac:dyDescent="0.25">
      <c r="A3132" s="28"/>
      <c r="B3132" s="180"/>
      <c r="C3132" s="35"/>
      <c r="D3132" s="36"/>
      <c r="E3132" s="36"/>
    </row>
    <row r="3133" spans="1:5" x14ac:dyDescent="0.25">
      <c r="A3133" s="28"/>
      <c r="B3133" s="180"/>
      <c r="C3133" s="35"/>
      <c r="D3133" s="36"/>
      <c r="E3133" s="36"/>
    </row>
    <row r="3134" spans="1:5" x14ac:dyDescent="0.25">
      <c r="A3134" s="28"/>
      <c r="B3134" s="180"/>
      <c r="C3134" s="35"/>
      <c r="D3134" s="36"/>
      <c r="E3134" s="36"/>
    </row>
    <row r="3135" spans="1:5" x14ac:dyDescent="0.25">
      <c r="A3135" s="28"/>
      <c r="B3135" s="180"/>
      <c r="C3135" s="35"/>
      <c r="D3135" s="36"/>
      <c r="E3135" s="36"/>
    </row>
    <row r="3136" spans="1:5" x14ac:dyDescent="0.25">
      <c r="A3136" s="28"/>
      <c r="B3136" s="180"/>
      <c r="C3136" s="35"/>
      <c r="D3136" s="36"/>
      <c r="E3136" s="36"/>
    </row>
    <row r="3137" spans="1:5" x14ac:dyDescent="0.25">
      <c r="A3137" s="28"/>
      <c r="B3137" s="180"/>
      <c r="C3137" s="35"/>
      <c r="D3137" s="36"/>
      <c r="E3137" s="36"/>
    </row>
    <row r="3138" spans="1:5" x14ac:dyDescent="0.25">
      <c r="A3138" s="28"/>
      <c r="B3138" s="180"/>
      <c r="C3138" s="35"/>
      <c r="D3138" s="36"/>
      <c r="E3138" s="36"/>
    </row>
    <row r="3139" spans="1:5" x14ac:dyDescent="0.25">
      <c r="A3139" s="28"/>
      <c r="B3139" s="180"/>
      <c r="C3139" s="35"/>
      <c r="D3139" s="36"/>
      <c r="E3139" s="36"/>
    </row>
    <row r="3140" spans="1:5" x14ac:dyDescent="0.25">
      <c r="A3140" s="28"/>
      <c r="B3140" s="180"/>
      <c r="C3140" s="35"/>
      <c r="D3140" s="36"/>
      <c r="E3140" s="36"/>
    </row>
    <row r="3141" spans="1:5" x14ac:dyDescent="0.25">
      <c r="A3141" s="28"/>
      <c r="B3141" s="180"/>
      <c r="C3141" s="35"/>
      <c r="D3141" s="36"/>
      <c r="E3141" s="36"/>
    </row>
    <row r="3142" spans="1:5" x14ac:dyDescent="0.25">
      <c r="A3142" s="28"/>
      <c r="B3142" s="180"/>
      <c r="C3142" s="35"/>
      <c r="D3142" s="36"/>
      <c r="E3142" s="36"/>
    </row>
    <row r="3143" spans="1:5" x14ac:dyDescent="0.25">
      <c r="A3143" s="28"/>
      <c r="B3143" s="180"/>
      <c r="C3143" s="35"/>
      <c r="D3143" s="36"/>
      <c r="E3143" s="36"/>
    </row>
    <row r="3144" spans="1:5" x14ac:dyDescent="0.25">
      <c r="A3144" s="28"/>
      <c r="B3144" s="180"/>
      <c r="C3144" s="35"/>
      <c r="D3144" s="36"/>
      <c r="E3144" s="36"/>
    </row>
    <row r="3145" spans="1:5" x14ac:dyDescent="0.25">
      <c r="A3145" s="28"/>
      <c r="B3145" s="180"/>
      <c r="C3145" s="35"/>
      <c r="D3145" s="36"/>
      <c r="E3145" s="36"/>
    </row>
    <row r="3146" spans="1:5" x14ac:dyDescent="0.25">
      <c r="A3146" s="28"/>
      <c r="B3146" s="180"/>
      <c r="C3146" s="35"/>
      <c r="D3146" s="36"/>
      <c r="E3146" s="36"/>
    </row>
    <row r="3147" spans="1:5" x14ac:dyDescent="0.25">
      <c r="A3147" s="28"/>
      <c r="B3147" s="180"/>
      <c r="C3147" s="35"/>
      <c r="D3147" s="36"/>
      <c r="E3147" s="36"/>
    </row>
    <row r="3148" spans="1:5" x14ac:dyDescent="0.25">
      <c r="A3148" s="28"/>
      <c r="B3148" s="180"/>
      <c r="C3148" s="35"/>
      <c r="D3148" s="36"/>
      <c r="E3148" s="36"/>
    </row>
    <row r="3149" spans="1:5" x14ac:dyDescent="0.25">
      <c r="A3149" s="28"/>
      <c r="B3149" s="180"/>
      <c r="C3149" s="35"/>
      <c r="D3149" s="36"/>
      <c r="E3149" s="36"/>
    </row>
    <row r="3150" spans="1:5" x14ac:dyDescent="0.25">
      <c r="A3150" s="28"/>
      <c r="B3150" s="180"/>
      <c r="C3150" s="35"/>
      <c r="D3150" s="36"/>
      <c r="E3150" s="36"/>
    </row>
    <row r="3151" spans="1:5" x14ac:dyDescent="0.25">
      <c r="A3151" s="28"/>
      <c r="B3151" s="180"/>
      <c r="C3151" s="35"/>
      <c r="D3151" s="36"/>
      <c r="E3151" s="36"/>
    </row>
    <row r="3152" spans="1:5" x14ac:dyDescent="0.25">
      <c r="A3152" s="28"/>
      <c r="B3152" s="180"/>
      <c r="C3152" s="35"/>
      <c r="D3152" s="36"/>
      <c r="E3152" s="36"/>
    </row>
    <row r="3153" spans="1:5" x14ac:dyDescent="0.25">
      <c r="A3153" s="28"/>
      <c r="B3153" s="180"/>
      <c r="C3153" s="35"/>
      <c r="D3153" s="36"/>
      <c r="E3153" s="36"/>
    </row>
    <row r="3154" spans="1:5" x14ac:dyDescent="0.25">
      <c r="A3154" s="28"/>
      <c r="B3154" s="180"/>
      <c r="C3154" s="35"/>
      <c r="D3154" s="36"/>
      <c r="E3154" s="36"/>
    </row>
    <row r="3155" spans="1:5" x14ac:dyDescent="0.25">
      <c r="A3155" s="28"/>
      <c r="B3155" s="180"/>
      <c r="C3155" s="35"/>
      <c r="D3155" s="36"/>
      <c r="E3155" s="36"/>
    </row>
    <row r="3156" spans="1:5" x14ac:dyDescent="0.25">
      <c r="A3156" s="28"/>
      <c r="B3156" s="180"/>
      <c r="C3156" s="35"/>
      <c r="D3156" s="36"/>
      <c r="E3156" s="36"/>
    </row>
    <row r="3157" spans="1:5" x14ac:dyDescent="0.25">
      <c r="A3157" s="28"/>
      <c r="B3157" s="180"/>
      <c r="C3157" s="35"/>
      <c r="D3157" s="36"/>
      <c r="E3157" s="36"/>
    </row>
    <row r="3158" spans="1:5" x14ac:dyDescent="0.25">
      <c r="A3158" s="28"/>
      <c r="B3158" s="180"/>
      <c r="C3158" s="35"/>
      <c r="D3158" s="36"/>
      <c r="E3158" s="36"/>
    </row>
    <row r="3159" spans="1:5" x14ac:dyDescent="0.25">
      <c r="A3159" s="28"/>
      <c r="B3159" s="180"/>
      <c r="C3159" s="35"/>
      <c r="D3159" s="36"/>
      <c r="E3159" s="36"/>
    </row>
    <row r="3160" spans="1:5" x14ac:dyDescent="0.25">
      <c r="A3160" s="28"/>
      <c r="B3160" s="180"/>
      <c r="C3160" s="35"/>
      <c r="D3160" s="36"/>
      <c r="E3160" s="36"/>
    </row>
    <row r="3161" spans="1:5" x14ac:dyDescent="0.25">
      <c r="A3161" s="28"/>
      <c r="B3161" s="180"/>
      <c r="C3161" s="35"/>
      <c r="D3161" s="36"/>
      <c r="E3161" s="36"/>
    </row>
    <row r="3162" spans="1:5" x14ac:dyDescent="0.25">
      <c r="A3162" s="28"/>
      <c r="B3162" s="180"/>
      <c r="C3162" s="35"/>
      <c r="D3162" s="36"/>
      <c r="E3162" s="36"/>
    </row>
    <row r="3163" spans="1:5" x14ac:dyDescent="0.25">
      <c r="A3163" s="28"/>
      <c r="B3163" s="180"/>
      <c r="C3163" s="35"/>
      <c r="D3163" s="36"/>
      <c r="E3163" s="36"/>
    </row>
    <row r="3164" spans="1:5" x14ac:dyDescent="0.25">
      <c r="A3164" s="28"/>
      <c r="B3164" s="180"/>
      <c r="C3164" s="35"/>
      <c r="D3164" s="36"/>
      <c r="E3164" s="36"/>
    </row>
    <row r="3165" spans="1:5" x14ac:dyDescent="0.25">
      <c r="A3165" s="28"/>
      <c r="B3165" s="180"/>
      <c r="C3165" s="35"/>
      <c r="D3165" s="36"/>
      <c r="E3165" s="36"/>
    </row>
    <row r="3166" spans="1:5" x14ac:dyDescent="0.25">
      <c r="A3166" s="28"/>
      <c r="B3166" s="180"/>
      <c r="C3166" s="35"/>
      <c r="D3166" s="36"/>
      <c r="E3166" s="36"/>
    </row>
    <row r="3167" spans="1:5" x14ac:dyDescent="0.25">
      <c r="A3167" s="28"/>
      <c r="B3167" s="180"/>
      <c r="C3167" s="35"/>
      <c r="D3167" s="36"/>
      <c r="E3167" s="36"/>
    </row>
    <row r="3168" spans="1:5" x14ac:dyDescent="0.25">
      <c r="A3168" s="28"/>
      <c r="B3168" s="180"/>
      <c r="C3168" s="35"/>
      <c r="D3168" s="36"/>
      <c r="E3168" s="36"/>
    </row>
    <row r="3169" spans="1:5" x14ac:dyDescent="0.25">
      <c r="A3169" s="28"/>
      <c r="B3169" s="180"/>
      <c r="C3169" s="35"/>
      <c r="D3169" s="36"/>
      <c r="E3169" s="36"/>
    </row>
    <row r="3170" spans="1:5" x14ac:dyDescent="0.25">
      <c r="A3170" s="28"/>
      <c r="B3170" s="180"/>
      <c r="C3170" s="35"/>
      <c r="D3170" s="36"/>
      <c r="E3170" s="36"/>
    </row>
    <row r="3171" spans="1:5" x14ac:dyDescent="0.25">
      <c r="A3171" s="28"/>
      <c r="B3171" s="180"/>
      <c r="C3171" s="35"/>
      <c r="D3171" s="36"/>
      <c r="E3171" s="36"/>
    </row>
    <row r="3172" spans="1:5" x14ac:dyDescent="0.25">
      <c r="A3172" s="28"/>
      <c r="B3172" s="180"/>
      <c r="C3172" s="35"/>
      <c r="D3172" s="36"/>
      <c r="E3172" s="36"/>
    </row>
    <row r="3173" spans="1:5" x14ac:dyDescent="0.25">
      <c r="A3173" s="28"/>
      <c r="B3173" s="180"/>
      <c r="C3173" s="35"/>
      <c r="D3173" s="36"/>
      <c r="E3173" s="36"/>
    </row>
    <row r="3174" spans="1:5" x14ac:dyDescent="0.25">
      <c r="A3174" s="28"/>
      <c r="B3174" s="180"/>
      <c r="C3174" s="35"/>
      <c r="D3174" s="36"/>
      <c r="E3174" s="36"/>
    </row>
    <row r="3175" spans="1:5" x14ac:dyDescent="0.25">
      <c r="A3175" s="28"/>
      <c r="B3175" s="180"/>
      <c r="C3175" s="35"/>
      <c r="D3175" s="36"/>
      <c r="E3175" s="36"/>
    </row>
    <row r="3176" spans="1:5" x14ac:dyDescent="0.25">
      <c r="A3176" s="28"/>
      <c r="B3176" s="180"/>
      <c r="C3176" s="35"/>
      <c r="D3176" s="36"/>
      <c r="E3176" s="36"/>
    </row>
    <row r="3177" spans="1:5" x14ac:dyDescent="0.25">
      <c r="A3177" s="28"/>
      <c r="B3177" s="180"/>
      <c r="C3177" s="35"/>
      <c r="D3177" s="36"/>
      <c r="E3177" s="36"/>
    </row>
    <row r="3178" spans="1:5" x14ac:dyDescent="0.25">
      <c r="A3178" s="28"/>
      <c r="B3178" s="180"/>
      <c r="C3178" s="35"/>
      <c r="D3178" s="36"/>
      <c r="E3178" s="36"/>
    </row>
    <row r="3179" spans="1:5" x14ac:dyDescent="0.25">
      <c r="A3179" s="28"/>
      <c r="B3179" s="180"/>
      <c r="C3179" s="35"/>
      <c r="D3179" s="36"/>
      <c r="E3179" s="36"/>
    </row>
    <row r="3180" spans="1:5" x14ac:dyDescent="0.25">
      <c r="A3180" s="28"/>
      <c r="B3180" s="180"/>
      <c r="C3180" s="35"/>
      <c r="D3180" s="36"/>
      <c r="E3180" s="36"/>
    </row>
    <row r="3181" spans="1:5" x14ac:dyDescent="0.25">
      <c r="A3181" s="28"/>
      <c r="B3181" s="180"/>
      <c r="C3181" s="35"/>
      <c r="D3181" s="36"/>
      <c r="E3181" s="36"/>
    </row>
    <row r="3182" spans="1:5" x14ac:dyDescent="0.25">
      <c r="A3182" s="28"/>
      <c r="B3182" s="180"/>
      <c r="C3182" s="35"/>
      <c r="D3182" s="36"/>
      <c r="E3182" s="36"/>
    </row>
    <row r="3183" spans="1:5" x14ac:dyDescent="0.25">
      <c r="A3183" s="28"/>
      <c r="B3183" s="180"/>
      <c r="C3183" s="35"/>
      <c r="D3183" s="36"/>
      <c r="E3183" s="36"/>
    </row>
    <row r="3184" spans="1:5" x14ac:dyDescent="0.25">
      <c r="A3184" s="28"/>
      <c r="B3184" s="180"/>
      <c r="C3184" s="35"/>
      <c r="D3184" s="36"/>
      <c r="E3184" s="36"/>
    </row>
    <row r="3185" spans="1:5" x14ac:dyDescent="0.25">
      <c r="A3185" s="28"/>
      <c r="B3185" s="180"/>
      <c r="C3185" s="35"/>
      <c r="D3185" s="36"/>
      <c r="E3185" s="36"/>
    </row>
    <row r="3186" spans="1:5" x14ac:dyDescent="0.25">
      <c r="A3186" s="28"/>
      <c r="B3186" s="180"/>
      <c r="C3186" s="35"/>
      <c r="D3186" s="36"/>
      <c r="E3186" s="36"/>
    </row>
    <row r="3187" spans="1:5" x14ac:dyDescent="0.25">
      <c r="A3187" s="28"/>
      <c r="B3187" s="180"/>
      <c r="C3187" s="35"/>
      <c r="D3187" s="36"/>
      <c r="E3187" s="36"/>
    </row>
    <row r="3188" spans="1:5" x14ac:dyDescent="0.25">
      <c r="A3188" s="28"/>
      <c r="B3188" s="180"/>
      <c r="C3188" s="35"/>
      <c r="D3188" s="36"/>
      <c r="E3188" s="36"/>
    </row>
    <row r="3189" spans="1:5" x14ac:dyDescent="0.25">
      <c r="A3189" s="28"/>
      <c r="B3189" s="180"/>
      <c r="C3189" s="35"/>
      <c r="D3189" s="36"/>
      <c r="E3189" s="36"/>
    </row>
    <row r="3190" spans="1:5" x14ac:dyDescent="0.25">
      <c r="A3190" s="28"/>
      <c r="B3190" s="180"/>
      <c r="C3190" s="35"/>
      <c r="D3190" s="36"/>
      <c r="E3190" s="36"/>
    </row>
    <row r="3191" spans="1:5" x14ac:dyDescent="0.25">
      <c r="A3191" s="28"/>
      <c r="B3191" s="180"/>
      <c r="C3191" s="35"/>
      <c r="D3191" s="36"/>
      <c r="E3191" s="36"/>
    </row>
    <row r="3192" spans="1:5" x14ac:dyDescent="0.25">
      <c r="A3192" s="28"/>
      <c r="B3192" s="180"/>
      <c r="C3192" s="35"/>
      <c r="D3192" s="36"/>
      <c r="E3192" s="36"/>
    </row>
    <row r="3193" spans="1:5" x14ac:dyDescent="0.25">
      <c r="A3193" s="28"/>
      <c r="B3193" s="180"/>
      <c r="C3193" s="35"/>
      <c r="D3193" s="36"/>
      <c r="E3193" s="36"/>
    </row>
    <row r="3194" spans="1:5" x14ac:dyDescent="0.25">
      <c r="A3194" s="28"/>
      <c r="B3194" s="180"/>
      <c r="C3194" s="35"/>
      <c r="D3194" s="36"/>
      <c r="E3194" s="36"/>
    </row>
    <row r="3195" spans="1:5" x14ac:dyDescent="0.25">
      <c r="A3195" s="28"/>
      <c r="B3195" s="180"/>
      <c r="C3195" s="35"/>
      <c r="D3195" s="36"/>
      <c r="E3195" s="36"/>
    </row>
    <row r="3196" spans="1:5" x14ac:dyDescent="0.25">
      <c r="A3196" s="28"/>
      <c r="B3196" s="180"/>
      <c r="C3196" s="35"/>
      <c r="D3196" s="36"/>
      <c r="E3196" s="36"/>
    </row>
    <row r="3197" spans="1:5" x14ac:dyDescent="0.25">
      <c r="A3197" s="28"/>
      <c r="B3197" s="180"/>
      <c r="C3197" s="35"/>
      <c r="D3197" s="36"/>
      <c r="E3197" s="36"/>
    </row>
    <row r="3198" spans="1:5" x14ac:dyDescent="0.25">
      <c r="A3198" s="28"/>
      <c r="B3198" s="180"/>
      <c r="C3198" s="35"/>
      <c r="D3198" s="36"/>
      <c r="E3198" s="36"/>
    </row>
    <row r="3199" spans="1:5" x14ac:dyDescent="0.25">
      <c r="A3199" s="28"/>
      <c r="B3199" s="180"/>
      <c r="C3199" s="35"/>
      <c r="D3199" s="36"/>
      <c r="E3199" s="36"/>
    </row>
    <row r="3200" spans="1:5" x14ac:dyDescent="0.25">
      <c r="A3200" s="28"/>
      <c r="B3200" s="180"/>
      <c r="C3200" s="35"/>
      <c r="D3200" s="36"/>
      <c r="E3200" s="36"/>
    </row>
    <row r="3201" spans="1:5" x14ac:dyDescent="0.25">
      <c r="A3201" s="28"/>
      <c r="B3201" s="180"/>
      <c r="C3201" s="35"/>
      <c r="D3201" s="36"/>
      <c r="E3201" s="36"/>
    </row>
    <row r="3202" spans="1:5" x14ac:dyDescent="0.25">
      <c r="A3202" s="28"/>
      <c r="B3202" s="180"/>
      <c r="C3202" s="35"/>
      <c r="D3202" s="36"/>
      <c r="E3202" s="36"/>
    </row>
    <row r="3203" spans="1:5" x14ac:dyDescent="0.25">
      <c r="A3203" s="28"/>
      <c r="B3203" s="180"/>
      <c r="C3203" s="35"/>
      <c r="D3203" s="36"/>
      <c r="E3203" s="36"/>
    </row>
    <row r="3204" spans="1:5" x14ac:dyDescent="0.25">
      <c r="A3204" s="28"/>
      <c r="B3204" s="180"/>
      <c r="C3204" s="35"/>
      <c r="D3204" s="36"/>
      <c r="E3204" s="36"/>
    </row>
    <row r="3205" spans="1:5" x14ac:dyDescent="0.25">
      <c r="A3205" s="28"/>
      <c r="B3205" s="180"/>
      <c r="C3205" s="35"/>
      <c r="D3205" s="36"/>
      <c r="E3205" s="36"/>
    </row>
    <row r="3206" spans="1:5" x14ac:dyDescent="0.25">
      <c r="A3206" s="28"/>
      <c r="B3206" s="180"/>
      <c r="C3206" s="35"/>
      <c r="D3206" s="36"/>
      <c r="E3206" s="36"/>
    </row>
    <row r="3207" spans="1:5" x14ac:dyDescent="0.25">
      <c r="A3207" s="28"/>
      <c r="B3207" s="180"/>
      <c r="C3207" s="35"/>
      <c r="D3207" s="36"/>
      <c r="E3207" s="36"/>
    </row>
    <row r="3208" spans="1:5" x14ac:dyDescent="0.25">
      <c r="A3208" s="28"/>
      <c r="B3208" s="180"/>
      <c r="C3208" s="35"/>
      <c r="D3208" s="36"/>
      <c r="E3208" s="36"/>
    </row>
    <row r="3209" spans="1:5" x14ac:dyDescent="0.25">
      <c r="A3209" s="28"/>
      <c r="B3209" s="180"/>
      <c r="C3209" s="35"/>
      <c r="D3209" s="36"/>
      <c r="E3209" s="36"/>
    </row>
    <row r="3210" spans="1:5" x14ac:dyDescent="0.25">
      <c r="A3210" s="28"/>
      <c r="B3210" s="180"/>
      <c r="C3210" s="35"/>
      <c r="D3210" s="36"/>
      <c r="E3210" s="36"/>
    </row>
    <row r="3211" spans="1:5" x14ac:dyDescent="0.25">
      <c r="A3211" s="28"/>
      <c r="B3211" s="180"/>
      <c r="C3211" s="35"/>
      <c r="D3211" s="36"/>
      <c r="E3211" s="36"/>
    </row>
    <row r="3212" spans="1:5" x14ac:dyDescent="0.25">
      <c r="A3212" s="28"/>
      <c r="B3212" s="180"/>
      <c r="C3212" s="35"/>
      <c r="D3212" s="36"/>
      <c r="E3212" s="36"/>
    </row>
    <row r="3213" spans="1:5" x14ac:dyDescent="0.25">
      <c r="A3213" s="28"/>
      <c r="B3213" s="180"/>
      <c r="C3213" s="35"/>
      <c r="D3213" s="36"/>
      <c r="E3213" s="36"/>
    </row>
    <row r="3214" spans="1:5" x14ac:dyDescent="0.25">
      <c r="A3214" s="28"/>
      <c r="B3214" s="180"/>
      <c r="C3214" s="35"/>
      <c r="D3214" s="36"/>
      <c r="E3214" s="36"/>
    </row>
    <row r="3215" spans="1:5" x14ac:dyDescent="0.25">
      <c r="A3215" s="28"/>
      <c r="B3215" s="180"/>
      <c r="C3215" s="35"/>
      <c r="D3215" s="36"/>
      <c r="E3215" s="36"/>
    </row>
    <row r="3216" spans="1:5" x14ac:dyDescent="0.25">
      <c r="A3216" s="28"/>
      <c r="B3216" s="180"/>
      <c r="C3216" s="35"/>
      <c r="D3216" s="36"/>
      <c r="E3216" s="36"/>
    </row>
    <row r="3217" spans="1:5" x14ac:dyDescent="0.25">
      <c r="A3217" s="28"/>
      <c r="B3217" s="180"/>
      <c r="C3217" s="35"/>
      <c r="D3217" s="36"/>
      <c r="E3217" s="36"/>
    </row>
    <row r="3218" spans="1:5" x14ac:dyDescent="0.25">
      <c r="A3218" s="28"/>
      <c r="B3218" s="180"/>
      <c r="C3218" s="35"/>
      <c r="D3218" s="36"/>
      <c r="E3218" s="36"/>
    </row>
    <row r="3219" spans="1:5" x14ac:dyDescent="0.25">
      <c r="A3219" s="28"/>
      <c r="B3219" s="180"/>
      <c r="C3219" s="35"/>
      <c r="D3219" s="36"/>
      <c r="E3219" s="36"/>
    </row>
    <row r="3220" spans="1:5" x14ac:dyDescent="0.25">
      <c r="A3220" s="28"/>
      <c r="B3220" s="180"/>
      <c r="C3220" s="35"/>
      <c r="D3220" s="36"/>
      <c r="E3220" s="36"/>
    </row>
    <row r="3221" spans="1:5" x14ac:dyDescent="0.25">
      <c r="A3221" s="28"/>
      <c r="B3221" s="180"/>
      <c r="C3221" s="35"/>
      <c r="D3221" s="36"/>
      <c r="E3221" s="36"/>
    </row>
    <row r="3222" spans="1:5" x14ac:dyDescent="0.25">
      <c r="A3222" s="28"/>
      <c r="B3222" s="180"/>
      <c r="C3222" s="35"/>
      <c r="D3222" s="36"/>
      <c r="E3222" s="36"/>
    </row>
    <row r="3223" spans="1:5" x14ac:dyDescent="0.25">
      <c r="A3223" s="28"/>
      <c r="B3223" s="180"/>
      <c r="C3223" s="35"/>
      <c r="D3223" s="36"/>
      <c r="E3223" s="36"/>
    </row>
    <row r="3224" spans="1:5" x14ac:dyDescent="0.25">
      <c r="A3224" s="28"/>
      <c r="B3224" s="180"/>
      <c r="C3224" s="35"/>
      <c r="D3224" s="36"/>
      <c r="E3224" s="36"/>
    </row>
    <row r="3225" spans="1:5" x14ac:dyDescent="0.25">
      <c r="A3225" s="28"/>
      <c r="B3225" s="180"/>
      <c r="C3225" s="35"/>
      <c r="D3225" s="36"/>
      <c r="E3225" s="36"/>
    </row>
    <row r="3226" spans="1:5" x14ac:dyDescent="0.25">
      <c r="A3226" s="28"/>
      <c r="B3226" s="180"/>
      <c r="C3226" s="35"/>
      <c r="D3226" s="36"/>
      <c r="E3226" s="36"/>
    </row>
    <row r="3227" spans="1:5" x14ac:dyDescent="0.25">
      <c r="A3227" s="28"/>
      <c r="B3227" s="180"/>
      <c r="C3227" s="35"/>
      <c r="D3227" s="36"/>
      <c r="E3227" s="36"/>
    </row>
    <row r="3228" spans="1:5" x14ac:dyDescent="0.25">
      <c r="A3228" s="28"/>
      <c r="B3228" s="180"/>
      <c r="C3228" s="35"/>
      <c r="D3228" s="36"/>
      <c r="E3228" s="36"/>
    </row>
    <row r="3229" spans="1:5" x14ac:dyDescent="0.25">
      <c r="A3229" s="28"/>
      <c r="B3229" s="180"/>
      <c r="C3229" s="35"/>
      <c r="D3229" s="36"/>
      <c r="E3229" s="36"/>
    </row>
    <row r="3230" spans="1:5" x14ac:dyDescent="0.25">
      <c r="A3230" s="28"/>
      <c r="B3230" s="180"/>
      <c r="C3230" s="35"/>
      <c r="D3230" s="36"/>
      <c r="E3230" s="36"/>
    </row>
    <row r="3231" spans="1:5" x14ac:dyDescent="0.25">
      <c r="A3231" s="28"/>
      <c r="B3231" s="180"/>
      <c r="C3231" s="35"/>
      <c r="D3231" s="36"/>
      <c r="E3231" s="36"/>
    </row>
    <row r="3232" spans="1:5" x14ac:dyDescent="0.25">
      <c r="A3232" s="28"/>
      <c r="B3232" s="180"/>
      <c r="C3232" s="35"/>
      <c r="D3232" s="36"/>
      <c r="E3232" s="36"/>
    </row>
    <row r="3233" spans="1:5" x14ac:dyDescent="0.25">
      <c r="A3233" s="28"/>
      <c r="B3233" s="180"/>
      <c r="C3233" s="35"/>
      <c r="D3233" s="36"/>
      <c r="E3233" s="36"/>
    </row>
    <row r="3234" spans="1:5" x14ac:dyDescent="0.25">
      <c r="A3234" s="28"/>
      <c r="B3234" s="180"/>
      <c r="C3234" s="35"/>
      <c r="D3234" s="36"/>
      <c r="E3234" s="36"/>
    </row>
    <row r="3235" spans="1:5" x14ac:dyDescent="0.25">
      <c r="A3235" s="28"/>
      <c r="B3235" s="180"/>
      <c r="C3235" s="35"/>
      <c r="D3235" s="36"/>
      <c r="E3235" s="36"/>
    </row>
    <row r="3236" spans="1:5" x14ac:dyDescent="0.25">
      <c r="A3236" s="28"/>
      <c r="B3236" s="180"/>
      <c r="C3236" s="35"/>
      <c r="D3236" s="36"/>
      <c r="E3236" s="36"/>
    </row>
    <row r="3237" spans="1:5" x14ac:dyDescent="0.25">
      <c r="A3237" s="28"/>
      <c r="B3237" s="180"/>
      <c r="C3237" s="35"/>
      <c r="D3237" s="36"/>
      <c r="E3237" s="36"/>
    </row>
    <row r="3238" spans="1:5" x14ac:dyDescent="0.25">
      <c r="A3238" s="28"/>
      <c r="B3238" s="180"/>
      <c r="C3238" s="35"/>
      <c r="D3238" s="36"/>
      <c r="E3238" s="36"/>
    </row>
    <row r="3239" spans="1:5" x14ac:dyDescent="0.25">
      <c r="A3239" s="28"/>
      <c r="B3239" s="180"/>
      <c r="C3239" s="35"/>
      <c r="D3239" s="36"/>
      <c r="E3239" s="36"/>
    </row>
    <row r="3240" spans="1:5" x14ac:dyDescent="0.25">
      <c r="A3240" s="28"/>
      <c r="B3240" s="180"/>
      <c r="C3240" s="35"/>
      <c r="D3240" s="36"/>
      <c r="E3240" s="36"/>
    </row>
    <row r="3241" spans="1:5" x14ac:dyDescent="0.25">
      <c r="A3241" s="28"/>
      <c r="B3241" s="180"/>
      <c r="C3241" s="35"/>
      <c r="D3241" s="36"/>
      <c r="E3241" s="36"/>
    </row>
    <row r="3242" spans="1:5" x14ac:dyDescent="0.25">
      <c r="A3242" s="28"/>
      <c r="B3242" s="180"/>
      <c r="C3242" s="35"/>
      <c r="D3242" s="36"/>
      <c r="E3242" s="36"/>
    </row>
    <row r="3243" spans="1:5" x14ac:dyDescent="0.25">
      <c r="A3243" s="28"/>
      <c r="B3243" s="180"/>
      <c r="C3243" s="35"/>
      <c r="D3243" s="36"/>
      <c r="E3243" s="36"/>
    </row>
    <row r="3244" spans="1:5" x14ac:dyDescent="0.25">
      <c r="A3244" s="28"/>
      <c r="B3244" s="180"/>
      <c r="C3244" s="35"/>
      <c r="D3244" s="36"/>
      <c r="E3244" s="36"/>
    </row>
    <row r="3245" spans="1:5" x14ac:dyDescent="0.25">
      <c r="A3245" s="28"/>
      <c r="B3245" s="180"/>
      <c r="C3245" s="35"/>
      <c r="D3245" s="36"/>
      <c r="E3245" s="36"/>
    </row>
    <row r="3246" spans="1:5" x14ac:dyDescent="0.25">
      <c r="A3246" s="28"/>
      <c r="B3246" s="180"/>
      <c r="C3246" s="35"/>
      <c r="D3246" s="36"/>
      <c r="E3246" s="36"/>
    </row>
    <row r="3247" spans="1:5" x14ac:dyDescent="0.25">
      <c r="A3247" s="28"/>
      <c r="B3247" s="180"/>
      <c r="C3247" s="35"/>
      <c r="D3247" s="36"/>
      <c r="E3247" s="36"/>
    </row>
    <row r="3248" spans="1:5" x14ac:dyDescent="0.25">
      <c r="A3248" s="28"/>
      <c r="B3248" s="180"/>
      <c r="C3248" s="35"/>
      <c r="D3248" s="36"/>
      <c r="E3248" s="36"/>
    </row>
    <row r="3249" spans="1:5" x14ac:dyDescent="0.25">
      <c r="A3249" s="28"/>
      <c r="B3249" s="180"/>
      <c r="C3249" s="35"/>
      <c r="D3249" s="36"/>
      <c r="E3249" s="36"/>
    </row>
    <row r="3250" spans="1:5" x14ac:dyDescent="0.25">
      <c r="A3250" s="28"/>
      <c r="B3250" s="180"/>
      <c r="C3250" s="35"/>
      <c r="D3250" s="36"/>
      <c r="E3250" s="36"/>
    </row>
    <row r="3251" spans="1:5" x14ac:dyDescent="0.25">
      <c r="A3251" s="28"/>
      <c r="B3251" s="180"/>
      <c r="C3251" s="35"/>
      <c r="D3251" s="36"/>
      <c r="E3251" s="36"/>
    </row>
    <row r="3252" spans="1:5" x14ac:dyDescent="0.25">
      <c r="A3252" s="28"/>
      <c r="B3252" s="180"/>
      <c r="C3252" s="35"/>
      <c r="D3252" s="36"/>
      <c r="E3252" s="36"/>
    </row>
    <row r="3253" spans="1:5" x14ac:dyDescent="0.25">
      <c r="A3253" s="28"/>
      <c r="B3253" s="180"/>
      <c r="C3253" s="35"/>
      <c r="D3253" s="36"/>
      <c r="E3253" s="36"/>
    </row>
    <row r="3254" spans="1:5" x14ac:dyDescent="0.25">
      <c r="A3254" s="28"/>
      <c r="B3254" s="180"/>
      <c r="C3254" s="35"/>
      <c r="D3254" s="36"/>
      <c r="E3254" s="36"/>
    </row>
    <row r="3255" spans="1:5" x14ac:dyDescent="0.25">
      <c r="A3255" s="28"/>
      <c r="B3255" s="180"/>
      <c r="C3255" s="35"/>
      <c r="D3255" s="36"/>
      <c r="E3255" s="36"/>
    </row>
    <row r="3256" spans="1:5" x14ac:dyDescent="0.25">
      <c r="A3256" s="28"/>
      <c r="B3256" s="180"/>
      <c r="C3256" s="35"/>
      <c r="D3256" s="36"/>
      <c r="E3256" s="36"/>
    </row>
    <row r="3257" spans="1:5" x14ac:dyDescent="0.25">
      <c r="A3257" s="28"/>
      <c r="B3257" s="180"/>
      <c r="C3257" s="35"/>
      <c r="D3257" s="36"/>
      <c r="E3257" s="36"/>
    </row>
    <row r="3258" spans="1:5" x14ac:dyDescent="0.25">
      <c r="A3258" s="28"/>
      <c r="B3258" s="180"/>
      <c r="C3258" s="35"/>
      <c r="D3258" s="36"/>
      <c r="E3258" s="36"/>
    </row>
    <row r="3259" spans="1:5" x14ac:dyDescent="0.25">
      <c r="A3259" s="28"/>
      <c r="B3259" s="180"/>
      <c r="C3259" s="35"/>
      <c r="D3259" s="36"/>
      <c r="E3259" s="36"/>
    </row>
    <row r="3260" spans="1:5" x14ac:dyDescent="0.25">
      <c r="A3260" s="28"/>
      <c r="B3260" s="180"/>
      <c r="C3260" s="35"/>
      <c r="D3260" s="36"/>
      <c r="E3260" s="36"/>
    </row>
    <row r="3261" spans="1:5" x14ac:dyDescent="0.25">
      <c r="A3261" s="28"/>
      <c r="B3261" s="180"/>
      <c r="C3261" s="35"/>
      <c r="D3261" s="36"/>
      <c r="E3261" s="36"/>
    </row>
    <row r="3262" spans="1:5" x14ac:dyDescent="0.25">
      <c r="A3262" s="28"/>
      <c r="B3262" s="180"/>
      <c r="C3262" s="35"/>
      <c r="D3262" s="36"/>
      <c r="E3262" s="36"/>
    </row>
    <row r="3263" spans="1:5" x14ac:dyDescent="0.25">
      <c r="A3263" s="28"/>
      <c r="B3263" s="180"/>
      <c r="C3263" s="35"/>
      <c r="D3263" s="36"/>
      <c r="E3263" s="36"/>
    </row>
    <row r="3264" spans="1:5" x14ac:dyDescent="0.25">
      <c r="A3264" s="28"/>
      <c r="B3264" s="180"/>
      <c r="C3264" s="35"/>
      <c r="D3264" s="36"/>
      <c r="E3264" s="36"/>
    </row>
    <row r="3265" spans="1:5" x14ac:dyDescent="0.25">
      <c r="A3265" s="28"/>
      <c r="B3265" s="180"/>
      <c r="C3265" s="35"/>
      <c r="D3265" s="36"/>
      <c r="E3265" s="36"/>
    </row>
    <row r="3266" spans="1:5" x14ac:dyDescent="0.25">
      <c r="A3266" s="28"/>
      <c r="B3266" s="180"/>
      <c r="C3266" s="35"/>
      <c r="D3266" s="36"/>
      <c r="E3266" s="36"/>
    </row>
    <row r="3267" spans="1:5" x14ac:dyDescent="0.25">
      <c r="A3267" s="28"/>
      <c r="B3267" s="180"/>
      <c r="C3267" s="35"/>
      <c r="D3267" s="36"/>
      <c r="E3267" s="36"/>
    </row>
    <row r="3268" spans="1:5" x14ac:dyDescent="0.25">
      <c r="A3268" s="28"/>
      <c r="B3268" s="180"/>
      <c r="C3268" s="35"/>
      <c r="D3268" s="36"/>
      <c r="E3268" s="36"/>
    </row>
    <row r="3269" spans="1:5" x14ac:dyDescent="0.25">
      <c r="A3269" s="28"/>
      <c r="B3269" s="180"/>
      <c r="C3269" s="35"/>
      <c r="D3269" s="36"/>
      <c r="E3269" s="36"/>
    </row>
    <row r="3270" spans="1:5" x14ac:dyDescent="0.25">
      <c r="A3270" s="28"/>
      <c r="B3270" s="180"/>
      <c r="C3270" s="35"/>
      <c r="D3270" s="36"/>
      <c r="E3270" s="36"/>
    </row>
    <row r="3271" spans="1:5" x14ac:dyDescent="0.25">
      <c r="A3271" s="28"/>
      <c r="B3271" s="180"/>
      <c r="C3271" s="35"/>
      <c r="D3271" s="36"/>
      <c r="E3271" s="36"/>
    </row>
    <row r="3272" spans="1:5" x14ac:dyDescent="0.25">
      <c r="A3272" s="28"/>
      <c r="B3272" s="180"/>
      <c r="C3272" s="35"/>
      <c r="D3272" s="36"/>
      <c r="E3272" s="36"/>
    </row>
    <row r="3273" spans="1:5" x14ac:dyDescent="0.25">
      <c r="A3273" s="28"/>
      <c r="B3273" s="180"/>
      <c r="C3273" s="35"/>
      <c r="D3273" s="36"/>
      <c r="E3273" s="36"/>
    </row>
    <row r="3274" spans="1:5" x14ac:dyDescent="0.25">
      <c r="A3274" s="28"/>
      <c r="B3274" s="180"/>
      <c r="C3274" s="35"/>
      <c r="D3274" s="36"/>
      <c r="E3274" s="36"/>
    </row>
    <row r="3275" spans="1:5" x14ac:dyDescent="0.25">
      <c r="A3275" s="28"/>
      <c r="B3275" s="180"/>
      <c r="C3275" s="35"/>
      <c r="D3275" s="36"/>
      <c r="E3275" s="36"/>
    </row>
    <row r="3276" spans="1:5" x14ac:dyDescent="0.25">
      <c r="A3276" s="28"/>
      <c r="B3276" s="180"/>
      <c r="C3276" s="35"/>
      <c r="D3276" s="36"/>
      <c r="E3276" s="36"/>
    </row>
    <row r="3277" spans="1:5" x14ac:dyDescent="0.25">
      <c r="A3277" s="28"/>
      <c r="B3277" s="180"/>
      <c r="C3277" s="35"/>
      <c r="D3277" s="36"/>
      <c r="E3277" s="36"/>
    </row>
    <row r="3278" spans="1:5" x14ac:dyDescent="0.25">
      <c r="A3278" s="28"/>
      <c r="B3278" s="180"/>
      <c r="C3278" s="35"/>
      <c r="D3278" s="36"/>
      <c r="E3278" s="36"/>
    </row>
    <row r="3279" spans="1:5" x14ac:dyDescent="0.25">
      <c r="A3279" s="28"/>
      <c r="B3279" s="180"/>
      <c r="C3279" s="35"/>
      <c r="D3279" s="36"/>
      <c r="E3279" s="36"/>
    </row>
    <row r="3280" spans="1:5" x14ac:dyDescent="0.25">
      <c r="A3280" s="28"/>
      <c r="B3280" s="180"/>
      <c r="C3280" s="35"/>
      <c r="D3280" s="36"/>
      <c r="E3280" s="36"/>
    </row>
    <row r="3281" spans="1:5" x14ac:dyDescent="0.25">
      <c r="A3281" s="28"/>
      <c r="B3281" s="180"/>
      <c r="C3281" s="35"/>
      <c r="D3281" s="36"/>
      <c r="E3281" s="36"/>
    </row>
    <row r="3282" spans="1:5" x14ac:dyDescent="0.25">
      <c r="A3282" s="28"/>
      <c r="B3282" s="180"/>
      <c r="C3282" s="35"/>
      <c r="D3282" s="36"/>
      <c r="E3282" s="36"/>
    </row>
    <row r="3283" spans="1:5" x14ac:dyDescent="0.25">
      <c r="A3283" s="28"/>
      <c r="B3283" s="180"/>
      <c r="C3283" s="35"/>
      <c r="D3283" s="36"/>
      <c r="E3283" s="36"/>
    </row>
    <row r="3284" spans="1:5" x14ac:dyDescent="0.25">
      <c r="A3284" s="28"/>
      <c r="B3284" s="180"/>
      <c r="C3284" s="35"/>
      <c r="D3284" s="36"/>
      <c r="E3284" s="36"/>
    </row>
    <row r="3285" spans="1:5" x14ac:dyDescent="0.25">
      <c r="A3285" s="28"/>
      <c r="B3285" s="180"/>
      <c r="C3285" s="35"/>
      <c r="D3285" s="36"/>
      <c r="E3285" s="36"/>
    </row>
    <row r="3286" spans="1:5" x14ac:dyDescent="0.25">
      <c r="A3286" s="28"/>
      <c r="B3286" s="180"/>
      <c r="C3286" s="35"/>
      <c r="D3286" s="36"/>
      <c r="E3286" s="36"/>
    </row>
    <row r="3287" spans="1:5" x14ac:dyDescent="0.25">
      <c r="A3287" s="28"/>
      <c r="B3287" s="180"/>
      <c r="C3287" s="35"/>
      <c r="D3287" s="36"/>
      <c r="E3287" s="36"/>
    </row>
    <row r="3288" spans="1:5" x14ac:dyDescent="0.25">
      <c r="A3288" s="28"/>
      <c r="B3288" s="180"/>
      <c r="C3288" s="35"/>
      <c r="D3288" s="36"/>
      <c r="E3288" s="36"/>
    </row>
    <row r="3289" spans="1:5" x14ac:dyDescent="0.25">
      <c r="A3289" s="28"/>
      <c r="B3289" s="180"/>
      <c r="C3289" s="35"/>
      <c r="D3289" s="36"/>
      <c r="E3289" s="36"/>
    </row>
    <row r="3290" spans="1:5" x14ac:dyDescent="0.25">
      <c r="A3290" s="28"/>
      <c r="B3290" s="180"/>
      <c r="C3290" s="35"/>
      <c r="D3290" s="36"/>
      <c r="E3290" s="36"/>
    </row>
    <row r="3291" spans="1:5" x14ac:dyDescent="0.25">
      <c r="A3291" s="28"/>
      <c r="B3291" s="180"/>
      <c r="C3291" s="35"/>
      <c r="D3291" s="36"/>
      <c r="E3291" s="36"/>
    </row>
    <row r="3292" spans="1:5" x14ac:dyDescent="0.25">
      <c r="A3292" s="28"/>
      <c r="B3292" s="180"/>
      <c r="C3292" s="35"/>
      <c r="D3292" s="36"/>
      <c r="E3292" s="36"/>
    </row>
    <row r="3293" spans="1:5" x14ac:dyDescent="0.25">
      <c r="A3293" s="28"/>
      <c r="B3293" s="180"/>
      <c r="C3293" s="35"/>
      <c r="D3293" s="36"/>
      <c r="E3293" s="36"/>
    </row>
    <row r="3294" spans="1:5" x14ac:dyDescent="0.25">
      <c r="A3294" s="28"/>
      <c r="B3294" s="180"/>
      <c r="C3294" s="35"/>
      <c r="D3294" s="36"/>
      <c r="E3294" s="36"/>
    </row>
    <row r="3295" spans="1:5" x14ac:dyDescent="0.25">
      <c r="A3295" s="28"/>
      <c r="B3295" s="180"/>
      <c r="C3295" s="35"/>
      <c r="D3295" s="36"/>
      <c r="E3295" s="36"/>
    </row>
    <row r="3296" spans="1:5" x14ac:dyDescent="0.25">
      <c r="A3296" s="28"/>
      <c r="B3296" s="180"/>
      <c r="C3296" s="35"/>
      <c r="D3296" s="36"/>
      <c r="E3296" s="36"/>
    </row>
    <row r="3297" spans="1:5" x14ac:dyDescent="0.25">
      <c r="A3297" s="28"/>
      <c r="B3297" s="180"/>
      <c r="C3297" s="35"/>
      <c r="D3297" s="36"/>
      <c r="E3297" s="36"/>
    </row>
    <row r="3298" spans="1:5" x14ac:dyDescent="0.25">
      <c r="A3298" s="28"/>
      <c r="B3298" s="180"/>
      <c r="C3298" s="35"/>
      <c r="D3298" s="36"/>
      <c r="E3298" s="36"/>
    </row>
    <row r="3299" spans="1:5" x14ac:dyDescent="0.25">
      <c r="A3299" s="28"/>
      <c r="B3299" s="180"/>
      <c r="C3299" s="35"/>
      <c r="D3299" s="36"/>
      <c r="E3299" s="36"/>
    </row>
    <row r="3300" spans="1:5" x14ac:dyDescent="0.25">
      <c r="A3300" s="28"/>
      <c r="B3300" s="180"/>
      <c r="C3300" s="35"/>
      <c r="D3300" s="36"/>
      <c r="E3300" s="36"/>
    </row>
    <row r="3301" spans="1:5" x14ac:dyDescent="0.25">
      <c r="A3301" s="28"/>
      <c r="B3301" s="180"/>
      <c r="C3301" s="35"/>
      <c r="D3301" s="36"/>
      <c r="E3301" s="36"/>
    </row>
    <row r="3302" spans="1:5" x14ac:dyDescent="0.25">
      <c r="A3302" s="28"/>
      <c r="B3302" s="180"/>
      <c r="C3302" s="35"/>
      <c r="D3302" s="36"/>
      <c r="E3302" s="36"/>
    </row>
    <row r="3303" spans="1:5" x14ac:dyDescent="0.25">
      <c r="A3303" s="28"/>
      <c r="B3303" s="180"/>
      <c r="C3303" s="35"/>
      <c r="D3303" s="36"/>
      <c r="E3303" s="36"/>
    </row>
    <row r="3304" spans="1:5" x14ac:dyDescent="0.25">
      <c r="A3304" s="28"/>
      <c r="B3304" s="180"/>
      <c r="C3304" s="35"/>
      <c r="D3304" s="36"/>
      <c r="E3304" s="36"/>
    </row>
    <row r="3305" spans="1:5" x14ac:dyDescent="0.25">
      <c r="A3305" s="28"/>
      <c r="B3305" s="180"/>
      <c r="C3305" s="35"/>
      <c r="D3305" s="36"/>
      <c r="E3305" s="36"/>
    </row>
    <row r="3306" spans="1:5" x14ac:dyDescent="0.25">
      <c r="A3306" s="28"/>
      <c r="B3306" s="180"/>
      <c r="C3306" s="35"/>
      <c r="D3306" s="36"/>
      <c r="E3306" s="36"/>
    </row>
    <row r="3307" spans="1:5" x14ac:dyDescent="0.25">
      <c r="A3307" s="28"/>
      <c r="B3307" s="180"/>
      <c r="C3307" s="35"/>
      <c r="D3307" s="36"/>
      <c r="E3307" s="36"/>
    </row>
    <row r="3308" spans="1:5" x14ac:dyDescent="0.25">
      <c r="A3308" s="28"/>
      <c r="B3308" s="180"/>
      <c r="C3308" s="35"/>
      <c r="D3308" s="36"/>
      <c r="E3308" s="36"/>
    </row>
    <row r="3309" spans="1:5" x14ac:dyDescent="0.25">
      <c r="A3309" s="28"/>
      <c r="B3309" s="180"/>
      <c r="C3309" s="35"/>
      <c r="D3309" s="36"/>
      <c r="E3309" s="36"/>
    </row>
    <row r="3310" spans="1:5" x14ac:dyDescent="0.25">
      <c r="A3310" s="28"/>
      <c r="B3310" s="180"/>
      <c r="C3310" s="35"/>
      <c r="D3310" s="36"/>
      <c r="E3310" s="36"/>
    </row>
    <row r="3311" spans="1:5" x14ac:dyDescent="0.25">
      <c r="A3311" s="28"/>
      <c r="B3311" s="180"/>
      <c r="C3311" s="35"/>
      <c r="D3311" s="36"/>
      <c r="E3311" s="36"/>
    </row>
    <row r="3312" spans="1:5" x14ac:dyDescent="0.25">
      <c r="A3312" s="28"/>
      <c r="B3312" s="180"/>
      <c r="C3312" s="35"/>
      <c r="D3312" s="36"/>
      <c r="E3312" s="36"/>
    </row>
    <row r="3313" spans="1:5" x14ac:dyDescent="0.25">
      <c r="A3313" s="28"/>
      <c r="B3313" s="180"/>
      <c r="C3313" s="35"/>
      <c r="D3313" s="36"/>
      <c r="E3313" s="36"/>
    </row>
    <row r="3314" spans="1:5" x14ac:dyDescent="0.25">
      <c r="A3314" s="28"/>
      <c r="B3314" s="180"/>
      <c r="C3314" s="35"/>
      <c r="D3314" s="36"/>
      <c r="E3314" s="36"/>
    </row>
    <row r="3315" spans="1:5" x14ac:dyDescent="0.25">
      <c r="A3315" s="28"/>
      <c r="B3315" s="180"/>
      <c r="C3315" s="35"/>
      <c r="D3315" s="36"/>
      <c r="E3315" s="36"/>
    </row>
    <row r="3316" spans="1:5" x14ac:dyDescent="0.25">
      <c r="A3316" s="28"/>
      <c r="B3316" s="180"/>
      <c r="C3316" s="35"/>
      <c r="D3316" s="36"/>
      <c r="E3316" s="36"/>
    </row>
    <row r="3317" spans="1:5" x14ac:dyDescent="0.25">
      <c r="A3317" s="28"/>
      <c r="B3317" s="180"/>
      <c r="C3317" s="35"/>
      <c r="D3317" s="36"/>
      <c r="E3317" s="36"/>
    </row>
    <row r="3318" spans="1:5" x14ac:dyDescent="0.25">
      <c r="A3318" s="28"/>
      <c r="B3318" s="180"/>
      <c r="C3318" s="35"/>
      <c r="D3318" s="36"/>
      <c r="E3318" s="36"/>
    </row>
    <row r="3319" spans="1:5" x14ac:dyDescent="0.25">
      <c r="A3319" s="28"/>
      <c r="B3319" s="180"/>
      <c r="C3319" s="35"/>
      <c r="D3319" s="36"/>
      <c r="E3319" s="36"/>
    </row>
    <row r="3320" spans="1:5" x14ac:dyDescent="0.25">
      <c r="A3320" s="28"/>
      <c r="B3320" s="180"/>
      <c r="C3320" s="35"/>
      <c r="D3320" s="36"/>
      <c r="E3320" s="36"/>
    </row>
    <row r="3321" spans="1:5" x14ac:dyDescent="0.25">
      <c r="A3321" s="28"/>
      <c r="B3321" s="180"/>
      <c r="C3321" s="35"/>
      <c r="D3321" s="36"/>
      <c r="E3321" s="36"/>
    </row>
    <row r="3322" spans="1:5" x14ac:dyDescent="0.25">
      <c r="A3322" s="28"/>
      <c r="B3322" s="180"/>
      <c r="C3322" s="35"/>
      <c r="D3322" s="36"/>
      <c r="E3322" s="36"/>
    </row>
    <row r="3323" spans="1:5" x14ac:dyDescent="0.25">
      <c r="A3323" s="28"/>
      <c r="B3323" s="180"/>
      <c r="C3323" s="35"/>
      <c r="D3323" s="36"/>
      <c r="E3323" s="36"/>
    </row>
    <row r="3324" spans="1:5" x14ac:dyDescent="0.25">
      <c r="A3324" s="28"/>
      <c r="B3324" s="180"/>
      <c r="C3324" s="35"/>
      <c r="D3324" s="36"/>
      <c r="E3324" s="36"/>
    </row>
    <row r="3325" spans="1:5" x14ac:dyDescent="0.25">
      <c r="A3325" s="28"/>
      <c r="B3325" s="180"/>
      <c r="C3325" s="35"/>
      <c r="D3325" s="36"/>
      <c r="E3325" s="36"/>
    </row>
    <row r="3326" spans="1:5" x14ac:dyDescent="0.25">
      <c r="A3326" s="28"/>
      <c r="B3326" s="180"/>
      <c r="C3326" s="35"/>
      <c r="D3326" s="36"/>
      <c r="E3326" s="36"/>
    </row>
    <row r="3327" spans="1:5" x14ac:dyDescent="0.25">
      <c r="A3327" s="28"/>
      <c r="B3327" s="180"/>
      <c r="C3327" s="35"/>
      <c r="D3327" s="36"/>
      <c r="E3327" s="36"/>
    </row>
    <row r="3328" spans="1:5" x14ac:dyDescent="0.25">
      <c r="A3328" s="28"/>
      <c r="B3328" s="180"/>
      <c r="C3328" s="35"/>
      <c r="D3328" s="36"/>
      <c r="E3328" s="36"/>
    </row>
    <row r="3329" spans="1:5" x14ac:dyDescent="0.25">
      <c r="A3329" s="28"/>
      <c r="B3329" s="180"/>
      <c r="C3329" s="35"/>
      <c r="D3329" s="36"/>
      <c r="E3329" s="36"/>
    </row>
    <row r="3330" spans="1:5" x14ac:dyDescent="0.25">
      <c r="A3330" s="28"/>
      <c r="B3330" s="180"/>
      <c r="C3330" s="35"/>
      <c r="D3330" s="36"/>
      <c r="E3330" s="36"/>
    </row>
    <row r="3331" spans="1:5" x14ac:dyDescent="0.25">
      <c r="A3331" s="28"/>
      <c r="B3331" s="180"/>
      <c r="C3331" s="35"/>
      <c r="D3331" s="36"/>
      <c r="E3331" s="36"/>
    </row>
    <row r="3332" spans="1:5" x14ac:dyDescent="0.25">
      <c r="A3332" s="28"/>
      <c r="B3332" s="180"/>
      <c r="C3332" s="35"/>
      <c r="D3332" s="36"/>
      <c r="E3332" s="36"/>
    </row>
    <row r="3333" spans="1:5" x14ac:dyDescent="0.25">
      <c r="A3333" s="28"/>
      <c r="B3333" s="180"/>
      <c r="C3333" s="35"/>
      <c r="D3333" s="36"/>
      <c r="E3333" s="36"/>
    </row>
    <row r="3334" spans="1:5" x14ac:dyDescent="0.25">
      <c r="A3334" s="28"/>
      <c r="B3334" s="180"/>
      <c r="C3334" s="35"/>
      <c r="D3334" s="36"/>
      <c r="E3334" s="36"/>
    </row>
    <row r="3335" spans="1:5" x14ac:dyDescent="0.25">
      <c r="A3335" s="28"/>
      <c r="B3335" s="180"/>
      <c r="C3335" s="35"/>
      <c r="D3335" s="36"/>
      <c r="E3335" s="36"/>
    </row>
    <row r="3336" spans="1:5" x14ac:dyDescent="0.25">
      <c r="A3336" s="28"/>
      <c r="B3336" s="180"/>
      <c r="C3336" s="35"/>
      <c r="D3336" s="36"/>
      <c r="E3336" s="36"/>
    </row>
    <row r="3337" spans="1:5" x14ac:dyDescent="0.25">
      <c r="A3337" s="28"/>
      <c r="B3337" s="180"/>
      <c r="C3337" s="35"/>
      <c r="D3337" s="36"/>
      <c r="E3337" s="36"/>
    </row>
    <row r="3338" spans="1:5" x14ac:dyDescent="0.25">
      <c r="A3338" s="28"/>
      <c r="B3338" s="180"/>
      <c r="C3338" s="35"/>
      <c r="D3338" s="36"/>
      <c r="E3338" s="36"/>
    </row>
    <row r="3339" spans="1:5" x14ac:dyDescent="0.25">
      <c r="A3339" s="28"/>
      <c r="B3339" s="180"/>
      <c r="C3339" s="35"/>
      <c r="D3339" s="36"/>
      <c r="E3339" s="36"/>
    </row>
    <row r="3340" spans="1:5" x14ac:dyDescent="0.25">
      <c r="A3340" s="28"/>
      <c r="B3340" s="180"/>
      <c r="C3340" s="35"/>
      <c r="D3340" s="36"/>
      <c r="E3340" s="36"/>
    </row>
    <row r="3341" spans="1:5" x14ac:dyDescent="0.25">
      <c r="A3341" s="28"/>
      <c r="B3341" s="180"/>
      <c r="C3341" s="35"/>
      <c r="D3341" s="36"/>
      <c r="E3341" s="36"/>
    </row>
    <row r="3342" spans="1:5" x14ac:dyDescent="0.25">
      <c r="A3342" s="28"/>
      <c r="B3342" s="180"/>
      <c r="C3342" s="35"/>
      <c r="D3342" s="36"/>
      <c r="E3342" s="36"/>
    </row>
    <row r="3343" spans="1:5" x14ac:dyDescent="0.25">
      <c r="A3343" s="28"/>
      <c r="B3343" s="180"/>
      <c r="C3343" s="35"/>
      <c r="D3343" s="36"/>
      <c r="E3343" s="36"/>
    </row>
    <row r="3344" spans="1:5" x14ac:dyDescent="0.25">
      <c r="A3344" s="28"/>
      <c r="B3344" s="180"/>
      <c r="C3344" s="35"/>
      <c r="D3344" s="36"/>
      <c r="E3344" s="36"/>
    </row>
    <row r="3345" spans="1:5" x14ac:dyDescent="0.25">
      <c r="A3345" s="28"/>
      <c r="B3345" s="180"/>
      <c r="C3345" s="35"/>
      <c r="D3345" s="36"/>
      <c r="E3345" s="36"/>
    </row>
    <row r="3346" spans="1:5" x14ac:dyDescent="0.25">
      <c r="A3346" s="28"/>
      <c r="B3346" s="180"/>
      <c r="C3346" s="35"/>
      <c r="D3346" s="36"/>
      <c r="E3346" s="36"/>
    </row>
    <row r="3347" spans="1:5" x14ac:dyDescent="0.25">
      <c r="A3347" s="28"/>
      <c r="B3347" s="180"/>
      <c r="C3347" s="35"/>
      <c r="D3347" s="36"/>
      <c r="E3347" s="36"/>
    </row>
    <row r="3348" spans="1:5" x14ac:dyDescent="0.25">
      <c r="A3348" s="28"/>
      <c r="B3348" s="180"/>
      <c r="C3348" s="35"/>
      <c r="D3348" s="36"/>
      <c r="E3348" s="36"/>
    </row>
    <row r="3349" spans="1:5" x14ac:dyDescent="0.25">
      <c r="A3349" s="28"/>
      <c r="B3349" s="180"/>
      <c r="C3349" s="35"/>
      <c r="D3349" s="36"/>
      <c r="E3349" s="36"/>
    </row>
    <row r="3350" spans="1:5" x14ac:dyDescent="0.25">
      <c r="A3350" s="28"/>
      <c r="B3350" s="180"/>
      <c r="C3350" s="35"/>
      <c r="D3350" s="36"/>
      <c r="E3350" s="36"/>
    </row>
    <row r="3351" spans="1:5" x14ac:dyDescent="0.25">
      <c r="A3351" s="28"/>
      <c r="B3351" s="180"/>
      <c r="C3351" s="35"/>
      <c r="D3351" s="36"/>
      <c r="E3351" s="36"/>
    </row>
    <row r="3352" spans="1:5" x14ac:dyDescent="0.25">
      <c r="A3352" s="28"/>
      <c r="B3352" s="180"/>
      <c r="C3352" s="35"/>
      <c r="D3352" s="36"/>
      <c r="E3352" s="36"/>
    </row>
    <row r="3353" spans="1:5" x14ac:dyDescent="0.25">
      <c r="A3353" s="28"/>
      <c r="B3353" s="180"/>
      <c r="C3353" s="35"/>
      <c r="D3353" s="36"/>
      <c r="E3353" s="36"/>
    </row>
    <row r="3354" spans="1:5" x14ac:dyDescent="0.25">
      <c r="A3354" s="28"/>
      <c r="B3354" s="180"/>
      <c r="C3354" s="35"/>
      <c r="D3354" s="36"/>
      <c r="E3354" s="36"/>
    </row>
    <row r="3355" spans="1:5" x14ac:dyDescent="0.25">
      <c r="A3355" s="28"/>
      <c r="B3355" s="180"/>
      <c r="C3355" s="35"/>
      <c r="D3355" s="36"/>
      <c r="E3355" s="36"/>
    </row>
    <row r="3356" spans="1:5" x14ac:dyDescent="0.25">
      <c r="A3356" s="28"/>
      <c r="B3356" s="180"/>
      <c r="C3356" s="35"/>
      <c r="D3356" s="36"/>
      <c r="E3356" s="36"/>
    </row>
    <row r="3357" spans="1:5" x14ac:dyDescent="0.25">
      <c r="A3357" s="28"/>
      <c r="B3357" s="180"/>
      <c r="C3357" s="35"/>
      <c r="D3357" s="36"/>
      <c r="E3357" s="36"/>
    </row>
    <row r="3358" spans="1:5" x14ac:dyDescent="0.25">
      <c r="A3358" s="28"/>
      <c r="B3358" s="180"/>
      <c r="C3358" s="35"/>
      <c r="D3358" s="36"/>
      <c r="E3358" s="36"/>
    </row>
    <row r="3359" spans="1:5" x14ac:dyDescent="0.25">
      <c r="A3359" s="28"/>
      <c r="B3359" s="180"/>
      <c r="C3359" s="35"/>
      <c r="D3359" s="36"/>
      <c r="E3359" s="36"/>
    </row>
    <row r="3360" spans="1:5" x14ac:dyDescent="0.25">
      <c r="A3360" s="28"/>
      <c r="B3360" s="180"/>
      <c r="C3360" s="35"/>
      <c r="D3360" s="36"/>
      <c r="E3360" s="36"/>
    </row>
    <row r="3361" spans="1:5" x14ac:dyDescent="0.25">
      <c r="A3361" s="28"/>
      <c r="B3361" s="180"/>
      <c r="C3361" s="35"/>
      <c r="D3361" s="36"/>
      <c r="E3361" s="36"/>
    </row>
    <row r="3362" spans="1:5" x14ac:dyDescent="0.25">
      <c r="A3362" s="28"/>
      <c r="B3362" s="180"/>
      <c r="C3362" s="35"/>
      <c r="D3362" s="36"/>
      <c r="E3362" s="36"/>
    </row>
    <row r="3363" spans="1:5" x14ac:dyDescent="0.25">
      <c r="A3363" s="28"/>
      <c r="B3363" s="180"/>
      <c r="C3363" s="35"/>
      <c r="D3363" s="36"/>
      <c r="E3363" s="36"/>
    </row>
    <row r="3364" spans="1:5" x14ac:dyDescent="0.25">
      <c r="A3364" s="28"/>
      <c r="B3364" s="180"/>
      <c r="C3364" s="35"/>
      <c r="D3364" s="36"/>
      <c r="E3364" s="36"/>
    </row>
    <row r="3365" spans="1:5" x14ac:dyDescent="0.25">
      <c r="A3365" s="28"/>
      <c r="B3365" s="180"/>
      <c r="C3365" s="35"/>
      <c r="D3365" s="36"/>
      <c r="E3365" s="36"/>
    </row>
    <row r="3366" spans="1:5" x14ac:dyDescent="0.25">
      <c r="A3366" s="28"/>
      <c r="B3366" s="180"/>
      <c r="C3366" s="35"/>
      <c r="D3366" s="36"/>
      <c r="E3366" s="36"/>
    </row>
    <row r="3367" spans="1:5" x14ac:dyDescent="0.25">
      <c r="A3367" s="28"/>
      <c r="B3367" s="180"/>
      <c r="C3367" s="35"/>
      <c r="D3367" s="36"/>
      <c r="E3367" s="36"/>
    </row>
    <row r="3368" spans="1:5" x14ac:dyDescent="0.25">
      <c r="A3368" s="28"/>
      <c r="B3368" s="180"/>
      <c r="C3368" s="35"/>
      <c r="D3368" s="36"/>
      <c r="E3368" s="36"/>
    </row>
    <row r="3369" spans="1:5" x14ac:dyDescent="0.25">
      <c r="A3369" s="28"/>
      <c r="B3369" s="180"/>
      <c r="C3369" s="35"/>
      <c r="D3369" s="36"/>
      <c r="E3369" s="36"/>
    </row>
    <row r="3370" spans="1:5" x14ac:dyDescent="0.25">
      <c r="A3370" s="28"/>
      <c r="B3370" s="180"/>
      <c r="C3370" s="35"/>
      <c r="D3370" s="36"/>
      <c r="E3370" s="36"/>
    </row>
    <row r="3371" spans="1:5" x14ac:dyDescent="0.25">
      <c r="A3371" s="28"/>
      <c r="B3371" s="180"/>
      <c r="C3371" s="35"/>
      <c r="D3371" s="36"/>
      <c r="E3371" s="36"/>
    </row>
    <row r="3372" spans="1:5" x14ac:dyDescent="0.25">
      <c r="A3372" s="28"/>
      <c r="B3372" s="180"/>
      <c r="C3372" s="35"/>
      <c r="D3372" s="36"/>
      <c r="E3372" s="36"/>
    </row>
    <row r="3373" spans="1:5" x14ac:dyDescent="0.25">
      <c r="A3373" s="28"/>
      <c r="B3373" s="180"/>
      <c r="C3373" s="35"/>
      <c r="D3373" s="36"/>
      <c r="E3373" s="36"/>
    </row>
    <row r="3374" spans="1:5" x14ac:dyDescent="0.25">
      <c r="A3374" s="28"/>
      <c r="B3374" s="180"/>
      <c r="C3374" s="35"/>
      <c r="D3374" s="36"/>
      <c r="E3374" s="36"/>
    </row>
    <row r="3375" spans="1:5" x14ac:dyDescent="0.25">
      <c r="A3375" s="28"/>
      <c r="B3375" s="180"/>
      <c r="C3375" s="35"/>
      <c r="D3375" s="36"/>
      <c r="E3375" s="36"/>
    </row>
    <row r="3376" spans="1:5" x14ac:dyDescent="0.25">
      <c r="A3376" s="28"/>
      <c r="B3376" s="180"/>
      <c r="C3376" s="35"/>
      <c r="D3376" s="36"/>
      <c r="E3376" s="36"/>
    </row>
    <row r="3377" spans="1:5" x14ac:dyDescent="0.25">
      <c r="A3377" s="28"/>
      <c r="B3377" s="180"/>
      <c r="C3377" s="35"/>
      <c r="D3377" s="36"/>
      <c r="E3377" s="36"/>
    </row>
    <row r="3378" spans="1:5" x14ac:dyDescent="0.25">
      <c r="A3378" s="28"/>
      <c r="B3378" s="180"/>
      <c r="C3378" s="35"/>
      <c r="D3378" s="36"/>
      <c r="E3378" s="36"/>
    </row>
    <row r="3379" spans="1:5" x14ac:dyDescent="0.25">
      <c r="A3379" s="28"/>
      <c r="B3379" s="180"/>
      <c r="C3379" s="35"/>
      <c r="D3379" s="36"/>
      <c r="E3379" s="36"/>
    </row>
    <row r="3380" spans="1:5" x14ac:dyDescent="0.25">
      <c r="A3380" s="28"/>
      <c r="B3380" s="180"/>
      <c r="C3380" s="35"/>
      <c r="D3380" s="36"/>
      <c r="E3380" s="36"/>
    </row>
    <row r="3381" spans="1:5" x14ac:dyDescent="0.25">
      <c r="A3381" s="28"/>
      <c r="B3381" s="180"/>
      <c r="C3381" s="35"/>
      <c r="D3381" s="36"/>
      <c r="E3381" s="36"/>
    </row>
    <row r="3382" spans="1:5" x14ac:dyDescent="0.25">
      <c r="A3382" s="28"/>
      <c r="B3382" s="180"/>
      <c r="C3382" s="35"/>
      <c r="D3382" s="36"/>
      <c r="E3382" s="36"/>
    </row>
    <row r="3383" spans="1:5" x14ac:dyDescent="0.25">
      <c r="A3383" s="28"/>
      <c r="B3383" s="180"/>
      <c r="C3383" s="35"/>
      <c r="D3383" s="36"/>
      <c r="E3383" s="36"/>
    </row>
    <row r="3384" spans="1:5" x14ac:dyDescent="0.25">
      <c r="A3384" s="28"/>
      <c r="B3384" s="180"/>
      <c r="C3384" s="35"/>
      <c r="D3384" s="36"/>
      <c r="E3384" s="36"/>
    </row>
    <row r="3385" spans="1:5" x14ac:dyDescent="0.25">
      <c r="A3385" s="28"/>
      <c r="B3385" s="180"/>
      <c r="C3385" s="35"/>
      <c r="D3385" s="36"/>
      <c r="E3385" s="36"/>
    </row>
    <row r="3386" spans="1:5" x14ac:dyDescent="0.25">
      <c r="A3386" s="28"/>
      <c r="B3386" s="180"/>
      <c r="C3386" s="35"/>
      <c r="D3386" s="36"/>
      <c r="E3386" s="36"/>
    </row>
    <row r="3387" spans="1:5" x14ac:dyDescent="0.25">
      <c r="A3387" s="28"/>
      <c r="B3387" s="180"/>
      <c r="C3387" s="35"/>
      <c r="D3387" s="36"/>
      <c r="E3387" s="36"/>
    </row>
    <row r="3388" spans="1:5" x14ac:dyDescent="0.25">
      <c r="A3388" s="28"/>
      <c r="B3388" s="180"/>
      <c r="C3388" s="35"/>
      <c r="D3388" s="36"/>
      <c r="E3388" s="36"/>
    </row>
    <row r="3389" spans="1:5" x14ac:dyDescent="0.25">
      <c r="A3389" s="28"/>
      <c r="B3389" s="180"/>
      <c r="C3389" s="35"/>
      <c r="D3389" s="36"/>
      <c r="E3389" s="36"/>
    </row>
    <row r="3390" spans="1:5" x14ac:dyDescent="0.25">
      <c r="A3390" s="28"/>
      <c r="B3390" s="180"/>
      <c r="C3390" s="35"/>
      <c r="D3390" s="36"/>
      <c r="E3390" s="36"/>
    </row>
    <row r="3391" spans="1:5" x14ac:dyDescent="0.25">
      <c r="A3391" s="28"/>
      <c r="B3391" s="180"/>
      <c r="C3391" s="35"/>
      <c r="D3391" s="36"/>
      <c r="E3391" s="36"/>
    </row>
    <row r="3392" spans="1:5" x14ac:dyDescent="0.25">
      <c r="A3392" s="28"/>
      <c r="B3392" s="180"/>
      <c r="C3392" s="35"/>
      <c r="D3392" s="36"/>
      <c r="E3392" s="36"/>
    </row>
    <row r="3393" spans="1:5" x14ac:dyDescent="0.25">
      <c r="A3393" s="28"/>
      <c r="B3393" s="180"/>
      <c r="C3393" s="35"/>
      <c r="D3393" s="36"/>
      <c r="E3393" s="36"/>
    </row>
    <row r="3394" spans="1:5" x14ac:dyDescent="0.25">
      <c r="A3394" s="28"/>
      <c r="B3394" s="180"/>
      <c r="C3394" s="35"/>
      <c r="D3394" s="36"/>
      <c r="E3394" s="36"/>
    </row>
    <row r="3395" spans="1:5" x14ac:dyDescent="0.25">
      <c r="A3395" s="28"/>
      <c r="B3395" s="180"/>
      <c r="C3395" s="35"/>
      <c r="D3395" s="36"/>
      <c r="E3395" s="36"/>
    </row>
    <row r="3396" spans="1:5" x14ac:dyDescent="0.25">
      <c r="A3396" s="28"/>
      <c r="B3396" s="180"/>
      <c r="C3396" s="35"/>
      <c r="D3396" s="36"/>
      <c r="E3396" s="36"/>
    </row>
    <row r="3397" spans="1:5" x14ac:dyDescent="0.25">
      <c r="A3397" s="28"/>
      <c r="B3397" s="180"/>
      <c r="C3397" s="35"/>
      <c r="D3397" s="36"/>
      <c r="E3397" s="36"/>
    </row>
    <row r="3398" spans="1:5" x14ac:dyDescent="0.25">
      <c r="A3398" s="28"/>
      <c r="B3398" s="180"/>
      <c r="C3398" s="35"/>
      <c r="D3398" s="36"/>
      <c r="E3398" s="36"/>
    </row>
    <row r="3399" spans="1:5" x14ac:dyDescent="0.25">
      <c r="A3399" s="28"/>
      <c r="B3399" s="180"/>
      <c r="C3399" s="35"/>
      <c r="D3399" s="36"/>
      <c r="E3399" s="36"/>
    </row>
    <row r="3400" spans="1:5" x14ac:dyDescent="0.25">
      <c r="A3400" s="28"/>
      <c r="B3400" s="180"/>
      <c r="C3400" s="35"/>
      <c r="D3400" s="36"/>
      <c r="E3400" s="36"/>
    </row>
    <row r="3401" spans="1:5" x14ac:dyDescent="0.25">
      <c r="A3401" s="28"/>
      <c r="B3401" s="180"/>
      <c r="C3401" s="35"/>
      <c r="D3401" s="36"/>
      <c r="E3401" s="36"/>
    </row>
    <row r="3402" spans="1:5" x14ac:dyDescent="0.25">
      <c r="A3402" s="28"/>
      <c r="B3402" s="180"/>
      <c r="C3402" s="35"/>
      <c r="D3402" s="36"/>
      <c r="E3402" s="36"/>
    </row>
    <row r="3403" spans="1:5" x14ac:dyDescent="0.25">
      <c r="A3403" s="28"/>
      <c r="B3403" s="180"/>
      <c r="C3403" s="35"/>
      <c r="D3403" s="36"/>
      <c r="E3403" s="36"/>
    </row>
    <row r="3404" spans="1:5" x14ac:dyDescent="0.25">
      <c r="A3404" s="28"/>
      <c r="B3404" s="180"/>
      <c r="C3404" s="35"/>
      <c r="D3404" s="36"/>
      <c r="E3404" s="36"/>
    </row>
    <row r="3405" spans="1:5" x14ac:dyDescent="0.25">
      <c r="A3405" s="28"/>
      <c r="B3405" s="180"/>
      <c r="C3405" s="35"/>
      <c r="D3405" s="36"/>
      <c r="E3405" s="36"/>
    </row>
    <row r="3406" spans="1:5" x14ac:dyDescent="0.25">
      <c r="A3406" s="28"/>
      <c r="B3406" s="180"/>
      <c r="C3406" s="35"/>
      <c r="D3406" s="36"/>
      <c r="E3406" s="36"/>
    </row>
    <row r="3407" spans="1:5" x14ac:dyDescent="0.25">
      <c r="A3407" s="28"/>
      <c r="B3407" s="180"/>
      <c r="C3407" s="35"/>
      <c r="D3407" s="36"/>
      <c r="E3407" s="36"/>
    </row>
    <row r="3408" spans="1:5" x14ac:dyDescent="0.25">
      <c r="A3408" s="28"/>
      <c r="B3408" s="180"/>
      <c r="C3408" s="35"/>
      <c r="D3408" s="36"/>
      <c r="E3408" s="36"/>
    </row>
    <row r="3409" spans="1:5" x14ac:dyDescent="0.25">
      <c r="A3409" s="28"/>
      <c r="B3409" s="180"/>
      <c r="C3409" s="35"/>
      <c r="D3409" s="36"/>
      <c r="E3409" s="36"/>
    </row>
    <row r="3410" spans="1:5" x14ac:dyDescent="0.25">
      <c r="A3410" s="28"/>
      <c r="B3410" s="180"/>
      <c r="C3410" s="35"/>
      <c r="D3410" s="36"/>
      <c r="E3410" s="36"/>
    </row>
    <row r="3411" spans="1:5" x14ac:dyDescent="0.25">
      <c r="A3411" s="28"/>
      <c r="B3411" s="180"/>
      <c r="C3411" s="35"/>
      <c r="D3411" s="36"/>
      <c r="E3411" s="36"/>
    </row>
    <row r="3412" spans="1:5" x14ac:dyDescent="0.25">
      <c r="A3412" s="28"/>
      <c r="B3412" s="180"/>
      <c r="C3412" s="35"/>
      <c r="D3412" s="36"/>
      <c r="E3412" s="36"/>
    </row>
    <row r="3413" spans="1:5" x14ac:dyDescent="0.25">
      <c r="A3413" s="28"/>
      <c r="B3413" s="180"/>
      <c r="C3413" s="35"/>
      <c r="D3413" s="36"/>
      <c r="E3413" s="36"/>
    </row>
    <row r="3414" spans="1:5" x14ac:dyDescent="0.25">
      <c r="A3414" s="28"/>
      <c r="B3414" s="180"/>
      <c r="C3414" s="35"/>
      <c r="D3414" s="36"/>
      <c r="E3414" s="36"/>
    </row>
    <row r="3415" spans="1:5" x14ac:dyDescent="0.25">
      <c r="A3415" s="28"/>
      <c r="B3415" s="180"/>
      <c r="C3415" s="35"/>
      <c r="D3415" s="36"/>
      <c r="E3415" s="36"/>
    </row>
    <row r="3416" spans="1:5" x14ac:dyDescent="0.25">
      <c r="A3416" s="28"/>
      <c r="B3416" s="180"/>
      <c r="C3416" s="35"/>
      <c r="D3416" s="36"/>
      <c r="E3416" s="36"/>
    </row>
    <row r="3417" spans="1:5" x14ac:dyDescent="0.25">
      <c r="A3417" s="28"/>
      <c r="B3417" s="180"/>
      <c r="C3417" s="35"/>
      <c r="D3417" s="36"/>
      <c r="E3417" s="36"/>
    </row>
    <row r="3418" spans="1:5" x14ac:dyDescent="0.25">
      <c r="A3418" s="28"/>
      <c r="B3418" s="180"/>
      <c r="C3418" s="35"/>
      <c r="D3418" s="36"/>
      <c r="E3418" s="36"/>
    </row>
    <row r="3419" spans="1:5" x14ac:dyDescent="0.25">
      <c r="A3419" s="28"/>
      <c r="B3419" s="180"/>
      <c r="C3419" s="35"/>
      <c r="D3419" s="36"/>
      <c r="E3419" s="36"/>
    </row>
    <row r="3420" spans="1:5" x14ac:dyDescent="0.25">
      <c r="A3420" s="28"/>
      <c r="B3420" s="180"/>
      <c r="C3420" s="35"/>
      <c r="D3420" s="36"/>
      <c r="E3420" s="36"/>
    </row>
    <row r="3421" spans="1:5" x14ac:dyDescent="0.25">
      <c r="A3421" s="28"/>
      <c r="B3421" s="180"/>
      <c r="C3421" s="35"/>
      <c r="D3421" s="36"/>
      <c r="E3421" s="36"/>
    </row>
    <row r="3422" spans="1:5" x14ac:dyDescent="0.25">
      <c r="A3422" s="28"/>
      <c r="B3422" s="180"/>
      <c r="C3422" s="35"/>
      <c r="D3422" s="36"/>
      <c r="E3422" s="36"/>
    </row>
    <row r="3423" spans="1:5" x14ac:dyDescent="0.25">
      <c r="A3423" s="28"/>
      <c r="B3423" s="180"/>
      <c r="C3423" s="35"/>
      <c r="D3423" s="36"/>
      <c r="E3423" s="36"/>
    </row>
    <row r="3424" spans="1:5" x14ac:dyDescent="0.25">
      <c r="A3424" s="28"/>
      <c r="B3424" s="180"/>
      <c r="C3424" s="35"/>
      <c r="D3424" s="36"/>
      <c r="E3424" s="36"/>
    </row>
    <row r="3425" spans="1:5" x14ac:dyDescent="0.25">
      <c r="A3425" s="28"/>
      <c r="B3425" s="180"/>
      <c r="C3425" s="35"/>
      <c r="D3425" s="36"/>
      <c r="E3425" s="36"/>
    </row>
    <row r="3426" spans="1:5" x14ac:dyDescent="0.25">
      <c r="A3426" s="28"/>
      <c r="B3426" s="180"/>
      <c r="C3426" s="35"/>
      <c r="D3426" s="36"/>
      <c r="E3426" s="36"/>
    </row>
    <row r="3427" spans="1:5" x14ac:dyDescent="0.25">
      <c r="A3427" s="28"/>
      <c r="B3427" s="180"/>
      <c r="C3427" s="35"/>
      <c r="D3427" s="36"/>
      <c r="E3427" s="36"/>
    </row>
    <row r="3428" spans="1:5" x14ac:dyDescent="0.25">
      <c r="A3428" s="28"/>
      <c r="B3428" s="180"/>
      <c r="C3428" s="35"/>
      <c r="D3428" s="36"/>
      <c r="E3428" s="36"/>
    </row>
    <row r="3429" spans="1:5" x14ac:dyDescent="0.25">
      <c r="A3429" s="28"/>
      <c r="B3429" s="180"/>
      <c r="C3429" s="35"/>
      <c r="D3429" s="36"/>
      <c r="E3429" s="36"/>
    </row>
    <row r="3430" spans="1:5" x14ac:dyDescent="0.25">
      <c r="A3430" s="28"/>
      <c r="B3430" s="180"/>
      <c r="C3430" s="35"/>
      <c r="D3430" s="36"/>
      <c r="E3430" s="36"/>
    </row>
    <row r="3431" spans="1:5" x14ac:dyDescent="0.25">
      <c r="A3431" s="28"/>
      <c r="B3431" s="180"/>
      <c r="C3431" s="35"/>
      <c r="D3431" s="36"/>
      <c r="E3431" s="36"/>
    </row>
    <row r="3432" spans="1:5" x14ac:dyDescent="0.25">
      <c r="A3432" s="28"/>
      <c r="B3432" s="180"/>
      <c r="C3432" s="35"/>
      <c r="D3432" s="36"/>
      <c r="E3432" s="36"/>
    </row>
    <row r="3433" spans="1:5" x14ac:dyDescent="0.25">
      <c r="A3433" s="28"/>
      <c r="B3433" s="180"/>
      <c r="C3433" s="35"/>
      <c r="D3433" s="36"/>
      <c r="E3433" s="36"/>
    </row>
    <row r="3434" spans="1:5" x14ac:dyDescent="0.25">
      <c r="A3434" s="28"/>
      <c r="B3434" s="180"/>
      <c r="C3434" s="35"/>
      <c r="D3434" s="36"/>
      <c r="E3434" s="36"/>
    </row>
    <row r="3435" spans="1:5" x14ac:dyDescent="0.25">
      <c r="A3435" s="28"/>
      <c r="B3435" s="180"/>
      <c r="C3435" s="35"/>
      <c r="D3435" s="36"/>
      <c r="E3435" s="36"/>
    </row>
    <row r="3436" spans="1:5" x14ac:dyDescent="0.25">
      <c r="A3436" s="28"/>
      <c r="B3436" s="180"/>
      <c r="C3436" s="35"/>
      <c r="D3436" s="36"/>
      <c r="E3436" s="36"/>
    </row>
    <row r="3437" spans="1:5" x14ac:dyDescent="0.25">
      <c r="A3437" s="28"/>
      <c r="B3437" s="180"/>
      <c r="C3437" s="35"/>
      <c r="D3437" s="36"/>
      <c r="E3437" s="36"/>
    </row>
    <row r="3438" spans="1:5" x14ac:dyDescent="0.25">
      <c r="A3438" s="28"/>
      <c r="B3438" s="180"/>
      <c r="C3438" s="35"/>
      <c r="D3438" s="36"/>
      <c r="E3438" s="36"/>
    </row>
    <row r="3439" spans="1:5" x14ac:dyDescent="0.25">
      <c r="A3439" s="28"/>
      <c r="B3439" s="180"/>
      <c r="C3439" s="35"/>
      <c r="D3439" s="36"/>
      <c r="E3439" s="36"/>
    </row>
    <row r="3440" spans="1:5" x14ac:dyDescent="0.25">
      <c r="A3440" s="28"/>
      <c r="B3440" s="180"/>
      <c r="C3440" s="35"/>
      <c r="D3440" s="36"/>
      <c r="E3440" s="36"/>
    </row>
    <row r="3441" spans="1:5" x14ac:dyDescent="0.25">
      <c r="A3441" s="28"/>
      <c r="B3441" s="180"/>
      <c r="C3441" s="35"/>
      <c r="D3441" s="36"/>
      <c r="E3441" s="36"/>
    </row>
    <row r="3442" spans="1:5" x14ac:dyDescent="0.25">
      <c r="A3442" s="28"/>
      <c r="B3442" s="180"/>
      <c r="C3442" s="35"/>
      <c r="D3442" s="36"/>
      <c r="E3442" s="36"/>
    </row>
    <row r="3443" spans="1:5" x14ac:dyDescent="0.25">
      <c r="A3443" s="28"/>
      <c r="B3443" s="180"/>
      <c r="C3443" s="35"/>
      <c r="D3443" s="36"/>
      <c r="E3443" s="36"/>
    </row>
    <row r="3444" spans="1:5" x14ac:dyDescent="0.25">
      <c r="A3444" s="28"/>
      <c r="B3444" s="180"/>
      <c r="C3444" s="35"/>
      <c r="D3444" s="36"/>
      <c r="E3444" s="36"/>
    </row>
    <row r="3445" spans="1:5" x14ac:dyDescent="0.25">
      <c r="A3445" s="28"/>
      <c r="B3445" s="180"/>
      <c r="C3445" s="35"/>
      <c r="D3445" s="36"/>
      <c r="E3445" s="36"/>
    </row>
    <row r="3446" spans="1:5" x14ac:dyDescent="0.25">
      <c r="A3446" s="28"/>
      <c r="B3446" s="180"/>
      <c r="C3446" s="35"/>
      <c r="D3446" s="36"/>
      <c r="E3446" s="36"/>
    </row>
    <row r="3447" spans="1:5" x14ac:dyDescent="0.25">
      <c r="A3447" s="28"/>
      <c r="B3447" s="180"/>
      <c r="C3447" s="35"/>
      <c r="D3447" s="36"/>
      <c r="E3447" s="36"/>
    </row>
    <row r="3448" spans="1:5" x14ac:dyDescent="0.25">
      <c r="A3448" s="28"/>
      <c r="B3448" s="180"/>
      <c r="C3448" s="35"/>
      <c r="D3448" s="36"/>
      <c r="E3448" s="36"/>
    </row>
    <row r="3449" spans="1:5" x14ac:dyDescent="0.25">
      <c r="A3449" s="28"/>
      <c r="B3449" s="180"/>
      <c r="C3449" s="35"/>
      <c r="D3449" s="36"/>
      <c r="E3449" s="36"/>
    </row>
    <row r="3450" spans="1:5" x14ac:dyDescent="0.25">
      <c r="A3450" s="28"/>
      <c r="B3450" s="180"/>
      <c r="C3450" s="35"/>
      <c r="D3450" s="36"/>
      <c r="E3450" s="36"/>
    </row>
    <row r="3451" spans="1:5" x14ac:dyDescent="0.25">
      <c r="A3451" s="28"/>
      <c r="B3451" s="180"/>
      <c r="C3451" s="35"/>
      <c r="D3451" s="36"/>
      <c r="E3451" s="36"/>
    </row>
    <row r="3452" spans="1:5" x14ac:dyDescent="0.25">
      <c r="A3452" s="28"/>
      <c r="B3452" s="180"/>
      <c r="C3452" s="35"/>
      <c r="D3452" s="36"/>
      <c r="E3452" s="36"/>
    </row>
    <row r="3453" spans="1:5" x14ac:dyDescent="0.25">
      <c r="A3453" s="28"/>
      <c r="B3453" s="180"/>
      <c r="C3453" s="35"/>
      <c r="D3453" s="36"/>
      <c r="E3453" s="36"/>
    </row>
    <row r="3454" spans="1:5" x14ac:dyDescent="0.25">
      <c r="A3454" s="28"/>
      <c r="B3454" s="180"/>
      <c r="C3454" s="35"/>
      <c r="D3454" s="36"/>
      <c r="E3454" s="36"/>
    </row>
    <row r="3455" spans="1:5" x14ac:dyDescent="0.25">
      <c r="A3455" s="28"/>
      <c r="B3455" s="180"/>
      <c r="C3455" s="35"/>
      <c r="D3455" s="36"/>
      <c r="E3455" s="36"/>
    </row>
    <row r="3456" spans="1:5" x14ac:dyDescent="0.25">
      <c r="A3456" s="28"/>
      <c r="B3456" s="180"/>
      <c r="C3456" s="35"/>
      <c r="D3456" s="36"/>
      <c r="E3456" s="36"/>
    </row>
    <row r="3457" spans="1:5" x14ac:dyDescent="0.25">
      <c r="A3457" s="28"/>
      <c r="B3457" s="180"/>
      <c r="C3457" s="35"/>
      <c r="D3457" s="36"/>
      <c r="E3457" s="36"/>
    </row>
    <row r="3458" spans="1:5" x14ac:dyDescent="0.25">
      <c r="A3458" s="28"/>
      <c r="B3458" s="180"/>
      <c r="C3458" s="35"/>
      <c r="D3458" s="36"/>
      <c r="E3458" s="36"/>
    </row>
    <row r="3459" spans="1:5" x14ac:dyDescent="0.25">
      <c r="A3459" s="28"/>
      <c r="B3459" s="180"/>
      <c r="C3459" s="35"/>
      <c r="D3459" s="36"/>
      <c r="E3459" s="36"/>
    </row>
    <row r="3460" spans="1:5" x14ac:dyDescent="0.25">
      <c r="A3460" s="28"/>
      <c r="B3460" s="180"/>
      <c r="C3460" s="35"/>
      <c r="D3460" s="36"/>
      <c r="E3460" s="36"/>
    </row>
    <row r="3461" spans="1:5" x14ac:dyDescent="0.25">
      <c r="A3461" s="28"/>
      <c r="B3461" s="180"/>
      <c r="C3461" s="35"/>
      <c r="D3461" s="36"/>
      <c r="E3461" s="36"/>
    </row>
    <row r="3462" spans="1:5" x14ac:dyDescent="0.25">
      <c r="A3462" s="28"/>
      <c r="B3462" s="180"/>
      <c r="C3462" s="35"/>
      <c r="D3462" s="36"/>
      <c r="E3462" s="36"/>
    </row>
    <row r="3463" spans="1:5" x14ac:dyDescent="0.25">
      <c r="A3463" s="28"/>
      <c r="B3463" s="180"/>
      <c r="C3463" s="35"/>
      <c r="D3463" s="36"/>
      <c r="E3463" s="36"/>
    </row>
    <row r="3464" spans="1:5" x14ac:dyDescent="0.25">
      <c r="A3464" s="28"/>
      <c r="B3464" s="180"/>
      <c r="C3464" s="35"/>
      <c r="D3464" s="36"/>
      <c r="E3464" s="36"/>
    </row>
    <row r="3465" spans="1:5" x14ac:dyDescent="0.25">
      <c r="A3465" s="28"/>
      <c r="B3465" s="180"/>
      <c r="C3465" s="35"/>
      <c r="D3465" s="36"/>
      <c r="E3465" s="36"/>
    </row>
    <row r="3466" spans="1:5" x14ac:dyDescent="0.25">
      <c r="A3466" s="28"/>
      <c r="B3466" s="180"/>
      <c r="C3466" s="35"/>
      <c r="D3466" s="36"/>
      <c r="E3466" s="36"/>
    </row>
    <row r="3467" spans="1:5" x14ac:dyDescent="0.25">
      <c r="A3467" s="28"/>
      <c r="B3467" s="180"/>
      <c r="C3467" s="35"/>
      <c r="D3467" s="36"/>
      <c r="E3467" s="36"/>
    </row>
    <row r="3468" spans="1:5" x14ac:dyDescent="0.25">
      <c r="A3468" s="28"/>
      <c r="B3468" s="180"/>
      <c r="C3468" s="35"/>
      <c r="D3468" s="36"/>
      <c r="E3468" s="36"/>
    </row>
    <row r="3469" spans="1:5" x14ac:dyDescent="0.25">
      <c r="A3469" s="28"/>
      <c r="B3469" s="180"/>
      <c r="C3469" s="35"/>
      <c r="D3469" s="36"/>
      <c r="E3469" s="36"/>
    </row>
    <row r="3470" spans="1:5" x14ac:dyDescent="0.25">
      <c r="A3470" s="28"/>
      <c r="B3470" s="180"/>
      <c r="C3470" s="35"/>
      <c r="D3470" s="36"/>
      <c r="E3470" s="36"/>
    </row>
    <row r="3471" spans="1:5" x14ac:dyDescent="0.25">
      <c r="A3471" s="28"/>
      <c r="B3471" s="180"/>
      <c r="C3471" s="35"/>
      <c r="D3471" s="36"/>
      <c r="E3471" s="36"/>
    </row>
    <row r="3472" spans="1:5" x14ac:dyDescent="0.25">
      <c r="A3472" s="28"/>
      <c r="B3472" s="180"/>
      <c r="C3472" s="35"/>
      <c r="D3472" s="36"/>
      <c r="E3472" s="36"/>
    </row>
    <row r="3473" spans="1:5" x14ac:dyDescent="0.25">
      <c r="A3473" s="28"/>
      <c r="B3473" s="180"/>
      <c r="C3473" s="35"/>
      <c r="D3473" s="36"/>
      <c r="E3473" s="36"/>
    </row>
    <row r="3474" spans="1:5" x14ac:dyDescent="0.25">
      <c r="A3474" s="28"/>
      <c r="B3474" s="180"/>
      <c r="C3474" s="35"/>
      <c r="D3474" s="36"/>
      <c r="E3474" s="36"/>
    </row>
    <row r="3475" spans="1:5" x14ac:dyDescent="0.25">
      <c r="A3475" s="28"/>
      <c r="B3475" s="180"/>
      <c r="C3475" s="35"/>
      <c r="D3475" s="36"/>
      <c r="E3475" s="36"/>
    </row>
    <row r="3476" spans="1:5" x14ac:dyDescent="0.25">
      <c r="A3476" s="28"/>
      <c r="B3476" s="180"/>
      <c r="C3476" s="35"/>
      <c r="D3476" s="36"/>
      <c r="E3476" s="36"/>
    </row>
    <row r="3477" spans="1:5" x14ac:dyDescent="0.25">
      <c r="A3477" s="28"/>
      <c r="B3477" s="180"/>
      <c r="C3477" s="35"/>
      <c r="D3477" s="36"/>
      <c r="E3477" s="36"/>
    </row>
    <row r="3478" spans="1:5" x14ac:dyDescent="0.25">
      <c r="A3478" s="28"/>
      <c r="B3478" s="180"/>
      <c r="C3478" s="35"/>
      <c r="D3478" s="36"/>
      <c r="E3478" s="36"/>
    </row>
    <row r="3479" spans="1:5" x14ac:dyDescent="0.25">
      <c r="A3479" s="28"/>
      <c r="B3479" s="180"/>
      <c r="C3479" s="35"/>
      <c r="D3479" s="36"/>
      <c r="E3479" s="36"/>
    </row>
    <row r="3480" spans="1:5" x14ac:dyDescent="0.25">
      <c r="A3480" s="28"/>
      <c r="B3480" s="180"/>
      <c r="C3480" s="35"/>
      <c r="D3480" s="36"/>
      <c r="E3480" s="36"/>
    </row>
    <row r="3481" spans="1:5" x14ac:dyDescent="0.25">
      <c r="A3481" s="28"/>
      <c r="B3481" s="180"/>
      <c r="C3481" s="35"/>
      <c r="D3481" s="36"/>
      <c r="E3481" s="36"/>
    </row>
    <row r="3482" spans="1:5" x14ac:dyDescent="0.25">
      <c r="A3482" s="28"/>
      <c r="B3482" s="180"/>
      <c r="C3482" s="35"/>
      <c r="D3482" s="36"/>
      <c r="E3482" s="36"/>
    </row>
    <row r="3483" spans="1:5" x14ac:dyDescent="0.25">
      <c r="A3483" s="28"/>
      <c r="B3483" s="180"/>
      <c r="C3483" s="35"/>
      <c r="D3483" s="36"/>
      <c r="E3483" s="36"/>
    </row>
    <row r="3484" spans="1:5" x14ac:dyDescent="0.25">
      <c r="A3484" s="28"/>
      <c r="B3484" s="180"/>
      <c r="C3484" s="35"/>
      <c r="D3484" s="36"/>
      <c r="E3484" s="36"/>
    </row>
    <row r="3485" spans="1:5" x14ac:dyDescent="0.25">
      <c r="A3485" s="28"/>
      <c r="B3485" s="180"/>
      <c r="C3485" s="35"/>
      <c r="D3485" s="36"/>
      <c r="E3485" s="36"/>
    </row>
    <row r="3486" spans="1:5" x14ac:dyDescent="0.25">
      <c r="A3486" s="28"/>
      <c r="B3486" s="180"/>
      <c r="C3486" s="35"/>
      <c r="D3486" s="36"/>
      <c r="E3486" s="36"/>
    </row>
    <row r="3487" spans="1:5" x14ac:dyDescent="0.25">
      <c r="A3487" s="28"/>
      <c r="B3487" s="180"/>
      <c r="C3487" s="35"/>
      <c r="D3487" s="36"/>
      <c r="E3487" s="36"/>
    </row>
    <row r="3488" spans="1:5" x14ac:dyDescent="0.25">
      <c r="A3488" s="28"/>
      <c r="B3488" s="180"/>
      <c r="C3488" s="35"/>
      <c r="D3488" s="36"/>
      <c r="E3488" s="36"/>
    </row>
    <row r="3489" spans="1:5" x14ac:dyDescent="0.25">
      <c r="A3489" s="28"/>
      <c r="B3489" s="180"/>
      <c r="C3489" s="35"/>
      <c r="D3489" s="36"/>
      <c r="E3489" s="36"/>
    </row>
    <row r="3490" spans="1:5" x14ac:dyDescent="0.25">
      <c r="A3490" s="28"/>
      <c r="B3490" s="180"/>
      <c r="C3490" s="35"/>
      <c r="D3490" s="36"/>
      <c r="E3490" s="36"/>
    </row>
    <row r="3491" spans="1:5" x14ac:dyDescent="0.25">
      <c r="A3491" s="28"/>
      <c r="B3491" s="180"/>
      <c r="C3491" s="35"/>
      <c r="D3491" s="36"/>
      <c r="E3491" s="36"/>
    </row>
    <row r="3492" spans="1:5" x14ac:dyDescent="0.25">
      <c r="A3492" s="28"/>
      <c r="B3492" s="180"/>
      <c r="C3492" s="35"/>
      <c r="D3492" s="36"/>
      <c r="E3492" s="36"/>
    </row>
    <row r="3493" spans="1:5" x14ac:dyDescent="0.25">
      <c r="A3493" s="28"/>
      <c r="B3493" s="180"/>
      <c r="C3493" s="35"/>
      <c r="D3493" s="36"/>
      <c r="E3493" s="36"/>
    </row>
    <row r="3494" spans="1:5" x14ac:dyDescent="0.25">
      <c r="A3494" s="28"/>
      <c r="B3494" s="180"/>
      <c r="C3494" s="35"/>
      <c r="D3494" s="36"/>
      <c r="E3494" s="36"/>
    </row>
    <row r="3495" spans="1:5" x14ac:dyDescent="0.25">
      <c r="A3495" s="28"/>
      <c r="B3495" s="180"/>
      <c r="C3495" s="35"/>
      <c r="D3495" s="36"/>
      <c r="E3495" s="36"/>
    </row>
    <row r="3496" spans="1:5" x14ac:dyDescent="0.25">
      <c r="A3496" s="28"/>
      <c r="B3496" s="180"/>
      <c r="C3496" s="35"/>
      <c r="D3496" s="36"/>
      <c r="E3496" s="36"/>
    </row>
    <row r="3497" spans="1:5" x14ac:dyDescent="0.25">
      <c r="A3497" s="28"/>
      <c r="B3497" s="180"/>
      <c r="C3497" s="35"/>
      <c r="D3497" s="36"/>
      <c r="E3497" s="36"/>
    </row>
    <row r="3498" spans="1:5" x14ac:dyDescent="0.25">
      <c r="A3498" s="28"/>
      <c r="B3498" s="180"/>
      <c r="C3498" s="35"/>
      <c r="D3498" s="36"/>
      <c r="E3498" s="36"/>
    </row>
    <row r="3499" spans="1:5" x14ac:dyDescent="0.25">
      <c r="A3499" s="28"/>
      <c r="B3499" s="180"/>
      <c r="C3499" s="35"/>
      <c r="D3499" s="36"/>
      <c r="E3499" s="36"/>
    </row>
    <row r="3500" spans="1:5" x14ac:dyDescent="0.25">
      <c r="A3500" s="28"/>
      <c r="B3500" s="180"/>
      <c r="C3500" s="35"/>
      <c r="D3500" s="36"/>
      <c r="E3500" s="36"/>
    </row>
    <row r="3501" spans="1:5" x14ac:dyDescent="0.25">
      <c r="A3501" s="28"/>
      <c r="B3501" s="180"/>
      <c r="C3501" s="35"/>
      <c r="D3501" s="36"/>
      <c r="E3501" s="36"/>
    </row>
    <row r="3502" spans="1:5" x14ac:dyDescent="0.25">
      <c r="A3502" s="28"/>
      <c r="B3502" s="180"/>
      <c r="C3502" s="35"/>
      <c r="D3502" s="36"/>
      <c r="E3502" s="36"/>
    </row>
    <row r="3503" spans="1:5" x14ac:dyDescent="0.25">
      <c r="A3503" s="28"/>
      <c r="B3503" s="180"/>
      <c r="C3503" s="35"/>
      <c r="D3503" s="36"/>
      <c r="E3503" s="36"/>
    </row>
    <row r="3504" spans="1:5" x14ac:dyDescent="0.25">
      <c r="A3504" s="28"/>
      <c r="B3504" s="180"/>
      <c r="C3504" s="35"/>
      <c r="D3504" s="36"/>
      <c r="E3504" s="36"/>
    </row>
    <row r="3505" spans="1:5" x14ac:dyDescent="0.25">
      <c r="A3505" s="28"/>
      <c r="B3505" s="180"/>
      <c r="C3505" s="35"/>
      <c r="D3505" s="36"/>
      <c r="E3505" s="36"/>
    </row>
    <row r="3506" spans="1:5" x14ac:dyDescent="0.25">
      <c r="A3506" s="28"/>
      <c r="B3506" s="180"/>
      <c r="C3506" s="35"/>
      <c r="D3506" s="36"/>
      <c r="E3506" s="36"/>
    </row>
    <row r="3507" spans="1:5" x14ac:dyDescent="0.25">
      <c r="A3507" s="28"/>
      <c r="B3507" s="180"/>
      <c r="C3507" s="35"/>
      <c r="D3507" s="36"/>
      <c r="E3507" s="36"/>
    </row>
    <row r="3508" spans="1:5" x14ac:dyDescent="0.25">
      <c r="A3508" s="28"/>
      <c r="B3508" s="180"/>
      <c r="C3508" s="35"/>
      <c r="D3508" s="36"/>
      <c r="E3508" s="36"/>
    </row>
    <row r="3509" spans="1:5" x14ac:dyDescent="0.25">
      <c r="A3509" s="28"/>
      <c r="B3509" s="180"/>
      <c r="C3509" s="35"/>
      <c r="D3509" s="36"/>
      <c r="E3509" s="36"/>
    </row>
    <row r="3510" spans="1:5" x14ac:dyDescent="0.25">
      <c r="A3510" s="28"/>
      <c r="B3510" s="180"/>
      <c r="C3510" s="35"/>
      <c r="D3510" s="36"/>
      <c r="E3510" s="36"/>
    </row>
    <row r="3511" spans="1:5" x14ac:dyDescent="0.25">
      <c r="A3511" s="28"/>
      <c r="B3511" s="180"/>
      <c r="C3511" s="35"/>
      <c r="D3511" s="36"/>
      <c r="E3511" s="36"/>
    </row>
    <row r="3512" spans="1:5" x14ac:dyDescent="0.25">
      <c r="A3512" s="28"/>
      <c r="B3512" s="180"/>
      <c r="C3512" s="35"/>
      <c r="D3512" s="36"/>
      <c r="E3512" s="36"/>
    </row>
    <row r="3513" spans="1:5" x14ac:dyDescent="0.25">
      <c r="A3513" s="28"/>
      <c r="B3513" s="180"/>
      <c r="C3513" s="35"/>
      <c r="D3513" s="36"/>
      <c r="E3513" s="36"/>
    </row>
    <row r="3514" spans="1:5" x14ac:dyDescent="0.25">
      <c r="A3514" s="28"/>
      <c r="B3514" s="180"/>
      <c r="C3514" s="35"/>
      <c r="D3514" s="36"/>
      <c r="E3514" s="36"/>
    </row>
    <row r="3515" spans="1:5" x14ac:dyDescent="0.25">
      <c r="A3515" s="28"/>
      <c r="B3515" s="180"/>
      <c r="C3515" s="35"/>
      <c r="D3515" s="36"/>
      <c r="E3515" s="36"/>
    </row>
    <row r="3516" spans="1:5" x14ac:dyDescent="0.25">
      <c r="A3516" s="28"/>
      <c r="B3516" s="180"/>
      <c r="C3516" s="35"/>
      <c r="D3516" s="36"/>
      <c r="E3516" s="36"/>
    </row>
    <row r="3517" spans="1:5" x14ac:dyDescent="0.25">
      <c r="A3517" s="28"/>
      <c r="B3517" s="180"/>
      <c r="C3517" s="35"/>
      <c r="D3517" s="36"/>
      <c r="E3517" s="36"/>
    </row>
    <row r="3518" spans="1:5" x14ac:dyDescent="0.25">
      <c r="A3518" s="28"/>
      <c r="B3518" s="180"/>
      <c r="C3518" s="35"/>
      <c r="D3518" s="36"/>
      <c r="E3518" s="36"/>
    </row>
    <row r="3519" spans="1:5" x14ac:dyDescent="0.25">
      <c r="A3519" s="28"/>
      <c r="B3519" s="180"/>
      <c r="C3519" s="35"/>
      <c r="D3519" s="36"/>
      <c r="E3519" s="36"/>
    </row>
    <row r="3520" spans="1:5" x14ac:dyDescent="0.25">
      <c r="A3520" s="28"/>
      <c r="B3520" s="180"/>
      <c r="C3520" s="35"/>
      <c r="D3520" s="36"/>
      <c r="E3520" s="36"/>
    </row>
    <row r="3521" spans="1:5" x14ac:dyDescent="0.25">
      <c r="A3521" s="28"/>
      <c r="B3521" s="180"/>
      <c r="C3521" s="35"/>
      <c r="D3521" s="36"/>
      <c r="E3521" s="36"/>
    </row>
    <row r="3522" spans="1:5" x14ac:dyDescent="0.25">
      <c r="A3522" s="28"/>
      <c r="B3522" s="180"/>
      <c r="C3522" s="35"/>
      <c r="D3522" s="36"/>
      <c r="E3522" s="36"/>
    </row>
    <row r="3523" spans="1:5" x14ac:dyDescent="0.25">
      <c r="A3523" s="28"/>
      <c r="B3523" s="180"/>
      <c r="C3523" s="35"/>
      <c r="D3523" s="36"/>
      <c r="E3523" s="36"/>
    </row>
    <row r="3524" spans="1:5" x14ac:dyDescent="0.25">
      <c r="A3524" s="28"/>
      <c r="B3524" s="180"/>
      <c r="C3524" s="35"/>
      <c r="D3524" s="36"/>
      <c r="E3524" s="36"/>
    </row>
    <row r="3525" spans="1:5" x14ac:dyDescent="0.25">
      <c r="A3525" s="28"/>
      <c r="B3525" s="180"/>
      <c r="C3525" s="35"/>
      <c r="D3525" s="36"/>
      <c r="E3525" s="36"/>
    </row>
    <row r="3526" spans="1:5" x14ac:dyDescent="0.25">
      <c r="A3526" s="28"/>
      <c r="B3526" s="180"/>
      <c r="C3526" s="35"/>
      <c r="D3526" s="36"/>
      <c r="E3526" s="36"/>
    </row>
    <row r="3527" spans="1:5" x14ac:dyDescent="0.25">
      <c r="A3527" s="28"/>
      <c r="B3527" s="180"/>
      <c r="C3527" s="35"/>
      <c r="D3527" s="36"/>
      <c r="E3527" s="36"/>
    </row>
    <row r="3528" spans="1:5" x14ac:dyDescent="0.25">
      <c r="A3528" s="28"/>
      <c r="B3528" s="180"/>
      <c r="C3528" s="35"/>
      <c r="D3528" s="36"/>
      <c r="E3528" s="36"/>
    </row>
    <row r="3529" spans="1:5" x14ac:dyDescent="0.25">
      <c r="A3529" s="28"/>
      <c r="B3529" s="180"/>
      <c r="C3529" s="35"/>
      <c r="D3529" s="36"/>
      <c r="E3529" s="36"/>
    </row>
    <row r="3530" spans="1:5" x14ac:dyDescent="0.25">
      <c r="A3530" s="28"/>
      <c r="B3530" s="180"/>
      <c r="C3530" s="35"/>
      <c r="D3530" s="36"/>
      <c r="E3530" s="36"/>
    </row>
    <row r="3531" spans="1:5" x14ac:dyDescent="0.25">
      <c r="A3531" s="28"/>
      <c r="B3531" s="180"/>
      <c r="C3531" s="35"/>
      <c r="D3531" s="36"/>
      <c r="E3531" s="36"/>
    </row>
    <row r="3532" spans="1:5" x14ac:dyDescent="0.25">
      <c r="A3532" s="28"/>
      <c r="B3532" s="180"/>
      <c r="C3532" s="35"/>
      <c r="D3532" s="36"/>
      <c r="E3532" s="36"/>
    </row>
    <row r="3533" spans="1:5" x14ac:dyDescent="0.25">
      <c r="A3533" s="28"/>
      <c r="B3533" s="180"/>
      <c r="C3533" s="35"/>
      <c r="D3533" s="36"/>
      <c r="E3533" s="36"/>
    </row>
    <row r="3534" spans="1:5" x14ac:dyDescent="0.25">
      <c r="A3534" s="28"/>
      <c r="B3534" s="180"/>
      <c r="C3534" s="35"/>
      <c r="D3534" s="36"/>
      <c r="E3534" s="36"/>
    </row>
    <row r="3535" spans="1:5" x14ac:dyDescent="0.25">
      <c r="A3535" s="28"/>
      <c r="B3535" s="180"/>
      <c r="C3535" s="35"/>
      <c r="D3535" s="36"/>
      <c r="E3535" s="36"/>
    </row>
    <row r="3536" spans="1:5" x14ac:dyDescent="0.25">
      <c r="A3536" s="28"/>
      <c r="B3536" s="180"/>
      <c r="C3536" s="35"/>
      <c r="D3536" s="36"/>
      <c r="E3536" s="36"/>
    </row>
    <row r="3537" spans="1:5" x14ac:dyDescent="0.25">
      <c r="A3537" s="28"/>
      <c r="B3537" s="180"/>
      <c r="C3537" s="35"/>
      <c r="D3537" s="36"/>
      <c r="E3537" s="36"/>
    </row>
    <row r="3538" spans="1:5" x14ac:dyDescent="0.25">
      <c r="A3538" s="28"/>
      <c r="B3538" s="180"/>
      <c r="C3538" s="35"/>
      <c r="D3538" s="36"/>
      <c r="E3538" s="36"/>
    </row>
    <row r="3539" spans="1:5" x14ac:dyDescent="0.25">
      <c r="A3539" s="28"/>
      <c r="B3539" s="180"/>
      <c r="C3539" s="35"/>
      <c r="D3539" s="36"/>
      <c r="E3539" s="36"/>
    </row>
    <row r="3540" spans="1:5" x14ac:dyDescent="0.25">
      <c r="A3540" s="28"/>
      <c r="B3540" s="180"/>
      <c r="C3540" s="35"/>
      <c r="D3540" s="36"/>
      <c r="E3540" s="36"/>
    </row>
    <row r="3541" spans="1:5" x14ac:dyDescent="0.25">
      <c r="A3541" s="28"/>
      <c r="B3541" s="180"/>
      <c r="C3541" s="35"/>
      <c r="D3541" s="36"/>
      <c r="E3541" s="36"/>
    </row>
    <row r="3542" spans="1:5" x14ac:dyDescent="0.25">
      <c r="A3542" s="28"/>
      <c r="B3542" s="180"/>
      <c r="C3542" s="35"/>
      <c r="D3542" s="36"/>
      <c r="E3542" s="36"/>
    </row>
    <row r="3543" spans="1:5" x14ac:dyDescent="0.25">
      <c r="A3543" s="28"/>
      <c r="B3543" s="180"/>
      <c r="C3543" s="35"/>
      <c r="D3543" s="36"/>
      <c r="E3543" s="36"/>
    </row>
    <row r="3544" spans="1:5" x14ac:dyDescent="0.25">
      <c r="A3544" s="28"/>
      <c r="B3544" s="180"/>
      <c r="C3544" s="35"/>
      <c r="D3544" s="36"/>
      <c r="E3544" s="36"/>
    </row>
    <row r="3545" spans="1:5" x14ac:dyDescent="0.25">
      <c r="A3545" s="28"/>
      <c r="B3545" s="180"/>
      <c r="C3545" s="35"/>
      <c r="D3545" s="36"/>
      <c r="E3545" s="36"/>
    </row>
    <row r="3546" spans="1:5" x14ac:dyDescent="0.25">
      <c r="A3546" s="28"/>
      <c r="B3546" s="180"/>
      <c r="C3546" s="35"/>
      <c r="D3546" s="36"/>
      <c r="E3546" s="36"/>
    </row>
    <row r="3547" spans="1:5" x14ac:dyDescent="0.25">
      <c r="A3547" s="28"/>
      <c r="B3547" s="180"/>
      <c r="C3547" s="35"/>
      <c r="D3547" s="36"/>
      <c r="E3547" s="36"/>
    </row>
    <row r="3548" spans="1:5" x14ac:dyDescent="0.25">
      <c r="A3548" s="28"/>
      <c r="B3548" s="180"/>
      <c r="C3548" s="35"/>
      <c r="D3548" s="36"/>
      <c r="E3548" s="36"/>
    </row>
    <row r="3549" spans="1:5" x14ac:dyDescent="0.25">
      <c r="A3549" s="28"/>
      <c r="B3549" s="180"/>
      <c r="C3549" s="35"/>
      <c r="D3549" s="36"/>
      <c r="E3549" s="36"/>
    </row>
    <row r="3550" spans="1:5" x14ac:dyDescent="0.25">
      <c r="A3550" s="28"/>
      <c r="B3550" s="180"/>
      <c r="C3550" s="35"/>
      <c r="D3550" s="36"/>
      <c r="E3550" s="36"/>
    </row>
    <row r="3551" spans="1:5" x14ac:dyDescent="0.25">
      <c r="A3551" s="28"/>
      <c r="B3551" s="180"/>
      <c r="C3551" s="35"/>
      <c r="D3551" s="36"/>
      <c r="E3551" s="36"/>
    </row>
    <row r="3552" spans="1:5" x14ac:dyDescent="0.25">
      <c r="A3552" s="28"/>
      <c r="B3552" s="180"/>
      <c r="C3552" s="35"/>
      <c r="D3552" s="36"/>
      <c r="E3552" s="36"/>
    </row>
    <row r="3553" spans="1:5" x14ac:dyDescent="0.25">
      <c r="A3553" s="28"/>
      <c r="B3553" s="180"/>
      <c r="C3553" s="35"/>
      <c r="D3553" s="36"/>
      <c r="E3553" s="36"/>
    </row>
    <row r="3554" spans="1:5" x14ac:dyDescent="0.25">
      <c r="A3554" s="28"/>
      <c r="B3554" s="180"/>
      <c r="C3554" s="35"/>
      <c r="D3554" s="36"/>
      <c r="E3554" s="36"/>
    </row>
    <row r="3555" spans="1:5" x14ac:dyDescent="0.25">
      <c r="A3555" s="28"/>
      <c r="B3555" s="180"/>
      <c r="C3555" s="35"/>
      <c r="D3555" s="36"/>
      <c r="E3555" s="36"/>
    </row>
    <row r="3556" spans="1:5" x14ac:dyDescent="0.25">
      <c r="A3556" s="28"/>
      <c r="B3556" s="180"/>
      <c r="C3556" s="35"/>
      <c r="D3556" s="36"/>
      <c r="E3556" s="36"/>
    </row>
    <row r="3557" spans="1:5" x14ac:dyDescent="0.25">
      <c r="A3557" s="28"/>
      <c r="B3557" s="180"/>
      <c r="C3557" s="35"/>
      <c r="D3557" s="36"/>
      <c r="E3557" s="36"/>
    </row>
    <row r="3558" spans="1:5" x14ac:dyDescent="0.25">
      <c r="A3558" s="28"/>
      <c r="B3558" s="180"/>
      <c r="C3558" s="35"/>
      <c r="D3558" s="36"/>
      <c r="E3558" s="36"/>
    </row>
    <row r="3559" spans="1:5" x14ac:dyDescent="0.25">
      <c r="A3559" s="28"/>
      <c r="B3559" s="180"/>
      <c r="C3559" s="35"/>
      <c r="D3559" s="36"/>
      <c r="E3559" s="36"/>
    </row>
    <row r="3560" spans="1:5" x14ac:dyDescent="0.25">
      <c r="A3560" s="28"/>
      <c r="B3560" s="180"/>
      <c r="C3560" s="35"/>
      <c r="D3560" s="36"/>
      <c r="E3560" s="36"/>
    </row>
    <row r="3561" spans="1:5" x14ac:dyDescent="0.25">
      <c r="A3561" s="28"/>
      <c r="B3561" s="180"/>
      <c r="C3561" s="35"/>
      <c r="D3561" s="36"/>
      <c r="E3561" s="36"/>
    </row>
    <row r="3562" spans="1:5" x14ac:dyDescent="0.25">
      <c r="A3562" s="28"/>
      <c r="B3562" s="180"/>
      <c r="C3562" s="35"/>
      <c r="D3562" s="36"/>
      <c r="E3562" s="36"/>
    </row>
    <row r="3563" spans="1:5" x14ac:dyDescent="0.25">
      <c r="A3563" s="28"/>
      <c r="B3563" s="180"/>
      <c r="C3563" s="35"/>
      <c r="D3563" s="36"/>
      <c r="E3563" s="36"/>
    </row>
    <row r="3564" spans="1:5" x14ac:dyDescent="0.25">
      <c r="A3564" s="28"/>
      <c r="B3564" s="180"/>
      <c r="C3564" s="35"/>
      <c r="D3564" s="36"/>
      <c r="E3564" s="36"/>
    </row>
    <row r="3565" spans="1:5" x14ac:dyDescent="0.25">
      <c r="A3565" s="28"/>
      <c r="B3565" s="180"/>
      <c r="C3565" s="35"/>
      <c r="D3565" s="36"/>
      <c r="E3565" s="36"/>
    </row>
    <row r="3566" spans="1:5" x14ac:dyDescent="0.25">
      <c r="A3566" s="28"/>
      <c r="B3566" s="180"/>
      <c r="C3566" s="35"/>
      <c r="D3566" s="36"/>
      <c r="E3566" s="36"/>
    </row>
    <row r="3567" spans="1:5" x14ac:dyDescent="0.25">
      <c r="A3567" s="28"/>
      <c r="B3567" s="180"/>
      <c r="C3567" s="35"/>
      <c r="D3567" s="36"/>
      <c r="E3567" s="36"/>
    </row>
    <row r="3568" spans="1:5" x14ac:dyDescent="0.25">
      <c r="A3568" s="28"/>
      <c r="B3568" s="180"/>
      <c r="C3568" s="35"/>
      <c r="D3568" s="36"/>
      <c r="E3568" s="36"/>
    </row>
    <row r="3569" spans="1:5" x14ac:dyDescent="0.25">
      <c r="A3569" s="28"/>
      <c r="B3569" s="180"/>
      <c r="C3569" s="35"/>
      <c r="D3569" s="36"/>
      <c r="E3569" s="36"/>
    </row>
    <row r="3570" spans="1:5" x14ac:dyDescent="0.25">
      <c r="A3570" s="28"/>
      <c r="B3570" s="180"/>
      <c r="C3570" s="35"/>
      <c r="D3570" s="36"/>
      <c r="E3570" s="36"/>
    </row>
    <row r="3571" spans="1:5" x14ac:dyDescent="0.25">
      <c r="A3571" s="28"/>
      <c r="B3571" s="180"/>
      <c r="C3571" s="35"/>
      <c r="D3571" s="36"/>
      <c r="E3571" s="36"/>
    </row>
    <row r="3572" spans="1:5" x14ac:dyDescent="0.25">
      <c r="A3572" s="28"/>
      <c r="B3572" s="180"/>
      <c r="C3572" s="35"/>
      <c r="D3572" s="36"/>
      <c r="E3572" s="36"/>
    </row>
    <row r="3573" spans="1:5" x14ac:dyDescent="0.25">
      <c r="A3573" s="28"/>
      <c r="B3573" s="180"/>
      <c r="C3573" s="35"/>
      <c r="D3573" s="36"/>
      <c r="E3573" s="36"/>
    </row>
    <row r="3574" spans="1:5" x14ac:dyDescent="0.25">
      <c r="A3574" s="28"/>
      <c r="B3574" s="180"/>
      <c r="C3574" s="35"/>
      <c r="D3574" s="36"/>
      <c r="E3574" s="36"/>
    </row>
    <row r="3575" spans="1:5" x14ac:dyDescent="0.25">
      <c r="A3575" s="28"/>
      <c r="B3575" s="180"/>
      <c r="C3575" s="35"/>
      <c r="D3575" s="36"/>
      <c r="E3575" s="36"/>
    </row>
    <row r="3576" spans="1:5" x14ac:dyDescent="0.25">
      <c r="A3576" s="28"/>
      <c r="B3576" s="180"/>
      <c r="C3576" s="35"/>
      <c r="D3576" s="36"/>
      <c r="E3576" s="36"/>
    </row>
    <row r="3577" spans="1:5" x14ac:dyDescent="0.25">
      <c r="A3577" s="28"/>
      <c r="B3577" s="180"/>
      <c r="C3577" s="35"/>
      <c r="D3577" s="36"/>
      <c r="E3577" s="36"/>
    </row>
    <row r="3578" spans="1:5" x14ac:dyDescent="0.25">
      <c r="A3578" s="28"/>
      <c r="B3578" s="180"/>
      <c r="C3578" s="35"/>
      <c r="D3578" s="36"/>
      <c r="E3578" s="36"/>
    </row>
    <row r="3579" spans="1:5" x14ac:dyDescent="0.25">
      <c r="A3579" s="28"/>
      <c r="B3579" s="180"/>
      <c r="C3579" s="35"/>
      <c r="D3579" s="36"/>
      <c r="E3579" s="36"/>
    </row>
    <row r="3580" spans="1:5" x14ac:dyDescent="0.25">
      <c r="A3580" s="28"/>
      <c r="B3580" s="180"/>
      <c r="C3580" s="35"/>
      <c r="D3580" s="36"/>
      <c r="E3580" s="36"/>
    </row>
    <row r="3581" spans="1:5" x14ac:dyDescent="0.25">
      <c r="A3581" s="28"/>
      <c r="B3581" s="180"/>
      <c r="C3581" s="35"/>
      <c r="D3581" s="36"/>
      <c r="E3581" s="36"/>
    </row>
    <row r="3582" spans="1:5" x14ac:dyDescent="0.25">
      <c r="A3582" s="28"/>
      <c r="B3582" s="180"/>
      <c r="C3582" s="35"/>
      <c r="D3582" s="36"/>
      <c r="E3582" s="36"/>
    </row>
    <row r="3583" spans="1:5" x14ac:dyDescent="0.25">
      <c r="A3583" s="28"/>
      <c r="B3583" s="180"/>
      <c r="C3583" s="35"/>
      <c r="D3583" s="36"/>
      <c r="E3583" s="36"/>
    </row>
    <row r="3584" spans="1:5" x14ac:dyDescent="0.25">
      <c r="A3584" s="28"/>
      <c r="B3584" s="180"/>
      <c r="C3584" s="35"/>
      <c r="D3584" s="36"/>
      <c r="E3584" s="36"/>
    </row>
    <row r="3585" spans="1:5" x14ac:dyDescent="0.25">
      <c r="A3585" s="28"/>
      <c r="B3585" s="180"/>
      <c r="C3585" s="35"/>
      <c r="D3585" s="36"/>
      <c r="E3585" s="36"/>
    </row>
    <row r="3586" spans="1:5" x14ac:dyDescent="0.25">
      <c r="A3586" s="28"/>
      <c r="B3586" s="180"/>
      <c r="C3586" s="35"/>
      <c r="D3586" s="36"/>
      <c r="E3586" s="36"/>
    </row>
    <row r="3587" spans="1:5" x14ac:dyDescent="0.25">
      <c r="A3587" s="28"/>
      <c r="B3587" s="180"/>
      <c r="C3587" s="35"/>
      <c r="D3587" s="36"/>
      <c r="E3587" s="36"/>
    </row>
    <row r="3588" spans="1:5" x14ac:dyDescent="0.25">
      <c r="A3588" s="28"/>
      <c r="B3588" s="180"/>
      <c r="C3588" s="35"/>
      <c r="D3588" s="36"/>
      <c r="E3588" s="36"/>
    </row>
    <row r="3589" spans="1:5" x14ac:dyDescent="0.25">
      <c r="A3589" s="28"/>
      <c r="B3589" s="180"/>
      <c r="C3589" s="35"/>
      <c r="D3589" s="36"/>
      <c r="E3589" s="36"/>
    </row>
    <row r="3590" spans="1:5" x14ac:dyDescent="0.25">
      <c r="A3590" s="28"/>
      <c r="B3590" s="180"/>
      <c r="C3590" s="35"/>
      <c r="D3590" s="36"/>
      <c r="E3590" s="36"/>
    </row>
    <row r="3591" spans="1:5" x14ac:dyDescent="0.25">
      <c r="A3591" s="28"/>
      <c r="B3591" s="180"/>
      <c r="C3591" s="35"/>
      <c r="D3591" s="36"/>
      <c r="E3591" s="36"/>
    </row>
    <row r="3592" spans="1:5" x14ac:dyDescent="0.25">
      <c r="A3592" s="28"/>
      <c r="B3592" s="180"/>
      <c r="C3592" s="35"/>
      <c r="D3592" s="36"/>
      <c r="E3592" s="36"/>
    </row>
    <row r="3593" spans="1:5" x14ac:dyDescent="0.25">
      <c r="A3593" s="28"/>
      <c r="B3593" s="180"/>
      <c r="C3593" s="35"/>
      <c r="D3593" s="36"/>
      <c r="E3593" s="36"/>
    </row>
    <row r="3594" spans="1:5" x14ac:dyDescent="0.25">
      <c r="A3594" s="28"/>
      <c r="B3594" s="180"/>
      <c r="C3594" s="35"/>
      <c r="D3594" s="36"/>
      <c r="E3594" s="36"/>
    </row>
    <row r="3595" spans="1:5" x14ac:dyDescent="0.25">
      <c r="A3595" s="28"/>
      <c r="B3595" s="180"/>
      <c r="C3595" s="35"/>
      <c r="D3595" s="36"/>
      <c r="E3595" s="36"/>
    </row>
    <row r="3596" spans="1:5" x14ac:dyDescent="0.25">
      <c r="A3596" s="28"/>
      <c r="B3596" s="180"/>
      <c r="C3596" s="35"/>
      <c r="D3596" s="36"/>
      <c r="E3596" s="36"/>
    </row>
    <row r="3597" spans="1:5" x14ac:dyDescent="0.25">
      <c r="A3597" s="28"/>
      <c r="B3597" s="180"/>
      <c r="C3597" s="35"/>
      <c r="D3597" s="36"/>
      <c r="E3597" s="36"/>
    </row>
    <row r="3598" spans="1:5" x14ac:dyDescent="0.25">
      <c r="A3598" s="28"/>
      <c r="B3598" s="180"/>
      <c r="C3598" s="35"/>
      <c r="D3598" s="36"/>
      <c r="E3598" s="36"/>
    </row>
    <row r="3599" spans="1:5" x14ac:dyDescent="0.25">
      <c r="A3599" s="28"/>
      <c r="B3599" s="180"/>
      <c r="C3599" s="35"/>
      <c r="D3599" s="36"/>
      <c r="E3599" s="36"/>
    </row>
    <row r="3600" spans="1:5" x14ac:dyDescent="0.25">
      <c r="A3600" s="28"/>
      <c r="B3600" s="180"/>
      <c r="C3600" s="35"/>
      <c r="D3600" s="36"/>
      <c r="E3600" s="36"/>
    </row>
    <row r="3601" spans="1:5" x14ac:dyDescent="0.25">
      <c r="A3601" s="28"/>
      <c r="B3601" s="180"/>
      <c r="C3601" s="35"/>
      <c r="D3601" s="36"/>
      <c r="E3601" s="36"/>
    </row>
    <row r="3602" spans="1:5" x14ac:dyDescent="0.25">
      <c r="A3602" s="28"/>
      <c r="B3602" s="180"/>
      <c r="C3602" s="35"/>
      <c r="D3602" s="36"/>
      <c r="E3602" s="36"/>
    </row>
    <row r="3603" spans="1:5" x14ac:dyDescent="0.25">
      <c r="A3603" s="28"/>
      <c r="B3603" s="180"/>
      <c r="C3603" s="35"/>
      <c r="D3603" s="36"/>
      <c r="E3603" s="36"/>
    </row>
    <row r="3604" spans="1:5" x14ac:dyDescent="0.25">
      <c r="A3604" s="28"/>
      <c r="B3604" s="180"/>
      <c r="C3604" s="35"/>
      <c r="D3604" s="36"/>
      <c r="E3604" s="36"/>
    </row>
    <row r="3605" spans="1:5" x14ac:dyDescent="0.25">
      <c r="A3605" s="28"/>
      <c r="B3605" s="180"/>
      <c r="C3605" s="35"/>
      <c r="D3605" s="36"/>
      <c r="E3605" s="36"/>
    </row>
    <row r="3606" spans="1:5" x14ac:dyDescent="0.25">
      <c r="A3606" s="28"/>
      <c r="B3606" s="180"/>
      <c r="C3606" s="35"/>
      <c r="D3606" s="36"/>
      <c r="E3606" s="36"/>
    </row>
    <row r="3607" spans="1:5" x14ac:dyDescent="0.25">
      <c r="A3607" s="28"/>
      <c r="B3607" s="180"/>
      <c r="C3607" s="35"/>
      <c r="D3607" s="36"/>
      <c r="E3607" s="36"/>
    </row>
    <row r="3608" spans="1:5" x14ac:dyDescent="0.25">
      <c r="A3608" s="28"/>
      <c r="B3608" s="180"/>
      <c r="C3608" s="35"/>
      <c r="D3608" s="36"/>
      <c r="E3608" s="36"/>
    </row>
    <row r="3609" spans="1:5" x14ac:dyDescent="0.25">
      <c r="A3609" s="28"/>
      <c r="B3609" s="180"/>
      <c r="C3609" s="35"/>
      <c r="D3609" s="36"/>
      <c r="E3609" s="36"/>
    </row>
    <row r="3610" spans="1:5" x14ac:dyDescent="0.25">
      <c r="A3610" s="28"/>
      <c r="B3610" s="180"/>
      <c r="C3610" s="35"/>
      <c r="D3610" s="36"/>
      <c r="E3610" s="36"/>
    </row>
    <row r="3611" spans="1:5" x14ac:dyDescent="0.25">
      <c r="A3611" s="28"/>
      <c r="B3611" s="180"/>
      <c r="C3611" s="35"/>
      <c r="D3611" s="36"/>
      <c r="E3611" s="36"/>
    </row>
    <row r="3612" spans="1:5" x14ac:dyDescent="0.25">
      <c r="A3612" s="28"/>
      <c r="B3612" s="180"/>
      <c r="C3612" s="35"/>
      <c r="D3612" s="36"/>
      <c r="E3612" s="36"/>
    </row>
    <row r="3613" spans="1:5" x14ac:dyDescent="0.25">
      <c r="A3613" s="28"/>
      <c r="B3613" s="180"/>
      <c r="C3613" s="35"/>
      <c r="D3613" s="36"/>
      <c r="E3613" s="36"/>
    </row>
    <row r="3614" spans="1:5" x14ac:dyDescent="0.25">
      <c r="A3614" s="28"/>
      <c r="B3614" s="180"/>
      <c r="C3614" s="35"/>
      <c r="D3614" s="36"/>
      <c r="E3614" s="36"/>
    </row>
    <row r="3615" spans="1:5" x14ac:dyDescent="0.25">
      <c r="A3615" s="28"/>
      <c r="B3615" s="180"/>
      <c r="C3615" s="35"/>
      <c r="D3615" s="36"/>
      <c r="E3615" s="36"/>
    </row>
    <row r="3616" spans="1:5" x14ac:dyDescent="0.25">
      <c r="A3616" s="28"/>
      <c r="B3616" s="180"/>
      <c r="C3616" s="35"/>
      <c r="D3616" s="36"/>
      <c r="E3616" s="36"/>
    </row>
    <row r="3617" spans="1:5" x14ac:dyDescent="0.25">
      <c r="A3617" s="28"/>
      <c r="B3617" s="180"/>
      <c r="C3617" s="35"/>
      <c r="D3617" s="36"/>
      <c r="E3617" s="36"/>
    </row>
    <row r="3618" spans="1:5" x14ac:dyDescent="0.25">
      <c r="A3618" s="28"/>
      <c r="B3618" s="180"/>
      <c r="C3618" s="35"/>
      <c r="D3618" s="36"/>
      <c r="E3618" s="36"/>
    </row>
    <row r="3619" spans="1:5" x14ac:dyDescent="0.25">
      <c r="A3619" s="28"/>
      <c r="B3619" s="180"/>
      <c r="C3619" s="35"/>
      <c r="D3619" s="36"/>
      <c r="E3619" s="36"/>
    </row>
    <row r="3620" spans="1:5" x14ac:dyDescent="0.25">
      <c r="A3620" s="28"/>
      <c r="B3620" s="180"/>
      <c r="C3620" s="35"/>
      <c r="D3620" s="36"/>
      <c r="E3620" s="36"/>
    </row>
    <row r="3621" spans="1:5" x14ac:dyDescent="0.25">
      <c r="A3621" s="28"/>
      <c r="B3621" s="180"/>
      <c r="C3621" s="35"/>
      <c r="D3621" s="36"/>
      <c r="E3621" s="36"/>
    </row>
    <row r="3622" spans="1:5" x14ac:dyDescent="0.25">
      <c r="A3622" s="28"/>
      <c r="B3622" s="180"/>
      <c r="C3622" s="35"/>
      <c r="D3622" s="36"/>
      <c r="E3622" s="36"/>
    </row>
    <row r="3623" spans="1:5" x14ac:dyDescent="0.25">
      <c r="A3623" s="28"/>
      <c r="B3623" s="180"/>
      <c r="C3623" s="35"/>
      <c r="D3623" s="36"/>
      <c r="E3623" s="36"/>
    </row>
    <row r="3624" spans="1:5" x14ac:dyDescent="0.25">
      <c r="A3624" s="28"/>
      <c r="B3624" s="180"/>
      <c r="C3624" s="35"/>
      <c r="D3624" s="36"/>
      <c r="E3624" s="36"/>
    </row>
    <row r="3625" spans="1:5" x14ac:dyDescent="0.25">
      <c r="A3625" s="28"/>
      <c r="B3625" s="180"/>
      <c r="C3625" s="35"/>
      <c r="D3625" s="36"/>
      <c r="E3625" s="36"/>
    </row>
    <row r="3626" spans="1:5" x14ac:dyDescent="0.25">
      <c r="A3626" s="28"/>
      <c r="B3626" s="180"/>
      <c r="C3626" s="35"/>
      <c r="D3626" s="36"/>
      <c r="E3626" s="36"/>
    </row>
    <row r="3627" spans="1:5" x14ac:dyDescent="0.25">
      <c r="A3627" s="28"/>
      <c r="B3627" s="180"/>
      <c r="C3627" s="35"/>
      <c r="D3627" s="36"/>
      <c r="E3627" s="36"/>
    </row>
    <row r="3628" spans="1:5" x14ac:dyDescent="0.25">
      <c r="A3628" s="28"/>
      <c r="B3628" s="180"/>
      <c r="C3628" s="35"/>
      <c r="D3628" s="36"/>
      <c r="E3628" s="36"/>
    </row>
    <row r="3629" spans="1:5" x14ac:dyDescent="0.25">
      <c r="A3629" s="28"/>
      <c r="B3629" s="180"/>
      <c r="C3629" s="35"/>
      <c r="D3629" s="36"/>
      <c r="E3629" s="36"/>
    </row>
    <row r="3630" spans="1:5" x14ac:dyDescent="0.25">
      <c r="A3630" s="28"/>
      <c r="B3630" s="180"/>
      <c r="C3630" s="35"/>
      <c r="D3630" s="36"/>
      <c r="E3630" s="36"/>
    </row>
    <row r="3631" spans="1:5" x14ac:dyDescent="0.25">
      <c r="A3631" s="28"/>
      <c r="B3631" s="180"/>
      <c r="C3631" s="35"/>
      <c r="D3631" s="36"/>
      <c r="E3631" s="36"/>
    </row>
    <row r="3632" spans="1:5" x14ac:dyDescent="0.25">
      <c r="A3632" s="28"/>
      <c r="B3632" s="180"/>
      <c r="C3632" s="35"/>
      <c r="D3632" s="36"/>
      <c r="E3632" s="36"/>
    </row>
    <row r="3633" spans="1:5" x14ac:dyDescent="0.25">
      <c r="A3633" s="28"/>
      <c r="B3633" s="180"/>
      <c r="C3633" s="35"/>
      <c r="D3633" s="36"/>
      <c r="E3633" s="36"/>
    </row>
    <row r="3634" spans="1:5" x14ac:dyDescent="0.25">
      <c r="A3634" s="28"/>
      <c r="B3634" s="180"/>
      <c r="C3634" s="35"/>
      <c r="D3634" s="36"/>
      <c r="E3634" s="36"/>
    </row>
    <row r="3635" spans="1:5" x14ac:dyDescent="0.25">
      <c r="A3635" s="28"/>
      <c r="B3635" s="180"/>
      <c r="C3635" s="35"/>
      <c r="D3635" s="36"/>
      <c r="E3635" s="36"/>
    </row>
    <row r="3636" spans="1:5" x14ac:dyDescent="0.25">
      <c r="A3636" s="28"/>
      <c r="B3636" s="180"/>
      <c r="C3636" s="35"/>
      <c r="D3636" s="36"/>
      <c r="E3636" s="36"/>
    </row>
    <row r="3637" spans="1:5" x14ac:dyDescent="0.25">
      <c r="A3637" s="28"/>
      <c r="B3637" s="180"/>
      <c r="C3637" s="35"/>
      <c r="D3637" s="36"/>
      <c r="E3637" s="36"/>
    </row>
    <row r="3638" spans="1:5" x14ac:dyDescent="0.25">
      <c r="A3638" s="28"/>
      <c r="B3638" s="180"/>
      <c r="C3638" s="35"/>
      <c r="D3638" s="36"/>
      <c r="E3638" s="36"/>
    </row>
    <row r="3639" spans="1:5" x14ac:dyDescent="0.25">
      <c r="A3639" s="28"/>
      <c r="B3639" s="180"/>
      <c r="C3639" s="35"/>
      <c r="D3639" s="36"/>
      <c r="E3639" s="36"/>
    </row>
    <row r="3640" spans="1:5" x14ac:dyDescent="0.25">
      <c r="A3640" s="28"/>
      <c r="B3640" s="180"/>
      <c r="C3640" s="35"/>
      <c r="D3640" s="36"/>
      <c r="E3640" s="36"/>
    </row>
    <row r="3641" spans="1:5" x14ac:dyDescent="0.25">
      <c r="A3641" s="28"/>
      <c r="B3641" s="180"/>
      <c r="C3641" s="35"/>
      <c r="D3641" s="36"/>
      <c r="E3641" s="36"/>
    </row>
    <row r="3642" spans="1:5" x14ac:dyDescent="0.25">
      <c r="A3642" s="28"/>
      <c r="B3642" s="180"/>
      <c r="C3642" s="35"/>
      <c r="D3642" s="36"/>
      <c r="E3642" s="36"/>
    </row>
    <row r="3643" spans="1:5" x14ac:dyDescent="0.25">
      <c r="A3643" s="28"/>
      <c r="B3643" s="180"/>
      <c r="C3643" s="35"/>
      <c r="D3643" s="36"/>
      <c r="E3643" s="36"/>
    </row>
    <row r="3644" spans="1:5" x14ac:dyDescent="0.25">
      <c r="A3644" s="28"/>
      <c r="B3644" s="180"/>
      <c r="C3644" s="35"/>
      <c r="D3644" s="36"/>
      <c r="E3644" s="36"/>
    </row>
    <row r="3645" spans="1:5" x14ac:dyDescent="0.25">
      <c r="A3645" s="28"/>
      <c r="B3645" s="180"/>
      <c r="C3645" s="35"/>
      <c r="D3645" s="36"/>
      <c r="E3645" s="36"/>
    </row>
    <row r="3646" spans="1:5" x14ac:dyDescent="0.25">
      <c r="A3646" s="28"/>
      <c r="B3646" s="180"/>
      <c r="C3646" s="35"/>
      <c r="D3646" s="36"/>
      <c r="E3646" s="36"/>
    </row>
    <row r="3647" spans="1:5" x14ac:dyDescent="0.25">
      <c r="A3647" s="28"/>
      <c r="B3647" s="180"/>
      <c r="C3647" s="35"/>
      <c r="D3647" s="36"/>
      <c r="E3647" s="36"/>
    </row>
    <row r="3648" spans="1:5" x14ac:dyDescent="0.25">
      <c r="A3648" s="28"/>
      <c r="B3648" s="180"/>
      <c r="C3648" s="35"/>
      <c r="D3648" s="36"/>
      <c r="E3648" s="36"/>
    </row>
    <row r="3649" spans="1:5" x14ac:dyDescent="0.25">
      <c r="A3649" s="28"/>
      <c r="B3649" s="180"/>
      <c r="C3649" s="35"/>
      <c r="D3649" s="36"/>
      <c r="E3649" s="36"/>
    </row>
    <row r="3650" spans="1:5" x14ac:dyDescent="0.25">
      <c r="A3650" s="28"/>
      <c r="B3650" s="180"/>
      <c r="C3650" s="35"/>
      <c r="D3650" s="36"/>
      <c r="E3650" s="36"/>
    </row>
    <row r="3651" spans="1:5" x14ac:dyDescent="0.25">
      <c r="A3651" s="28"/>
      <c r="B3651" s="180"/>
      <c r="C3651" s="35"/>
      <c r="D3651" s="36"/>
      <c r="E3651" s="36"/>
    </row>
    <row r="3652" spans="1:5" x14ac:dyDescent="0.25">
      <c r="A3652" s="28"/>
      <c r="B3652" s="180"/>
      <c r="C3652" s="35"/>
      <c r="D3652" s="36"/>
      <c r="E3652" s="36"/>
    </row>
    <row r="3653" spans="1:5" x14ac:dyDescent="0.25">
      <c r="A3653" s="28"/>
      <c r="B3653" s="180"/>
      <c r="C3653" s="35"/>
      <c r="D3653" s="36"/>
      <c r="E3653" s="36"/>
    </row>
    <row r="3654" spans="1:5" x14ac:dyDescent="0.25">
      <c r="A3654" s="28"/>
      <c r="B3654" s="180"/>
      <c r="C3654" s="35"/>
      <c r="D3654" s="36"/>
      <c r="E3654" s="36"/>
    </row>
    <row r="3655" spans="1:5" x14ac:dyDescent="0.25">
      <c r="A3655" s="28"/>
      <c r="B3655" s="180"/>
      <c r="C3655" s="35"/>
      <c r="D3655" s="36"/>
      <c r="E3655" s="36"/>
    </row>
    <row r="3656" spans="1:5" x14ac:dyDescent="0.25">
      <c r="A3656" s="28"/>
      <c r="B3656" s="180"/>
      <c r="C3656" s="35"/>
      <c r="D3656" s="36"/>
      <c r="E3656" s="36"/>
    </row>
    <row r="3657" spans="1:5" x14ac:dyDescent="0.25">
      <c r="A3657" s="28"/>
      <c r="B3657" s="180"/>
      <c r="C3657" s="35"/>
      <c r="D3657" s="36"/>
      <c r="E3657" s="36"/>
    </row>
    <row r="3658" spans="1:5" x14ac:dyDescent="0.25">
      <c r="A3658" s="28"/>
      <c r="B3658" s="180"/>
      <c r="C3658" s="35"/>
      <c r="D3658" s="36"/>
      <c r="E3658" s="36"/>
    </row>
    <row r="3659" spans="1:5" x14ac:dyDescent="0.25">
      <c r="A3659" s="28"/>
      <c r="B3659" s="180"/>
      <c r="C3659" s="35"/>
      <c r="D3659" s="36"/>
      <c r="E3659" s="36"/>
    </row>
    <row r="3660" spans="1:5" x14ac:dyDescent="0.25">
      <c r="A3660" s="28"/>
      <c r="B3660" s="180"/>
      <c r="C3660" s="35"/>
      <c r="D3660" s="36"/>
      <c r="E3660" s="36"/>
    </row>
    <row r="3661" spans="1:5" x14ac:dyDescent="0.25">
      <c r="A3661" s="28"/>
      <c r="B3661" s="180"/>
      <c r="C3661" s="35"/>
      <c r="D3661" s="36"/>
      <c r="E3661" s="36"/>
    </row>
    <row r="3662" spans="1:5" x14ac:dyDescent="0.25">
      <c r="A3662" s="28"/>
      <c r="B3662" s="180"/>
      <c r="C3662" s="35"/>
      <c r="D3662" s="36"/>
      <c r="E3662" s="36"/>
    </row>
    <row r="3663" spans="1:5" x14ac:dyDescent="0.25">
      <c r="A3663" s="28"/>
      <c r="B3663" s="180"/>
      <c r="C3663" s="35"/>
      <c r="D3663" s="36"/>
      <c r="E3663" s="36"/>
    </row>
    <row r="3664" spans="1:5" x14ac:dyDescent="0.25">
      <c r="A3664" s="28"/>
      <c r="B3664" s="180"/>
      <c r="C3664" s="35"/>
      <c r="D3664" s="36"/>
      <c r="E3664" s="36"/>
    </row>
    <row r="3665" spans="1:5" x14ac:dyDescent="0.25">
      <c r="A3665" s="28"/>
      <c r="B3665" s="180"/>
      <c r="C3665" s="35"/>
      <c r="D3665" s="36"/>
      <c r="E3665" s="36"/>
    </row>
    <row r="3666" spans="1:5" x14ac:dyDescent="0.25">
      <c r="A3666" s="28"/>
      <c r="B3666" s="180"/>
      <c r="C3666" s="35"/>
      <c r="D3666" s="36"/>
      <c r="E3666" s="36"/>
    </row>
    <row r="3667" spans="1:5" x14ac:dyDescent="0.25">
      <c r="A3667" s="28"/>
      <c r="B3667" s="180"/>
      <c r="C3667" s="35"/>
      <c r="D3667" s="36"/>
      <c r="E3667" s="36"/>
    </row>
    <row r="3668" spans="1:5" x14ac:dyDescent="0.25">
      <c r="A3668" s="28"/>
      <c r="B3668" s="180"/>
      <c r="C3668" s="35"/>
      <c r="D3668" s="36"/>
      <c r="E3668" s="36"/>
    </row>
    <row r="3669" spans="1:5" x14ac:dyDescent="0.25">
      <c r="A3669" s="28"/>
      <c r="B3669" s="180"/>
      <c r="C3669" s="35"/>
      <c r="D3669" s="36"/>
      <c r="E3669" s="36"/>
    </row>
    <row r="3670" spans="1:5" x14ac:dyDescent="0.25">
      <c r="A3670" s="28"/>
      <c r="B3670" s="180"/>
      <c r="C3670" s="35"/>
      <c r="D3670" s="36"/>
      <c r="E3670" s="36"/>
    </row>
    <row r="3671" spans="1:5" x14ac:dyDescent="0.25">
      <c r="A3671" s="28"/>
      <c r="B3671" s="180"/>
      <c r="C3671" s="35"/>
      <c r="D3671" s="36"/>
      <c r="E3671" s="36"/>
    </row>
    <row r="3672" spans="1:5" x14ac:dyDescent="0.25">
      <c r="A3672" s="28"/>
      <c r="B3672" s="180"/>
      <c r="C3672" s="35"/>
      <c r="D3672" s="36"/>
      <c r="E3672" s="36"/>
    </row>
    <row r="3673" spans="1:5" x14ac:dyDescent="0.25">
      <c r="A3673" s="28"/>
      <c r="B3673" s="180"/>
      <c r="C3673" s="35"/>
      <c r="D3673" s="36"/>
      <c r="E3673" s="36"/>
    </row>
    <row r="3674" spans="1:5" x14ac:dyDescent="0.25">
      <c r="A3674" s="28"/>
      <c r="B3674" s="180"/>
      <c r="C3674" s="35"/>
      <c r="D3674" s="36"/>
      <c r="E3674" s="36"/>
    </row>
    <row r="3675" spans="1:5" x14ac:dyDescent="0.25">
      <c r="A3675" s="28"/>
      <c r="B3675" s="180"/>
      <c r="C3675" s="35"/>
      <c r="D3675" s="36"/>
      <c r="E3675" s="36"/>
    </row>
    <row r="3676" spans="1:5" x14ac:dyDescent="0.25">
      <c r="A3676" s="28"/>
      <c r="B3676" s="180"/>
      <c r="C3676" s="35"/>
      <c r="D3676" s="36"/>
      <c r="E3676" s="36"/>
    </row>
    <row r="3677" spans="1:5" x14ac:dyDescent="0.25">
      <c r="A3677" s="28"/>
      <c r="B3677" s="180"/>
      <c r="C3677" s="35"/>
      <c r="D3677" s="36"/>
      <c r="E3677" s="36"/>
    </row>
    <row r="3678" spans="1:5" x14ac:dyDescent="0.25">
      <c r="A3678" s="28"/>
      <c r="B3678" s="180"/>
      <c r="C3678" s="35"/>
      <c r="D3678" s="36"/>
      <c r="E3678" s="36"/>
    </row>
    <row r="3679" spans="1:5" x14ac:dyDescent="0.25">
      <c r="A3679" s="28"/>
      <c r="B3679" s="180"/>
      <c r="C3679" s="35"/>
      <c r="D3679" s="36"/>
      <c r="E3679" s="36"/>
    </row>
    <row r="3680" spans="1:5" x14ac:dyDescent="0.25">
      <c r="A3680" s="28"/>
      <c r="B3680" s="180"/>
      <c r="C3680" s="35"/>
      <c r="D3680" s="36"/>
      <c r="E3680" s="36"/>
    </row>
    <row r="3681" spans="1:5" x14ac:dyDescent="0.25">
      <c r="A3681" s="28"/>
      <c r="B3681" s="180"/>
      <c r="C3681" s="35"/>
      <c r="D3681" s="36"/>
      <c r="E3681" s="36"/>
    </row>
    <row r="3682" spans="1:5" x14ac:dyDescent="0.25">
      <c r="A3682" s="28"/>
      <c r="B3682" s="180"/>
      <c r="C3682" s="35"/>
      <c r="D3682" s="36"/>
      <c r="E3682" s="36"/>
    </row>
    <row r="3683" spans="1:5" x14ac:dyDescent="0.25">
      <c r="A3683" s="28"/>
      <c r="B3683" s="180"/>
      <c r="C3683" s="35"/>
      <c r="D3683" s="36"/>
      <c r="E3683" s="36"/>
    </row>
    <row r="3684" spans="1:5" x14ac:dyDescent="0.25">
      <c r="A3684" s="28"/>
      <c r="B3684" s="180"/>
      <c r="C3684" s="35"/>
      <c r="D3684" s="36"/>
      <c r="E3684" s="36"/>
    </row>
    <row r="3685" spans="1:5" x14ac:dyDescent="0.25">
      <c r="A3685" s="28"/>
      <c r="B3685" s="180"/>
      <c r="C3685" s="35"/>
      <c r="D3685" s="36"/>
      <c r="E3685" s="36"/>
    </row>
    <row r="3686" spans="1:5" x14ac:dyDescent="0.25">
      <c r="A3686" s="28"/>
      <c r="B3686" s="180"/>
      <c r="C3686" s="35"/>
      <c r="D3686" s="36"/>
      <c r="E3686" s="36"/>
    </row>
    <row r="3687" spans="1:5" x14ac:dyDescent="0.25">
      <c r="A3687" s="28"/>
      <c r="B3687" s="180"/>
      <c r="C3687" s="35"/>
      <c r="D3687" s="36"/>
      <c r="E3687" s="36"/>
    </row>
    <row r="3688" spans="1:5" x14ac:dyDescent="0.25">
      <c r="A3688" s="28"/>
      <c r="B3688" s="180"/>
      <c r="C3688" s="35"/>
      <c r="D3688" s="36"/>
      <c r="E3688" s="36"/>
    </row>
    <row r="3689" spans="1:5" x14ac:dyDescent="0.25">
      <c r="A3689" s="28"/>
      <c r="B3689" s="180"/>
      <c r="C3689" s="35"/>
      <c r="D3689" s="36"/>
      <c r="E3689" s="36"/>
    </row>
    <row r="3690" spans="1:5" x14ac:dyDescent="0.25">
      <c r="A3690" s="28"/>
      <c r="B3690" s="180"/>
      <c r="C3690" s="35"/>
      <c r="D3690" s="36"/>
      <c r="E3690" s="36"/>
    </row>
    <row r="3691" spans="1:5" x14ac:dyDescent="0.25">
      <c r="A3691" s="28"/>
      <c r="B3691" s="180"/>
      <c r="C3691" s="35"/>
      <c r="D3691" s="36"/>
      <c r="E3691" s="36"/>
    </row>
    <row r="3692" spans="1:5" x14ac:dyDescent="0.25">
      <c r="A3692" s="28"/>
      <c r="B3692" s="180"/>
      <c r="C3692" s="35"/>
      <c r="D3692" s="36"/>
      <c r="E3692" s="36"/>
    </row>
    <row r="3693" spans="1:5" x14ac:dyDescent="0.25">
      <c r="A3693" s="28"/>
      <c r="B3693" s="180"/>
      <c r="C3693" s="35"/>
      <c r="D3693" s="36"/>
      <c r="E3693" s="36"/>
    </row>
    <row r="3694" spans="1:5" x14ac:dyDescent="0.25">
      <c r="A3694" s="28"/>
      <c r="B3694" s="180"/>
      <c r="C3694" s="35"/>
      <c r="D3694" s="36"/>
      <c r="E3694" s="36"/>
    </row>
    <row r="3695" spans="1:5" x14ac:dyDescent="0.25">
      <c r="A3695" s="28"/>
      <c r="B3695" s="180"/>
      <c r="C3695" s="35"/>
      <c r="D3695" s="36"/>
      <c r="E3695" s="36"/>
    </row>
    <row r="3696" spans="1:5" x14ac:dyDescent="0.25">
      <c r="A3696" s="28"/>
      <c r="B3696" s="180"/>
      <c r="C3696" s="35"/>
      <c r="D3696" s="36"/>
      <c r="E3696" s="36"/>
    </row>
    <row r="3697" spans="1:5" x14ac:dyDescent="0.25">
      <c r="A3697" s="28"/>
      <c r="B3697" s="180"/>
      <c r="C3697" s="35"/>
      <c r="D3697" s="36"/>
      <c r="E3697" s="36"/>
    </row>
    <row r="3698" spans="1:5" x14ac:dyDescent="0.25">
      <c r="A3698" s="28"/>
      <c r="B3698" s="180"/>
      <c r="C3698" s="35"/>
      <c r="D3698" s="36"/>
      <c r="E3698" s="36"/>
    </row>
    <row r="3699" spans="1:5" x14ac:dyDescent="0.25">
      <c r="A3699" s="28"/>
      <c r="B3699" s="180"/>
      <c r="C3699" s="35"/>
      <c r="D3699" s="36"/>
      <c r="E3699" s="36"/>
    </row>
    <row r="3700" spans="1:5" x14ac:dyDescent="0.25">
      <c r="A3700" s="28"/>
      <c r="B3700" s="180"/>
      <c r="C3700" s="35"/>
      <c r="D3700" s="36"/>
      <c r="E3700" s="36"/>
    </row>
    <row r="3701" spans="1:5" x14ac:dyDescent="0.25">
      <c r="A3701" s="28"/>
      <c r="B3701" s="180"/>
      <c r="C3701" s="35"/>
      <c r="D3701" s="36"/>
      <c r="E3701" s="36"/>
    </row>
    <row r="3702" spans="1:5" x14ac:dyDescent="0.25">
      <c r="A3702" s="28"/>
      <c r="B3702" s="180"/>
      <c r="C3702" s="35"/>
      <c r="D3702" s="36"/>
      <c r="E3702" s="36"/>
    </row>
    <row r="3703" spans="1:5" x14ac:dyDescent="0.25">
      <c r="A3703" s="28"/>
      <c r="B3703" s="180"/>
      <c r="C3703" s="35"/>
      <c r="D3703" s="36"/>
      <c r="E3703" s="36"/>
    </row>
    <row r="3704" spans="1:5" x14ac:dyDescent="0.25">
      <c r="A3704" s="28"/>
      <c r="B3704" s="180"/>
      <c r="C3704" s="35"/>
      <c r="D3704" s="36"/>
      <c r="E3704" s="36"/>
    </row>
    <row r="3705" spans="1:5" x14ac:dyDescent="0.25">
      <c r="A3705" s="28"/>
      <c r="B3705" s="180"/>
      <c r="C3705" s="35"/>
      <c r="D3705" s="36"/>
      <c r="E3705" s="36"/>
    </row>
    <row r="3706" spans="1:5" x14ac:dyDescent="0.25">
      <c r="A3706" s="28"/>
      <c r="B3706" s="180"/>
      <c r="C3706" s="35"/>
      <c r="D3706" s="36"/>
      <c r="E3706" s="36"/>
    </row>
    <row r="3707" spans="1:5" x14ac:dyDescent="0.25">
      <c r="A3707" s="28"/>
      <c r="B3707" s="180"/>
      <c r="C3707" s="35"/>
      <c r="D3707" s="36"/>
      <c r="E3707" s="36"/>
    </row>
    <row r="3708" spans="1:5" x14ac:dyDescent="0.25">
      <c r="A3708" s="28"/>
      <c r="B3708" s="180"/>
      <c r="C3708" s="35"/>
      <c r="D3708" s="36"/>
      <c r="E3708" s="36"/>
    </row>
    <row r="3709" spans="1:5" x14ac:dyDescent="0.25">
      <c r="A3709" s="28"/>
      <c r="B3709" s="180"/>
      <c r="C3709" s="35"/>
      <c r="D3709" s="36"/>
      <c r="E3709" s="36"/>
    </row>
    <row r="3710" spans="1:5" x14ac:dyDescent="0.25">
      <c r="A3710" s="28"/>
      <c r="B3710" s="180"/>
      <c r="C3710" s="35"/>
      <c r="D3710" s="36"/>
      <c r="E3710" s="36"/>
    </row>
    <row r="3711" spans="1:5" x14ac:dyDescent="0.25">
      <c r="A3711" s="28"/>
      <c r="B3711" s="180"/>
      <c r="C3711" s="35"/>
      <c r="D3711" s="36"/>
      <c r="E3711" s="36"/>
    </row>
    <row r="3712" spans="1:5" x14ac:dyDescent="0.25">
      <c r="A3712" s="28"/>
      <c r="B3712" s="180"/>
      <c r="C3712" s="35"/>
      <c r="D3712" s="36"/>
      <c r="E3712" s="36"/>
    </row>
    <row r="3713" spans="1:5" x14ac:dyDescent="0.25">
      <c r="A3713" s="28"/>
      <c r="B3713" s="180"/>
      <c r="C3713" s="35"/>
      <c r="D3713" s="36"/>
      <c r="E3713" s="36"/>
    </row>
    <row r="3714" spans="1:5" x14ac:dyDescent="0.25">
      <c r="A3714" s="28"/>
      <c r="B3714" s="180"/>
      <c r="C3714" s="35"/>
      <c r="D3714" s="36"/>
      <c r="E3714" s="36"/>
    </row>
    <row r="3715" spans="1:5" x14ac:dyDescent="0.25">
      <c r="A3715" s="28"/>
      <c r="B3715" s="180"/>
      <c r="C3715" s="35"/>
      <c r="D3715" s="36"/>
      <c r="E3715" s="36"/>
    </row>
    <row r="3716" spans="1:5" x14ac:dyDescent="0.25">
      <c r="A3716" s="28"/>
      <c r="B3716" s="180"/>
      <c r="C3716" s="35"/>
      <c r="D3716" s="36"/>
      <c r="E3716" s="36"/>
    </row>
    <row r="3717" spans="1:5" x14ac:dyDescent="0.25">
      <c r="A3717" s="28"/>
      <c r="B3717" s="180"/>
      <c r="C3717" s="35"/>
      <c r="D3717" s="36"/>
      <c r="E3717" s="36"/>
    </row>
    <row r="3718" spans="1:5" x14ac:dyDescent="0.25">
      <c r="A3718" s="28"/>
      <c r="B3718" s="180"/>
      <c r="C3718" s="35"/>
      <c r="D3718" s="36"/>
      <c r="E3718" s="36"/>
    </row>
    <row r="3719" spans="1:5" x14ac:dyDescent="0.25">
      <c r="A3719" s="28"/>
      <c r="B3719" s="180"/>
      <c r="C3719" s="35"/>
      <c r="D3719" s="36"/>
      <c r="E3719" s="36"/>
    </row>
    <row r="3720" spans="1:5" x14ac:dyDescent="0.25">
      <c r="A3720" s="28"/>
      <c r="B3720" s="180"/>
      <c r="C3720" s="35"/>
      <c r="D3720" s="36"/>
      <c r="E3720" s="36"/>
    </row>
    <row r="3721" spans="1:5" x14ac:dyDescent="0.25">
      <c r="A3721" s="28"/>
      <c r="B3721" s="180"/>
      <c r="C3721" s="35"/>
      <c r="D3721" s="36"/>
      <c r="E3721" s="36"/>
    </row>
    <row r="3722" spans="1:5" x14ac:dyDescent="0.25">
      <c r="A3722" s="28"/>
      <c r="B3722" s="180"/>
      <c r="C3722" s="35"/>
      <c r="D3722" s="36"/>
      <c r="E3722" s="36"/>
    </row>
    <row r="3723" spans="1:5" x14ac:dyDescent="0.25">
      <c r="A3723" s="28"/>
      <c r="B3723" s="180"/>
      <c r="C3723" s="35"/>
      <c r="D3723" s="36"/>
      <c r="E3723" s="36"/>
    </row>
    <row r="3724" spans="1:5" x14ac:dyDescent="0.25">
      <c r="A3724" s="28"/>
      <c r="B3724" s="180"/>
      <c r="C3724" s="35"/>
      <c r="D3724" s="36"/>
      <c r="E3724" s="36"/>
    </row>
    <row r="3725" spans="1:5" x14ac:dyDescent="0.25">
      <c r="A3725" s="28"/>
      <c r="B3725" s="180"/>
      <c r="C3725" s="35"/>
      <c r="D3725" s="36"/>
      <c r="E3725" s="36"/>
    </row>
    <row r="3726" spans="1:5" x14ac:dyDescent="0.25">
      <c r="A3726" s="28"/>
      <c r="B3726" s="180"/>
      <c r="C3726" s="35"/>
      <c r="D3726" s="36"/>
      <c r="E3726" s="36"/>
    </row>
    <row r="3727" spans="1:5" x14ac:dyDescent="0.25">
      <c r="A3727" s="28"/>
      <c r="B3727" s="180"/>
      <c r="C3727" s="35"/>
      <c r="D3727" s="36"/>
      <c r="E3727" s="36"/>
    </row>
    <row r="3728" spans="1:5" x14ac:dyDescent="0.25">
      <c r="A3728" s="28"/>
      <c r="B3728" s="180"/>
      <c r="C3728" s="35"/>
      <c r="D3728" s="36"/>
      <c r="E3728" s="36"/>
    </row>
    <row r="3729" spans="1:5" x14ac:dyDescent="0.25">
      <c r="A3729" s="28"/>
      <c r="B3729" s="180"/>
      <c r="C3729" s="35"/>
      <c r="D3729" s="36"/>
      <c r="E3729" s="36"/>
    </row>
    <row r="3730" spans="1:5" x14ac:dyDescent="0.25">
      <c r="A3730" s="28"/>
      <c r="B3730" s="180"/>
      <c r="C3730" s="35"/>
      <c r="D3730" s="36"/>
      <c r="E3730" s="36"/>
    </row>
    <row r="3731" spans="1:5" x14ac:dyDescent="0.25">
      <c r="A3731" s="28"/>
      <c r="B3731" s="180"/>
      <c r="C3731" s="35"/>
      <c r="D3731" s="36"/>
      <c r="E3731" s="36"/>
    </row>
    <row r="3732" spans="1:5" x14ac:dyDescent="0.25">
      <c r="A3732" s="28"/>
      <c r="B3732" s="180"/>
      <c r="C3732" s="35"/>
      <c r="D3732" s="36"/>
      <c r="E3732" s="36"/>
    </row>
    <row r="3733" spans="1:5" x14ac:dyDescent="0.25">
      <c r="A3733" s="28"/>
      <c r="B3733" s="180"/>
      <c r="C3733" s="35"/>
      <c r="D3733" s="36"/>
      <c r="E3733" s="36"/>
    </row>
    <row r="3734" spans="1:5" x14ac:dyDescent="0.25">
      <c r="A3734" s="28"/>
      <c r="B3734" s="180"/>
      <c r="C3734" s="35"/>
      <c r="D3734" s="36"/>
      <c r="E3734" s="36"/>
    </row>
    <row r="3735" spans="1:5" x14ac:dyDescent="0.25">
      <c r="A3735" s="28"/>
      <c r="B3735" s="180"/>
      <c r="C3735" s="35"/>
      <c r="D3735" s="36"/>
      <c r="E3735" s="36"/>
    </row>
    <row r="3736" spans="1:5" x14ac:dyDescent="0.25">
      <c r="A3736" s="28"/>
      <c r="B3736" s="180"/>
      <c r="C3736" s="35"/>
      <c r="D3736" s="36"/>
      <c r="E3736" s="36"/>
    </row>
    <row r="3737" spans="1:5" x14ac:dyDescent="0.25">
      <c r="A3737" s="28"/>
      <c r="B3737" s="180"/>
      <c r="C3737" s="35"/>
      <c r="D3737" s="36"/>
      <c r="E3737" s="36"/>
    </row>
    <row r="3738" spans="1:5" x14ac:dyDescent="0.25">
      <c r="A3738" s="28"/>
      <c r="B3738" s="180"/>
      <c r="C3738" s="35"/>
      <c r="D3738" s="36"/>
      <c r="E3738" s="36"/>
    </row>
    <row r="3739" spans="1:5" x14ac:dyDescent="0.25">
      <c r="A3739" s="28"/>
      <c r="B3739" s="180"/>
      <c r="C3739" s="35"/>
      <c r="D3739" s="36"/>
      <c r="E3739" s="36"/>
    </row>
    <row r="3740" spans="1:5" x14ac:dyDescent="0.25">
      <c r="A3740" s="28"/>
      <c r="B3740" s="180"/>
      <c r="C3740" s="35"/>
      <c r="D3740" s="36"/>
      <c r="E3740" s="36"/>
    </row>
    <row r="3741" spans="1:5" x14ac:dyDescent="0.25">
      <c r="A3741" s="28"/>
      <c r="B3741" s="180"/>
      <c r="C3741" s="35"/>
      <c r="D3741" s="36"/>
      <c r="E3741" s="36"/>
    </row>
    <row r="3742" spans="1:5" x14ac:dyDescent="0.25">
      <c r="A3742" s="28"/>
      <c r="B3742" s="180"/>
      <c r="C3742" s="35"/>
      <c r="D3742" s="36"/>
      <c r="E3742" s="36"/>
    </row>
    <row r="3743" spans="1:5" x14ac:dyDescent="0.25">
      <c r="A3743" s="28"/>
      <c r="B3743" s="180"/>
      <c r="C3743" s="35"/>
      <c r="D3743" s="36"/>
      <c r="E3743" s="36"/>
    </row>
    <row r="3744" spans="1:5" x14ac:dyDescent="0.25">
      <c r="A3744" s="28"/>
      <c r="B3744" s="180"/>
      <c r="C3744" s="35"/>
      <c r="D3744" s="36"/>
      <c r="E3744" s="36"/>
    </row>
    <row r="3745" spans="1:5" x14ac:dyDescent="0.25">
      <c r="A3745" s="28"/>
      <c r="B3745" s="180"/>
      <c r="C3745" s="35"/>
      <c r="D3745" s="36"/>
      <c r="E3745" s="36"/>
    </row>
    <row r="3746" spans="1:5" x14ac:dyDescent="0.25">
      <c r="A3746" s="28"/>
      <c r="B3746" s="180"/>
      <c r="C3746" s="35"/>
      <c r="D3746" s="36"/>
      <c r="E3746" s="36"/>
    </row>
    <row r="3747" spans="1:5" x14ac:dyDescent="0.25">
      <c r="A3747" s="28"/>
      <c r="B3747" s="180"/>
      <c r="C3747" s="35"/>
      <c r="D3747" s="36"/>
      <c r="E3747" s="36"/>
    </row>
    <row r="3748" spans="1:5" x14ac:dyDescent="0.25">
      <c r="A3748" s="28"/>
      <c r="B3748" s="180"/>
      <c r="C3748" s="35"/>
      <c r="D3748" s="36"/>
      <c r="E3748" s="36"/>
    </row>
    <row r="3749" spans="1:5" x14ac:dyDescent="0.25">
      <c r="A3749" s="28"/>
      <c r="B3749" s="180"/>
      <c r="C3749" s="35"/>
      <c r="D3749" s="36"/>
      <c r="E3749" s="36"/>
    </row>
    <row r="3750" spans="1:5" x14ac:dyDescent="0.25">
      <c r="A3750" s="28"/>
      <c r="B3750" s="180"/>
      <c r="C3750" s="35"/>
      <c r="D3750" s="36"/>
      <c r="E3750" s="36"/>
    </row>
    <row r="3751" spans="1:5" x14ac:dyDescent="0.25">
      <c r="A3751" s="28"/>
      <c r="B3751" s="180"/>
      <c r="C3751" s="35"/>
      <c r="D3751" s="36"/>
      <c r="E3751" s="36"/>
    </row>
    <row r="3752" spans="1:5" x14ac:dyDescent="0.25">
      <c r="A3752" s="28"/>
      <c r="B3752" s="180"/>
      <c r="C3752" s="35"/>
      <c r="D3752" s="36"/>
      <c r="E3752" s="36"/>
    </row>
    <row r="3753" spans="1:5" x14ac:dyDescent="0.25">
      <c r="A3753" s="28"/>
      <c r="B3753" s="180"/>
      <c r="C3753" s="35"/>
      <c r="D3753" s="36"/>
      <c r="E3753" s="36"/>
    </row>
    <row r="3754" spans="1:5" x14ac:dyDescent="0.25">
      <c r="A3754" s="28"/>
      <c r="B3754" s="180"/>
      <c r="C3754" s="35"/>
      <c r="D3754" s="36"/>
      <c r="E3754" s="36"/>
    </row>
    <row r="3755" spans="1:5" x14ac:dyDescent="0.25">
      <c r="A3755" s="28"/>
      <c r="B3755" s="180"/>
      <c r="C3755" s="35"/>
      <c r="D3755" s="36"/>
      <c r="E3755" s="36"/>
    </row>
    <row r="3756" spans="1:5" x14ac:dyDescent="0.25">
      <c r="A3756" s="28"/>
      <c r="B3756" s="180"/>
      <c r="C3756" s="35"/>
      <c r="D3756" s="36"/>
      <c r="E3756" s="36"/>
    </row>
    <row r="3757" spans="1:5" x14ac:dyDescent="0.25">
      <c r="A3757" s="28"/>
      <c r="B3757" s="180"/>
      <c r="C3757" s="35"/>
      <c r="D3757" s="36"/>
      <c r="E3757" s="36"/>
    </row>
    <row r="3758" spans="1:5" x14ac:dyDescent="0.25">
      <c r="A3758" s="28"/>
      <c r="B3758" s="180"/>
      <c r="C3758" s="35"/>
      <c r="D3758" s="36"/>
      <c r="E3758" s="36"/>
    </row>
    <row r="3759" spans="1:5" x14ac:dyDescent="0.25">
      <c r="A3759" s="28"/>
      <c r="B3759" s="180"/>
      <c r="C3759" s="35"/>
      <c r="D3759" s="36"/>
      <c r="E3759" s="36"/>
    </row>
    <row r="3760" spans="1:5" x14ac:dyDescent="0.25">
      <c r="A3760" s="28"/>
      <c r="B3760" s="180"/>
      <c r="C3760" s="35"/>
      <c r="D3760" s="36"/>
      <c r="E3760" s="36"/>
    </row>
    <row r="3761" spans="1:5" x14ac:dyDescent="0.25">
      <c r="A3761" s="28"/>
      <c r="B3761" s="180"/>
      <c r="C3761" s="35"/>
      <c r="D3761" s="36"/>
      <c r="E3761" s="36"/>
    </row>
    <row r="3762" spans="1:5" x14ac:dyDescent="0.25">
      <c r="A3762" s="28"/>
      <c r="B3762" s="180"/>
      <c r="C3762" s="35"/>
      <c r="D3762" s="36"/>
      <c r="E3762" s="36"/>
    </row>
    <row r="3763" spans="1:5" x14ac:dyDescent="0.25">
      <c r="A3763" s="28"/>
      <c r="B3763" s="180"/>
      <c r="C3763" s="35"/>
      <c r="D3763" s="36"/>
      <c r="E3763" s="36"/>
    </row>
    <row r="3764" spans="1:5" x14ac:dyDescent="0.25">
      <c r="A3764" s="28"/>
      <c r="B3764" s="180"/>
      <c r="C3764" s="35"/>
      <c r="D3764" s="36"/>
      <c r="E3764" s="36"/>
    </row>
    <row r="3765" spans="1:5" x14ac:dyDescent="0.25">
      <c r="A3765" s="28"/>
      <c r="B3765" s="180"/>
      <c r="C3765" s="35"/>
      <c r="D3765" s="36"/>
      <c r="E3765" s="36"/>
    </row>
    <row r="3766" spans="1:5" x14ac:dyDescent="0.25">
      <c r="A3766" s="28"/>
      <c r="B3766" s="180"/>
      <c r="C3766" s="35"/>
      <c r="D3766" s="36"/>
      <c r="E3766" s="36"/>
    </row>
    <row r="3767" spans="1:5" x14ac:dyDescent="0.25">
      <c r="A3767" s="28"/>
      <c r="B3767" s="180"/>
      <c r="C3767" s="35"/>
      <c r="D3767" s="36"/>
      <c r="E3767" s="36"/>
    </row>
    <row r="3768" spans="1:5" x14ac:dyDescent="0.25">
      <c r="A3768" s="28"/>
      <c r="B3768" s="180"/>
      <c r="C3768" s="35"/>
      <c r="D3768" s="36"/>
      <c r="E3768" s="36"/>
    </row>
    <row r="3769" spans="1:5" x14ac:dyDescent="0.25">
      <c r="A3769" s="28"/>
      <c r="B3769" s="180"/>
      <c r="C3769" s="35"/>
      <c r="D3769" s="36"/>
      <c r="E3769" s="36"/>
    </row>
    <row r="3770" spans="1:5" x14ac:dyDescent="0.25">
      <c r="A3770" s="28"/>
      <c r="B3770" s="180"/>
      <c r="C3770" s="35"/>
      <c r="D3770" s="36"/>
      <c r="E3770" s="36"/>
    </row>
    <row r="3771" spans="1:5" x14ac:dyDescent="0.25">
      <c r="A3771" s="28"/>
      <c r="B3771" s="180"/>
      <c r="C3771" s="35"/>
      <c r="D3771" s="36"/>
      <c r="E3771" s="36"/>
    </row>
    <row r="3772" spans="1:5" x14ac:dyDescent="0.25">
      <c r="A3772" s="28"/>
      <c r="B3772" s="180"/>
      <c r="C3772" s="35"/>
      <c r="D3772" s="36"/>
      <c r="E3772" s="36"/>
    </row>
    <row r="3773" spans="1:5" x14ac:dyDescent="0.25">
      <c r="A3773" s="28"/>
      <c r="B3773" s="180"/>
      <c r="C3773" s="35"/>
      <c r="D3773" s="36"/>
      <c r="E3773" s="36"/>
    </row>
    <row r="3774" spans="1:5" x14ac:dyDescent="0.25">
      <c r="A3774" s="28"/>
      <c r="B3774" s="180"/>
      <c r="C3774" s="35"/>
      <c r="D3774" s="36"/>
      <c r="E3774" s="36"/>
    </row>
    <row r="3775" spans="1:5" x14ac:dyDescent="0.25">
      <c r="A3775" s="28"/>
      <c r="B3775" s="180"/>
      <c r="C3775" s="35"/>
      <c r="D3775" s="36"/>
      <c r="E3775" s="36"/>
    </row>
    <row r="3776" spans="1:5" x14ac:dyDescent="0.25">
      <c r="A3776" s="28"/>
      <c r="B3776" s="180"/>
      <c r="C3776" s="35"/>
      <c r="D3776" s="36"/>
      <c r="E3776" s="36"/>
    </row>
    <row r="3777" spans="1:5" x14ac:dyDescent="0.25">
      <c r="A3777" s="28"/>
      <c r="B3777" s="180"/>
      <c r="C3777" s="35"/>
      <c r="D3777" s="36"/>
      <c r="E3777" s="36"/>
    </row>
    <row r="3778" spans="1:5" x14ac:dyDescent="0.25">
      <c r="A3778" s="28"/>
      <c r="B3778" s="180"/>
      <c r="C3778" s="35"/>
      <c r="D3778" s="36"/>
      <c r="E3778" s="36"/>
    </row>
    <row r="3779" spans="1:5" x14ac:dyDescent="0.25">
      <c r="A3779" s="28"/>
      <c r="B3779" s="180"/>
      <c r="C3779" s="35"/>
      <c r="D3779" s="36"/>
      <c r="E3779" s="36"/>
    </row>
    <row r="3780" spans="1:5" x14ac:dyDescent="0.25">
      <c r="A3780" s="28"/>
      <c r="B3780" s="180"/>
      <c r="C3780" s="35"/>
      <c r="D3780" s="36"/>
      <c r="E3780" s="36"/>
    </row>
    <row r="3781" spans="1:5" x14ac:dyDescent="0.25">
      <c r="A3781" s="28"/>
      <c r="B3781" s="180"/>
      <c r="C3781" s="35"/>
      <c r="D3781" s="36"/>
      <c r="E3781" s="36"/>
    </row>
    <row r="3782" spans="1:5" x14ac:dyDescent="0.25">
      <c r="A3782" s="28"/>
      <c r="B3782" s="180"/>
      <c r="C3782" s="35"/>
      <c r="D3782" s="36"/>
      <c r="E3782" s="36"/>
    </row>
    <row r="3783" spans="1:5" x14ac:dyDescent="0.25">
      <c r="A3783" s="28"/>
      <c r="B3783" s="180"/>
      <c r="C3783" s="35"/>
      <c r="D3783" s="36"/>
      <c r="E3783" s="36"/>
    </row>
    <row r="3784" spans="1:5" x14ac:dyDescent="0.25">
      <c r="A3784" s="28"/>
      <c r="B3784" s="180"/>
      <c r="C3784" s="35"/>
      <c r="D3784" s="36"/>
      <c r="E3784" s="36"/>
    </row>
    <row r="3785" spans="1:5" x14ac:dyDescent="0.25">
      <c r="A3785" s="28"/>
      <c r="B3785" s="180"/>
      <c r="C3785" s="35"/>
      <c r="D3785" s="36"/>
      <c r="E3785" s="36"/>
    </row>
    <row r="3786" spans="1:5" x14ac:dyDescent="0.25">
      <c r="A3786" s="28"/>
      <c r="B3786" s="180"/>
      <c r="C3786" s="35"/>
      <c r="D3786" s="36"/>
      <c r="E3786" s="36"/>
    </row>
    <row r="3787" spans="1:5" x14ac:dyDescent="0.25">
      <c r="A3787" s="28"/>
      <c r="B3787" s="180"/>
      <c r="C3787" s="35"/>
      <c r="D3787" s="36"/>
      <c r="E3787" s="36"/>
    </row>
    <row r="3788" spans="1:5" x14ac:dyDescent="0.25">
      <c r="A3788" s="28"/>
      <c r="B3788" s="180"/>
      <c r="C3788" s="35"/>
      <c r="D3788" s="36"/>
      <c r="E3788" s="36"/>
    </row>
    <row r="3789" spans="1:5" x14ac:dyDescent="0.25">
      <c r="A3789" s="28"/>
      <c r="B3789" s="180"/>
      <c r="C3789" s="35"/>
      <c r="D3789" s="36"/>
      <c r="E3789" s="36"/>
    </row>
    <row r="3790" spans="1:5" x14ac:dyDescent="0.25">
      <c r="A3790" s="28"/>
      <c r="B3790" s="180"/>
      <c r="C3790" s="35"/>
      <c r="D3790" s="36"/>
      <c r="E3790" s="36"/>
    </row>
    <row r="3791" spans="1:5" x14ac:dyDescent="0.25">
      <c r="A3791" s="28"/>
      <c r="B3791" s="180"/>
      <c r="C3791" s="35"/>
      <c r="D3791" s="36"/>
      <c r="E3791" s="36"/>
    </row>
    <row r="3792" spans="1:5" x14ac:dyDescent="0.25">
      <c r="A3792" s="28"/>
      <c r="B3792" s="180"/>
      <c r="C3792" s="35"/>
      <c r="D3792" s="36"/>
      <c r="E3792" s="36"/>
    </row>
    <row r="3793" spans="1:5" x14ac:dyDescent="0.25">
      <c r="A3793" s="28"/>
      <c r="B3793" s="180"/>
      <c r="C3793" s="35"/>
      <c r="D3793" s="36"/>
      <c r="E3793" s="36"/>
    </row>
    <row r="3794" spans="1:5" x14ac:dyDescent="0.25">
      <c r="A3794" s="28"/>
      <c r="B3794" s="180"/>
      <c r="C3794" s="35"/>
      <c r="D3794" s="36"/>
      <c r="E3794" s="36"/>
    </row>
    <row r="3795" spans="1:5" x14ac:dyDescent="0.25">
      <c r="A3795" s="28"/>
      <c r="B3795" s="180"/>
      <c r="C3795" s="35"/>
      <c r="D3795" s="36"/>
      <c r="E3795" s="36"/>
    </row>
    <row r="3796" spans="1:5" x14ac:dyDescent="0.25">
      <c r="A3796" s="28"/>
      <c r="B3796" s="180"/>
      <c r="C3796" s="35"/>
      <c r="D3796" s="36"/>
      <c r="E3796" s="36"/>
    </row>
    <row r="3797" spans="1:5" x14ac:dyDescent="0.25">
      <c r="A3797" s="28"/>
      <c r="B3797" s="180"/>
      <c r="C3797" s="35"/>
      <c r="D3797" s="36"/>
      <c r="E3797" s="36"/>
    </row>
    <row r="3798" spans="1:5" x14ac:dyDescent="0.25">
      <c r="A3798" s="28"/>
      <c r="B3798" s="180"/>
      <c r="C3798" s="35"/>
      <c r="D3798" s="36"/>
      <c r="E3798" s="36"/>
    </row>
    <row r="3799" spans="1:5" x14ac:dyDescent="0.25">
      <c r="A3799" s="28"/>
      <c r="B3799" s="180"/>
      <c r="C3799" s="35"/>
      <c r="D3799" s="36"/>
      <c r="E3799" s="36"/>
    </row>
    <row r="3800" spans="1:5" x14ac:dyDescent="0.25">
      <c r="A3800" s="28"/>
      <c r="B3800" s="180"/>
      <c r="C3800" s="35"/>
      <c r="D3800" s="36"/>
      <c r="E3800" s="36"/>
    </row>
    <row r="3801" spans="1:5" x14ac:dyDescent="0.25">
      <c r="A3801" s="28"/>
      <c r="B3801" s="180"/>
      <c r="C3801" s="35"/>
      <c r="D3801" s="36"/>
      <c r="E3801" s="36"/>
    </row>
    <row r="3802" spans="1:5" x14ac:dyDescent="0.25">
      <c r="A3802" s="28"/>
      <c r="B3802" s="180"/>
      <c r="C3802" s="35"/>
      <c r="D3802" s="36"/>
      <c r="E3802" s="36"/>
    </row>
    <row r="3803" spans="1:5" x14ac:dyDescent="0.25">
      <c r="A3803" s="28"/>
      <c r="B3803" s="180"/>
      <c r="C3803" s="35"/>
      <c r="D3803" s="36"/>
      <c r="E3803" s="36"/>
    </row>
    <row r="3804" spans="1:5" x14ac:dyDescent="0.25">
      <c r="A3804" s="28"/>
      <c r="B3804" s="180"/>
      <c r="C3804" s="35"/>
      <c r="D3804" s="36"/>
      <c r="E3804" s="36"/>
    </row>
    <row r="3805" spans="1:5" x14ac:dyDescent="0.25">
      <c r="A3805" s="28"/>
      <c r="B3805" s="180"/>
      <c r="C3805" s="35"/>
      <c r="D3805" s="36"/>
      <c r="E3805" s="36"/>
    </row>
    <row r="3806" spans="1:5" x14ac:dyDescent="0.25">
      <c r="A3806" s="28"/>
      <c r="B3806" s="180"/>
      <c r="C3806" s="35"/>
      <c r="D3806" s="36"/>
      <c r="E3806" s="36"/>
    </row>
    <row r="3807" spans="1:5" x14ac:dyDescent="0.25">
      <c r="A3807" s="28"/>
      <c r="B3807" s="180"/>
      <c r="C3807" s="35"/>
      <c r="D3807" s="36"/>
      <c r="E3807" s="36"/>
    </row>
    <row r="3808" spans="1:5" x14ac:dyDescent="0.25">
      <c r="A3808" s="28"/>
      <c r="B3808" s="180"/>
      <c r="C3808" s="35"/>
      <c r="D3808" s="36"/>
      <c r="E3808" s="36"/>
    </row>
    <row r="3809" spans="1:5" x14ac:dyDescent="0.25">
      <c r="A3809" s="28"/>
      <c r="B3809" s="180"/>
      <c r="C3809" s="35"/>
      <c r="D3809" s="36"/>
      <c r="E3809" s="36"/>
    </row>
    <row r="3810" spans="1:5" x14ac:dyDescent="0.25">
      <c r="A3810" s="28"/>
      <c r="B3810" s="180"/>
      <c r="C3810" s="35"/>
      <c r="D3810" s="36"/>
      <c r="E3810" s="36"/>
    </row>
    <row r="3811" spans="1:5" x14ac:dyDescent="0.25">
      <c r="A3811" s="28"/>
      <c r="B3811" s="180"/>
      <c r="C3811" s="35"/>
      <c r="D3811" s="36"/>
      <c r="E3811" s="36"/>
    </row>
    <row r="3812" spans="1:5" x14ac:dyDescent="0.25">
      <c r="A3812" s="28"/>
      <c r="B3812" s="180"/>
      <c r="C3812" s="35"/>
      <c r="D3812" s="36"/>
      <c r="E3812" s="36"/>
    </row>
    <row r="3813" spans="1:5" x14ac:dyDescent="0.25">
      <c r="A3813" s="28"/>
      <c r="B3813" s="180"/>
      <c r="C3813" s="35"/>
      <c r="D3813" s="36"/>
      <c r="E3813" s="36"/>
    </row>
    <row r="3814" spans="1:5" x14ac:dyDescent="0.25">
      <c r="A3814" s="28"/>
      <c r="B3814" s="180"/>
      <c r="C3814" s="35"/>
      <c r="D3814" s="36"/>
      <c r="E3814" s="36"/>
    </row>
    <row r="3815" spans="1:5" x14ac:dyDescent="0.25">
      <c r="A3815" s="28"/>
      <c r="B3815" s="180"/>
      <c r="C3815" s="35"/>
      <c r="D3815" s="36"/>
      <c r="E3815" s="36"/>
    </row>
    <row r="3816" spans="1:5" x14ac:dyDescent="0.25">
      <c r="A3816" s="28"/>
      <c r="B3816" s="180"/>
      <c r="C3816" s="35"/>
      <c r="D3816" s="36"/>
      <c r="E3816" s="36"/>
    </row>
    <row r="3817" spans="1:5" x14ac:dyDescent="0.25">
      <c r="A3817" s="28"/>
      <c r="B3817" s="180"/>
      <c r="C3817" s="35"/>
      <c r="D3817" s="36"/>
      <c r="E3817" s="36"/>
    </row>
    <row r="3818" spans="1:5" x14ac:dyDescent="0.25">
      <c r="A3818" s="28"/>
      <c r="B3818" s="180"/>
      <c r="C3818" s="35"/>
      <c r="D3818" s="36"/>
      <c r="E3818" s="36"/>
    </row>
    <row r="3819" spans="1:5" x14ac:dyDescent="0.25">
      <c r="A3819" s="28"/>
      <c r="B3819" s="180"/>
      <c r="C3819" s="35"/>
      <c r="D3819" s="36"/>
      <c r="E3819" s="36"/>
    </row>
    <row r="3820" spans="1:5" x14ac:dyDescent="0.25">
      <c r="A3820" s="28"/>
      <c r="B3820" s="180"/>
      <c r="C3820" s="35"/>
      <c r="D3820" s="36"/>
      <c r="E3820" s="36"/>
    </row>
    <row r="3821" spans="1:5" x14ac:dyDescent="0.25">
      <c r="A3821" s="28"/>
      <c r="B3821" s="180"/>
      <c r="C3821" s="35"/>
      <c r="D3821" s="36"/>
      <c r="E3821" s="36"/>
    </row>
    <row r="3822" spans="1:5" x14ac:dyDescent="0.25">
      <c r="A3822" s="28"/>
      <c r="B3822" s="180"/>
      <c r="C3822" s="35"/>
      <c r="D3822" s="36"/>
      <c r="E3822" s="36"/>
    </row>
    <row r="3823" spans="1:5" x14ac:dyDescent="0.25">
      <c r="A3823" s="28"/>
      <c r="B3823" s="180"/>
      <c r="C3823" s="35"/>
      <c r="D3823" s="36"/>
      <c r="E3823" s="36"/>
    </row>
    <row r="3824" spans="1:5" x14ac:dyDescent="0.25">
      <c r="A3824" s="28"/>
      <c r="B3824" s="180"/>
      <c r="C3824" s="35"/>
      <c r="D3824" s="36"/>
      <c r="E3824" s="36"/>
    </row>
    <row r="3825" spans="1:5" x14ac:dyDescent="0.25">
      <c r="A3825" s="28"/>
      <c r="B3825" s="180"/>
      <c r="C3825" s="35"/>
      <c r="D3825" s="36"/>
      <c r="E3825" s="36"/>
    </row>
    <row r="3826" spans="1:5" x14ac:dyDescent="0.25">
      <c r="A3826" s="28"/>
      <c r="B3826" s="180"/>
      <c r="C3826" s="35"/>
      <c r="D3826" s="36"/>
      <c r="E3826" s="36"/>
    </row>
    <row r="3827" spans="1:5" x14ac:dyDescent="0.25">
      <c r="A3827" s="28"/>
      <c r="B3827" s="180"/>
      <c r="C3827" s="35"/>
      <c r="D3827" s="36"/>
      <c r="E3827" s="36"/>
    </row>
    <row r="3828" spans="1:5" x14ac:dyDescent="0.25">
      <c r="A3828" s="28"/>
      <c r="B3828" s="180"/>
      <c r="C3828" s="35"/>
      <c r="D3828" s="36"/>
      <c r="E3828" s="36"/>
    </row>
    <row r="3829" spans="1:5" x14ac:dyDescent="0.25">
      <c r="A3829" s="28"/>
      <c r="B3829" s="180"/>
      <c r="C3829" s="35"/>
      <c r="D3829" s="36"/>
      <c r="E3829" s="36"/>
    </row>
    <row r="3830" spans="1:5" x14ac:dyDescent="0.25">
      <c r="A3830" s="28"/>
      <c r="B3830" s="180"/>
      <c r="C3830" s="35"/>
      <c r="D3830" s="36"/>
      <c r="E3830" s="36"/>
    </row>
    <row r="3831" spans="1:5" x14ac:dyDescent="0.25">
      <c r="A3831" s="28"/>
      <c r="B3831" s="180"/>
      <c r="C3831" s="35"/>
      <c r="D3831" s="36"/>
      <c r="E3831" s="36"/>
    </row>
    <row r="3832" spans="1:5" x14ac:dyDescent="0.25">
      <c r="A3832" s="28"/>
      <c r="B3832" s="180"/>
      <c r="C3832" s="35"/>
      <c r="D3832" s="36"/>
      <c r="E3832" s="36"/>
    </row>
    <row r="3833" spans="1:5" x14ac:dyDescent="0.25">
      <c r="A3833" s="28"/>
      <c r="B3833" s="180"/>
      <c r="C3833" s="35"/>
      <c r="D3833" s="36"/>
      <c r="E3833" s="36"/>
    </row>
    <row r="3834" spans="1:5" x14ac:dyDescent="0.25">
      <c r="A3834" s="28"/>
      <c r="B3834" s="180"/>
      <c r="C3834" s="35"/>
      <c r="D3834" s="36"/>
      <c r="E3834" s="36"/>
    </row>
    <row r="3835" spans="1:5" x14ac:dyDescent="0.25">
      <c r="A3835" s="28"/>
      <c r="B3835" s="180"/>
      <c r="C3835" s="35"/>
      <c r="D3835" s="36"/>
      <c r="E3835" s="36"/>
    </row>
    <row r="3836" spans="1:5" x14ac:dyDescent="0.25">
      <c r="A3836" s="28"/>
      <c r="B3836" s="180"/>
      <c r="C3836" s="35"/>
      <c r="D3836" s="36"/>
      <c r="E3836" s="36"/>
    </row>
    <row r="3837" spans="1:5" x14ac:dyDescent="0.25">
      <c r="A3837" s="28"/>
      <c r="B3837" s="180"/>
      <c r="C3837" s="35"/>
      <c r="D3837" s="36"/>
      <c r="E3837" s="36"/>
    </row>
    <row r="3838" spans="1:5" x14ac:dyDescent="0.25">
      <c r="A3838" s="28"/>
      <c r="B3838" s="180"/>
      <c r="C3838" s="35"/>
      <c r="D3838" s="36"/>
      <c r="E3838" s="36"/>
    </row>
    <row r="3839" spans="1:5" x14ac:dyDescent="0.25">
      <c r="A3839" s="28"/>
      <c r="B3839" s="180"/>
      <c r="C3839" s="35"/>
      <c r="D3839" s="36"/>
      <c r="E3839" s="36"/>
    </row>
    <row r="3840" spans="1:5" x14ac:dyDescent="0.25">
      <c r="A3840" s="28"/>
      <c r="B3840" s="180"/>
      <c r="C3840" s="35"/>
      <c r="D3840" s="36"/>
      <c r="E3840" s="36"/>
    </row>
    <row r="3841" spans="1:5" x14ac:dyDescent="0.25">
      <c r="A3841" s="28"/>
      <c r="B3841" s="180"/>
      <c r="C3841" s="35"/>
      <c r="D3841" s="36"/>
      <c r="E3841" s="36"/>
    </row>
    <row r="3842" spans="1:5" x14ac:dyDescent="0.25">
      <c r="A3842" s="28"/>
      <c r="B3842" s="180"/>
      <c r="C3842" s="35"/>
      <c r="D3842" s="36"/>
      <c r="E3842" s="36"/>
    </row>
    <row r="3843" spans="1:5" x14ac:dyDescent="0.25">
      <c r="A3843" s="28"/>
      <c r="B3843" s="180"/>
      <c r="C3843" s="35"/>
      <c r="D3843" s="36"/>
      <c r="E3843" s="36"/>
    </row>
    <row r="3844" spans="1:5" x14ac:dyDescent="0.25">
      <c r="A3844" s="28"/>
      <c r="B3844" s="180"/>
      <c r="C3844" s="35"/>
      <c r="D3844" s="36"/>
      <c r="E3844" s="36"/>
    </row>
    <row r="3845" spans="1:5" x14ac:dyDescent="0.25">
      <c r="A3845" s="28"/>
      <c r="B3845" s="180"/>
      <c r="C3845" s="35"/>
      <c r="D3845" s="36"/>
      <c r="E3845" s="36"/>
    </row>
    <row r="3846" spans="1:5" x14ac:dyDescent="0.25">
      <c r="A3846" s="28"/>
      <c r="B3846" s="180"/>
      <c r="C3846" s="35"/>
      <c r="D3846" s="36"/>
      <c r="E3846" s="36"/>
    </row>
    <row r="3847" spans="1:5" x14ac:dyDescent="0.25">
      <c r="A3847" s="28"/>
      <c r="B3847" s="180"/>
      <c r="C3847" s="35"/>
      <c r="D3847" s="36"/>
      <c r="E3847" s="36"/>
    </row>
    <row r="3848" spans="1:5" x14ac:dyDescent="0.25">
      <c r="A3848" s="28"/>
      <c r="B3848" s="180"/>
      <c r="C3848" s="35"/>
      <c r="D3848" s="36"/>
      <c r="E3848" s="36"/>
    </row>
    <row r="3849" spans="1:5" x14ac:dyDescent="0.25">
      <c r="A3849" s="28"/>
      <c r="B3849" s="180"/>
      <c r="C3849" s="35"/>
      <c r="D3849" s="36"/>
      <c r="E3849" s="36"/>
    </row>
    <row r="3850" spans="1:5" x14ac:dyDescent="0.25">
      <c r="A3850" s="28"/>
      <c r="B3850" s="180"/>
      <c r="C3850" s="35"/>
      <c r="D3850" s="36"/>
      <c r="E3850" s="36"/>
    </row>
    <row r="3851" spans="1:5" x14ac:dyDescent="0.25">
      <c r="A3851" s="28"/>
      <c r="B3851" s="180"/>
      <c r="C3851" s="35"/>
      <c r="D3851" s="36"/>
      <c r="E3851" s="36"/>
    </row>
    <row r="3852" spans="1:5" x14ac:dyDescent="0.25">
      <c r="A3852" s="28"/>
      <c r="B3852" s="180"/>
      <c r="C3852" s="35"/>
      <c r="D3852" s="36"/>
      <c r="E3852" s="36"/>
    </row>
    <row r="3853" spans="1:5" x14ac:dyDescent="0.25">
      <c r="A3853" s="28"/>
      <c r="B3853" s="180"/>
      <c r="C3853" s="35"/>
      <c r="D3853" s="36"/>
      <c r="E3853" s="36"/>
    </row>
    <row r="3854" spans="1:5" x14ac:dyDescent="0.25">
      <c r="A3854" s="28"/>
      <c r="B3854" s="180"/>
      <c r="C3854" s="35"/>
      <c r="D3854" s="36"/>
      <c r="E3854" s="36"/>
    </row>
    <row r="3855" spans="1:5" x14ac:dyDescent="0.25">
      <c r="A3855" s="28"/>
      <c r="B3855" s="180"/>
      <c r="C3855" s="35"/>
      <c r="D3855" s="36"/>
      <c r="E3855" s="36"/>
    </row>
    <row r="3856" spans="1:5" x14ac:dyDescent="0.25">
      <c r="A3856" s="28"/>
      <c r="B3856" s="180"/>
      <c r="C3856" s="35"/>
      <c r="D3856" s="36"/>
      <c r="E3856" s="36"/>
    </row>
    <row r="3857" spans="1:5" x14ac:dyDescent="0.25">
      <c r="A3857" s="28"/>
      <c r="B3857" s="180"/>
      <c r="C3857" s="35"/>
      <c r="D3857" s="36"/>
      <c r="E3857" s="36"/>
    </row>
    <row r="3858" spans="1:5" x14ac:dyDescent="0.25">
      <c r="A3858" s="28"/>
      <c r="B3858" s="180"/>
      <c r="C3858" s="35"/>
      <c r="D3858" s="36"/>
      <c r="E3858" s="36"/>
    </row>
    <row r="3859" spans="1:5" x14ac:dyDescent="0.25">
      <c r="A3859" s="28"/>
      <c r="B3859" s="180"/>
      <c r="C3859" s="35"/>
      <c r="D3859" s="36"/>
      <c r="E3859" s="36"/>
    </row>
    <row r="3860" spans="1:5" x14ac:dyDescent="0.25">
      <c r="A3860" s="28"/>
      <c r="B3860" s="180"/>
      <c r="C3860" s="35"/>
      <c r="D3860" s="36"/>
      <c r="E3860" s="36"/>
    </row>
    <row r="3861" spans="1:5" x14ac:dyDescent="0.25">
      <c r="A3861" s="28"/>
      <c r="B3861" s="180"/>
      <c r="C3861" s="35"/>
      <c r="D3861" s="36"/>
      <c r="E3861" s="36"/>
    </row>
    <row r="3862" spans="1:5" x14ac:dyDescent="0.25">
      <c r="A3862" s="28"/>
      <c r="B3862" s="180"/>
      <c r="C3862" s="35"/>
      <c r="D3862" s="36"/>
      <c r="E3862" s="36"/>
    </row>
    <row r="3863" spans="1:5" x14ac:dyDescent="0.25">
      <c r="A3863" s="28"/>
      <c r="B3863" s="180"/>
      <c r="C3863" s="35"/>
      <c r="D3863" s="36"/>
      <c r="E3863" s="36"/>
    </row>
    <row r="3864" spans="1:5" x14ac:dyDescent="0.25">
      <c r="A3864" s="28"/>
      <c r="B3864" s="180"/>
      <c r="C3864" s="35"/>
      <c r="D3864" s="36"/>
      <c r="E3864" s="36"/>
    </row>
    <row r="3865" spans="1:5" x14ac:dyDescent="0.25">
      <c r="A3865" s="28"/>
      <c r="B3865" s="180"/>
      <c r="C3865" s="35"/>
      <c r="D3865" s="36"/>
      <c r="E3865" s="36"/>
    </row>
    <row r="3866" spans="1:5" x14ac:dyDescent="0.25">
      <c r="A3866" s="28"/>
      <c r="B3866" s="180"/>
      <c r="C3866" s="35"/>
      <c r="D3866" s="36"/>
      <c r="E3866" s="36"/>
    </row>
    <row r="3867" spans="1:5" x14ac:dyDescent="0.25">
      <c r="A3867" s="28"/>
      <c r="B3867" s="180"/>
      <c r="C3867" s="35"/>
      <c r="D3867" s="36"/>
      <c r="E3867" s="36"/>
    </row>
    <row r="3868" spans="1:5" x14ac:dyDescent="0.25">
      <c r="A3868" s="28"/>
      <c r="B3868" s="180"/>
      <c r="C3868" s="35"/>
      <c r="D3868" s="36"/>
      <c r="E3868" s="36"/>
    </row>
    <row r="3869" spans="1:5" x14ac:dyDescent="0.25">
      <c r="A3869" s="28"/>
      <c r="B3869" s="180"/>
      <c r="C3869" s="35"/>
      <c r="D3869" s="36"/>
      <c r="E3869" s="36"/>
    </row>
    <row r="3870" spans="1:5" x14ac:dyDescent="0.25">
      <c r="A3870" s="28"/>
      <c r="B3870" s="180"/>
      <c r="C3870" s="35"/>
      <c r="D3870" s="36"/>
      <c r="E3870" s="36"/>
    </row>
    <row r="3871" spans="1:5" x14ac:dyDescent="0.25">
      <c r="A3871" s="28"/>
      <c r="B3871" s="180"/>
      <c r="C3871" s="35"/>
      <c r="D3871" s="36"/>
      <c r="E3871" s="36"/>
    </row>
    <row r="3872" spans="1:5" x14ac:dyDescent="0.25">
      <c r="A3872" s="28"/>
      <c r="B3872" s="180"/>
      <c r="C3872" s="35"/>
      <c r="D3872" s="36"/>
      <c r="E3872" s="36"/>
    </row>
    <row r="3873" spans="1:5" x14ac:dyDescent="0.25">
      <c r="A3873" s="28"/>
      <c r="B3873" s="180"/>
      <c r="C3873" s="35"/>
      <c r="D3873" s="36"/>
      <c r="E3873" s="36"/>
    </row>
    <row r="3874" spans="1:5" x14ac:dyDescent="0.25">
      <c r="A3874" s="28"/>
      <c r="B3874" s="180"/>
      <c r="C3874" s="35"/>
      <c r="D3874" s="36"/>
      <c r="E3874" s="36"/>
    </row>
    <row r="3875" spans="1:5" x14ac:dyDescent="0.25">
      <c r="A3875" s="28"/>
      <c r="B3875" s="180"/>
      <c r="C3875" s="35"/>
      <c r="D3875" s="36"/>
      <c r="E3875" s="36"/>
    </row>
    <row r="3876" spans="1:5" x14ac:dyDescent="0.25">
      <c r="A3876" s="28"/>
      <c r="B3876" s="180"/>
      <c r="C3876" s="35"/>
      <c r="D3876" s="36"/>
      <c r="E3876" s="36"/>
    </row>
    <row r="3877" spans="1:5" x14ac:dyDescent="0.25">
      <c r="A3877" s="28"/>
      <c r="B3877" s="180"/>
      <c r="C3877" s="35"/>
      <c r="D3877" s="36"/>
      <c r="E3877" s="36"/>
    </row>
    <row r="3878" spans="1:5" x14ac:dyDescent="0.25">
      <c r="A3878" s="28"/>
      <c r="B3878" s="180"/>
      <c r="C3878" s="35"/>
      <c r="D3878" s="36"/>
      <c r="E3878" s="36"/>
    </row>
    <row r="3879" spans="1:5" x14ac:dyDescent="0.25">
      <c r="A3879" s="28"/>
      <c r="B3879" s="180"/>
      <c r="C3879" s="35"/>
      <c r="D3879" s="36"/>
      <c r="E3879" s="36"/>
    </row>
    <row r="3880" spans="1:5" x14ac:dyDescent="0.25">
      <c r="A3880" s="28"/>
      <c r="B3880" s="180"/>
      <c r="C3880" s="35"/>
      <c r="D3880" s="36"/>
      <c r="E3880" s="36"/>
    </row>
    <row r="3881" spans="1:5" x14ac:dyDescent="0.25">
      <c r="A3881" s="28"/>
      <c r="B3881" s="180"/>
      <c r="C3881" s="35"/>
      <c r="D3881" s="36"/>
      <c r="E3881" s="36"/>
    </row>
    <row r="3882" spans="1:5" x14ac:dyDescent="0.25">
      <c r="A3882" s="28"/>
      <c r="B3882" s="180"/>
      <c r="C3882" s="35"/>
      <c r="D3882" s="36"/>
      <c r="E3882" s="36"/>
    </row>
    <row r="3883" spans="1:5" x14ac:dyDescent="0.25">
      <c r="A3883" s="28"/>
      <c r="B3883" s="180"/>
      <c r="C3883" s="35"/>
      <c r="D3883" s="36"/>
      <c r="E3883" s="36"/>
    </row>
    <row r="3884" spans="1:5" x14ac:dyDescent="0.25">
      <c r="A3884" s="28"/>
      <c r="B3884" s="180"/>
      <c r="C3884" s="35"/>
      <c r="D3884" s="36"/>
      <c r="E3884" s="36"/>
    </row>
    <row r="3885" spans="1:5" x14ac:dyDescent="0.25">
      <c r="A3885" s="28"/>
      <c r="B3885" s="180"/>
      <c r="C3885" s="35"/>
      <c r="D3885" s="36"/>
      <c r="E3885" s="36"/>
    </row>
    <row r="3886" spans="1:5" x14ac:dyDescent="0.25">
      <c r="A3886" s="28"/>
      <c r="B3886" s="180"/>
      <c r="C3886" s="35"/>
      <c r="D3886" s="36"/>
      <c r="E3886" s="36"/>
    </row>
    <row r="3887" spans="1:5" x14ac:dyDescent="0.25">
      <c r="A3887" s="28"/>
      <c r="B3887" s="180"/>
      <c r="C3887" s="35"/>
      <c r="D3887" s="36"/>
      <c r="E3887" s="36"/>
    </row>
    <row r="3888" spans="1:5" x14ac:dyDescent="0.25">
      <c r="A3888" s="28"/>
      <c r="B3888" s="180"/>
      <c r="C3888" s="35"/>
      <c r="D3888" s="36"/>
      <c r="E3888" s="36"/>
    </row>
    <row r="3889" spans="1:5" x14ac:dyDescent="0.25">
      <c r="A3889" s="28"/>
      <c r="B3889" s="180"/>
      <c r="C3889" s="35"/>
      <c r="D3889" s="36"/>
      <c r="E3889" s="36"/>
    </row>
    <row r="3890" spans="1:5" x14ac:dyDescent="0.25">
      <c r="A3890" s="28"/>
      <c r="B3890" s="180"/>
      <c r="C3890" s="35"/>
      <c r="D3890" s="36"/>
      <c r="E3890" s="36"/>
    </row>
    <row r="3891" spans="1:5" x14ac:dyDescent="0.25">
      <c r="A3891" s="28"/>
      <c r="B3891" s="180"/>
      <c r="C3891" s="35"/>
      <c r="D3891" s="36"/>
      <c r="E3891" s="36"/>
    </row>
    <row r="3892" spans="1:5" x14ac:dyDescent="0.25">
      <c r="A3892" s="28"/>
      <c r="B3892" s="180"/>
      <c r="C3892" s="35"/>
      <c r="D3892" s="36"/>
      <c r="E3892" s="36"/>
    </row>
    <row r="3893" spans="1:5" x14ac:dyDescent="0.25">
      <c r="A3893" s="28"/>
      <c r="B3893" s="180"/>
      <c r="C3893" s="35"/>
      <c r="D3893" s="36"/>
      <c r="E3893" s="36"/>
    </row>
    <row r="3894" spans="1:5" x14ac:dyDescent="0.25">
      <c r="A3894" s="28"/>
      <c r="B3894" s="180"/>
      <c r="C3894" s="35"/>
      <c r="D3894" s="36"/>
      <c r="E3894" s="36"/>
    </row>
    <row r="3895" spans="1:5" x14ac:dyDescent="0.25">
      <c r="A3895" s="28"/>
      <c r="B3895" s="180"/>
      <c r="C3895" s="35"/>
      <c r="D3895" s="36"/>
      <c r="E3895" s="36"/>
    </row>
    <row r="3896" spans="1:5" x14ac:dyDescent="0.25">
      <c r="A3896" s="28"/>
      <c r="B3896" s="180"/>
      <c r="C3896" s="35"/>
      <c r="D3896" s="36"/>
      <c r="E3896" s="36"/>
    </row>
    <row r="3897" spans="1:5" x14ac:dyDescent="0.25">
      <c r="A3897" s="28"/>
      <c r="B3897" s="180"/>
      <c r="C3897" s="35"/>
      <c r="D3897" s="36"/>
      <c r="E3897" s="36"/>
    </row>
    <row r="3898" spans="1:5" x14ac:dyDescent="0.25">
      <c r="A3898" s="28"/>
      <c r="B3898" s="180"/>
      <c r="C3898" s="35"/>
      <c r="D3898" s="36"/>
      <c r="E3898" s="36"/>
    </row>
    <row r="3899" spans="1:5" x14ac:dyDescent="0.25">
      <c r="A3899" s="28"/>
      <c r="B3899" s="180"/>
      <c r="C3899" s="35"/>
      <c r="D3899" s="36"/>
      <c r="E3899" s="36"/>
    </row>
    <row r="3900" spans="1:5" x14ac:dyDescent="0.25">
      <c r="A3900" s="28"/>
      <c r="B3900" s="180"/>
      <c r="C3900" s="35"/>
      <c r="D3900" s="36"/>
      <c r="E3900" s="36"/>
    </row>
    <row r="3901" spans="1:5" x14ac:dyDescent="0.25">
      <c r="A3901" s="28"/>
      <c r="B3901" s="180"/>
      <c r="C3901" s="35"/>
      <c r="D3901" s="36"/>
      <c r="E3901" s="36"/>
    </row>
    <row r="3902" spans="1:5" x14ac:dyDescent="0.25">
      <c r="A3902" s="28"/>
      <c r="B3902" s="180"/>
      <c r="C3902" s="35"/>
      <c r="D3902" s="36"/>
      <c r="E3902" s="36"/>
    </row>
    <row r="3903" spans="1:5" x14ac:dyDescent="0.25">
      <c r="A3903" s="28"/>
      <c r="B3903" s="180"/>
      <c r="C3903" s="35"/>
      <c r="D3903" s="36"/>
      <c r="E3903" s="36"/>
    </row>
    <row r="3904" spans="1:5" x14ac:dyDescent="0.25">
      <c r="A3904" s="28"/>
      <c r="B3904" s="180"/>
      <c r="C3904" s="35"/>
      <c r="D3904" s="36"/>
      <c r="E3904" s="36"/>
    </row>
    <row r="3905" spans="1:5" x14ac:dyDescent="0.25">
      <c r="A3905" s="28"/>
      <c r="B3905" s="180"/>
      <c r="C3905" s="35"/>
      <c r="D3905" s="36"/>
      <c r="E3905" s="36"/>
    </row>
    <row r="3906" spans="1:5" x14ac:dyDescent="0.25">
      <c r="A3906" s="28"/>
      <c r="B3906" s="180"/>
      <c r="C3906" s="35"/>
      <c r="D3906" s="36"/>
      <c r="E3906" s="36"/>
    </row>
    <row r="3907" spans="1:5" x14ac:dyDescent="0.25">
      <c r="A3907" s="28"/>
      <c r="B3907" s="180"/>
      <c r="C3907" s="35"/>
      <c r="D3907" s="36"/>
      <c r="E3907" s="36"/>
    </row>
    <row r="3908" spans="1:5" x14ac:dyDescent="0.25">
      <c r="A3908" s="28"/>
      <c r="B3908" s="180"/>
      <c r="C3908" s="35"/>
      <c r="D3908" s="36"/>
      <c r="E3908" s="36"/>
    </row>
    <row r="3909" spans="1:5" x14ac:dyDescent="0.25">
      <c r="A3909" s="28"/>
      <c r="B3909" s="180"/>
      <c r="C3909" s="35"/>
      <c r="D3909" s="36"/>
      <c r="E3909" s="36"/>
    </row>
    <row r="3910" spans="1:5" x14ac:dyDescent="0.25">
      <c r="A3910" s="28"/>
      <c r="B3910" s="180"/>
      <c r="C3910" s="35"/>
      <c r="D3910" s="36"/>
      <c r="E3910" s="36"/>
    </row>
    <row r="3911" spans="1:5" x14ac:dyDescent="0.25">
      <c r="A3911" s="28"/>
      <c r="B3911" s="180"/>
      <c r="C3911" s="35"/>
      <c r="D3911" s="36"/>
      <c r="E3911" s="36"/>
    </row>
    <row r="3912" spans="1:5" x14ac:dyDescent="0.25">
      <c r="A3912" s="28"/>
      <c r="B3912" s="180"/>
      <c r="C3912" s="35"/>
      <c r="D3912" s="36"/>
      <c r="E3912" s="36"/>
    </row>
    <row r="3913" spans="1:5" x14ac:dyDescent="0.25">
      <c r="A3913" s="28"/>
      <c r="B3913" s="180"/>
      <c r="C3913" s="35"/>
      <c r="D3913" s="36"/>
      <c r="E3913" s="36"/>
    </row>
    <row r="3914" spans="1:5" x14ac:dyDescent="0.25">
      <c r="A3914" s="28"/>
      <c r="B3914" s="180"/>
      <c r="C3914" s="35"/>
      <c r="D3914" s="36"/>
      <c r="E3914" s="36"/>
    </row>
    <row r="3915" spans="1:5" x14ac:dyDescent="0.25">
      <c r="A3915" s="28"/>
      <c r="B3915" s="180"/>
      <c r="C3915" s="35"/>
      <c r="D3915" s="36"/>
      <c r="E3915" s="36"/>
    </row>
    <row r="3916" spans="1:5" x14ac:dyDescent="0.25">
      <c r="A3916" s="28"/>
      <c r="B3916" s="180"/>
      <c r="C3916" s="35"/>
      <c r="D3916" s="36"/>
      <c r="E3916" s="36"/>
    </row>
    <row r="3917" spans="1:5" x14ac:dyDescent="0.25">
      <c r="A3917" s="28"/>
      <c r="B3917" s="180"/>
      <c r="C3917" s="35"/>
      <c r="D3917" s="36"/>
      <c r="E3917" s="36"/>
    </row>
    <row r="3918" spans="1:5" x14ac:dyDescent="0.25">
      <c r="A3918" s="28"/>
      <c r="B3918" s="180"/>
      <c r="C3918" s="35"/>
      <c r="D3918" s="36"/>
      <c r="E3918" s="36"/>
    </row>
    <row r="3919" spans="1:5" x14ac:dyDescent="0.25">
      <c r="A3919" s="28"/>
      <c r="B3919" s="180"/>
      <c r="C3919" s="35"/>
      <c r="D3919" s="36"/>
      <c r="E3919" s="36"/>
    </row>
    <row r="3920" spans="1:5" x14ac:dyDescent="0.25">
      <c r="A3920" s="28"/>
      <c r="B3920" s="180"/>
      <c r="C3920" s="35"/>
      <c r="D3920" s="36"/>
      <c r="E3920" s="36"/>
    </row>
    <row r="3921" spans="1:5" x14ac:dyDescent="0.25">
      <c r="A3921" s="28"/>
      <c r="B3921" s="180"/>
      <c r="C3921" s="35"/>
      <c r="D3921" s="36"/>
      <c r="E3921" s="36"/>
    </row>
    <row r="3922" spans="1:5" x14ac:dyDescent="0.25">
      <c r="A3922" s="28"/>
      <c r="B3922" s="180"/>
      <c r="C3922" s="35"/>
      <c r="D3922" s="36"/>
      <c r="E3922" s="36"/>
    </row>
    <row r="3923" spans="1:5" x14ac:dyDescent="0.25">
      <c r="A3923" s="28"/>
      <c r="B3923" s="180"/>
      <c r="C3923" s="35"/>
      <c r="D3923" s="36"/>
      <c r="E3923" s="36"/>
    </row>
    <row r="3924" spans="1:5" x14ac:dyDescent="0.25">
      <c r="A3924" s="28"/>
      <c r="B3924" s="180"/>
      <c r="C3924" s="35"/>
      <c r="D3924" s="36"/>
      <c r="E3924" s="36"/>
    </row>
    <row r="3925" spans="1:5" x14ac:dyDescent="0.25">
      <c r="A3925" s="28"/>
      <c r="B3925" s="180"/>
      <c r="C3925" s="35"/>
      <c r="D3925" s="36"/>
      <c r="E3925" s="36"/>
    </row>
    <row r="3926" spans="1:5" x14ac:dyDescent="0.25">
      <c r="A3926" s="28"/>
      <c r="B3926" s="180"/>
      <c r="C3926" s="35"/>
      <c r="D3926" s="36"/>
      <c r="E3926" s="36"/>
    </row>
    <row r="3927" spans="1:5" x14ac:dyDescent="0.25">
      <c r="A3927" s="28"/>
      <c r="B3927" s="180"/>
      <c r="C3927" s="35"/>
      <c r="D3927" s="36"/>
      <c r="E3927" s="36"/>
    </row>
    <row r="3928" spans="1:5" x14ac:dyDescent="0.25">
      <c r="A3928" s="28"/>
      <c r="B3928" s="180"/>
      <c r="C3928" s="35"/>
      <c r="D3928" s="36"/>
      <c r="E3928" s="36"/>
    </row>
    <row r="3929" spans="1:5" x14ac:dyDescent="0.25">
      <c r="A3929" s="28"/>
      <c r="B3929" s="180"/>
      <c r="C3929" s="35"/>
      <c r="D3929" s="36"/>
      <c r="E3929" s="36"/>
    </row>
    <row r="3930" spans="1:5" x14ac:dyDescent="0.25">
      <c r="A3930" s="28"/>
      <c r="B3930" s="180"/>
      <c r="C3930" s="35"/>
      <c r="D3930" s="36"/>
      <c r="E3930" s="36"/>
    </row>
    <row r="3931" spans="1:5" x14ac:dyDescent="0.25">
      <c r="A3931" s="28"/>
      <c r="B3931" s="180"/>
      <c r="C3931" s="35"/>
      <c r="D3931" s="36"/>
      <c r="E3931" s="36"/>
    </row>
    <row r="3932" spans="1:5" x14ac:dyDescent="0.25">
      <c r="A3932" s="28"/>
      <c r="B3932" s="180"/>
      <c r="C3932" s="35"/>
      <c r="D3932" s="36"/>
      <c r="E3932" s="36"/>
    </row>
    <row r="3933" spans="1:5" x14ac:dyDescent="0.25">
      <c r="A3933" s="28"/>
      <c r="B3933" s="180"/>
      <c r="C3933" s="35"/>
      <c r="D3933" s="36"/>
      <c r="E3933" s="36"/>
    </row>
    <row r="3934" spans="1:5" x14ac:dyDescent="0.25">
      <c r="A3934" s="28"/>
      <c r="B3934" s="180"/>
      <c r="C3934" s="35"/>
      <c r="D3934" s="36"/>
      <c r="E3934" s="36"/>
    </row>
    <row r="3935" spans="1:5" x14ac:dyDescent="0.25">
      <c r="A3935" s="28"/>
      <c r="B3935" s="180"/>
      <c r="C3935" s="35"/>
      <c r="D3935" s="36"/>
      <c r="E3935" s="36"/>
    </row>
    <row r="3936" spans="1:5" x14ac:dyDescent="0.25">
      <c r="A3936" s="28"/>
      <c r="B3936" s="180"/>
      <c r="C3936" s="35"/>
      <c r="D3936" s="36"/>
      <c r="E3936" s="36"/>
    </row>
    <row r="3937" spans="1:5" x14ac:dyDescent="0.25">
      <c r="A3937" s="28"/>
      <c r="B3937" s="180"/>
      <c r="C3937" s="35"/>
      <c r="D3937" s="36"/>
      <c r="E3937" s="36"/>
    </row>
    <row r="3938" spans="1:5" x14ac:dyDescent="0.25">
      <c r="A3938" s="28"/>
      <c r="B3938" s="180"/>
      <c r="C3938" s="35"/>
      <c r="D3938" s="36"/>
      <c r="E3938" s="36"/>
    </row>
    <row r="3939" spans="1:5" x14ac:dyDescent="0.25">
      <c r="A3939" s="28"/>
      <c r="B3939" s="180"/>
      <c r="C3939" s="35"/>
      <c r="D3939" s="36"/>
      <c r="E3939" s="36"/>
    </row>
    <row r="3940" spans="1:5" x14ac:dyDescent="0.25">
      <c r="A3940" s="28"/>
      <c r="B3940" s="180"/>
      <c r="C3940" s="35"/>
      <c r="D3940" s="36"/>
      <c r="E3940" s="36"/>
    </row>
    <row r="3941" spans="1:5" x14ac:dyDescent="0.25">
      <c r="A3941" s="28"/>
      <c r="B3941" s="180"/>
      <c r="C3941" s="35"/>
      <c r="D3941" s="36"/>
      <c r="E3941" s="36"/>
    </row>
    <row r="3942" spans="1:5" x14ac:dyDescent="0.25">
      <c r="A3942" s="28"/>
      <c r="B3942" s="180"/>
      <c r="C3942" s="35"/>
      <c r="D3942" s="36"/>
      <c r="E3942" s="36"/>
    </row>
    <row r="3943" spans="1:5" x14ac:dyDescent="0.25">
      <c r="A3943" s="28"/>
      <c r="B3943" s="180"/>
      <c r="C3943" s="35"/>
      <c r="D3943" s="36"/>
      <c r="E3943" s="36"/>
    </row>
    <row r="3944" spans="1:5" x14ac:dyDescent="0.25">
      <c r="A3944" s="28"/>
      <c r="B3944" s="180"/>
      <c r="C3944" s="35"/>
      <c r="D3944" s="36"/>
      <c r="E3944" s="36"/>
    </row>
    <row r="3945" spans="1:5" x14ac:dyDescent="0.25">
      <c r="A3945" s="28"/>
      <c r="B3945" s="180"/>
      <c r="C3945" s="35"/>
      <c r="D3945" s="36"/>
      <c r="E3945" s="36"/>
    </row>
    <row r="3946" spans="1:5" x14ac:dyDescent="0.25">
      <c r="A3946" s="28"/>
      <c r="B3946" s="180"/>
      <c r="C3946" s="35"/>
      <c r="D3946" s="36"/>
      <c r="E3946" s="36"/>
    </row>
    <row r="3947" spans="1:5" x14ac:dyDescent="0.25">
      <c r="A3947" s="28"/>
      <c r="B3947" s="180"/>
      <c r="C3947" s="35"/>
      <c r="D3947" s="36"/>
      <c r="E3947" s="36"/>
    </row>
    <row r="3948" spans="1:5" x14ac:dyDescent="0.25">
      <c r="A3948" s="28"/>
      <c r="B3948" s="180"/>
      <c r="C3948" s="35"/>
      <c r="D3948" s="36"/>
      <c r="E3948" s="36"/>
    </row>
    <row r="3949" spans="1:5" x14ac:dyDescent="0.25">
      <c r="A3949" s="28"/>
      <c r="B3949" s="180"/>
      <c r="C3949" s="35"/>
      <c r="D3949" s="36"/>
      <c r="E3949" s="36"/>
    </row>
    <row r="3950" spans="1:5" x14ac:dyDescent="0.25">
      <c r="A3950" s="28"/>
      <c r="B3950" s="180"/>
      <c r="C3950" s="35"/>
      <c r="D3950" s="36"/>
      <c r="E3950" s="36"/>
    </row>
    <row r="3951" spans="1:5" x14ac:dyDescent="0.25">
      <c r="A3951" s="28"/>
      <c r="B3951" s="180"/>
      <c r="C3951" s="35"/>
      <c r="D3951" s="36"/>
      <c r="E3951" s="36"/>
    </row>
    <row r="3952" spans="1:5" x14ac:dyDescent="0.25">
      <c r="A3952" s="28"/>
      <c r="B3952" s="180"/>
      <c r="C3952" s="35"/>
      <c r="D3952" s="36"/>
      <c r="E3952" s="36"/>
    </row>
    <row r="3953" spans="1:5" x14ac:dyDescent="0.25">
      <c r="A3953" s="28"/>
      <c r="B3953" s="180"/>
      <c r="C3953" s="35"/>
      <c r="D3953" s="36"/>
      <c r="E3953" s="36"/>
    </row>
    <row r="3954" spans="1:5" x14ac:dyDescent="0.25">
      <c r="A3954" s="28"/>
      <c r="B3954" s="180"/>
      <c r="C3954" s="35"/>
      <c r="D3954" s="36"/>
      <c r="E3954" s="36"/>
    </row>
    <row r="3955" spans="1:5" x14ac:dyDescent="0.25">
      <c r="A3955" s="28"/>
      <c r="B3955" s="180"/>
      <c r="C3955" s="35"/>
      <c r="D3955" s="36"/>
      <c r="E3955" s="36"/>
    </row>
    <row r="3956" spans="1:5" x14ac:dyDescent="0.25">
      <c r="A3956" s="28"/>
      <c r="B3956" s="180"/>
      <c r="C3956" s="35"/>
      <c r="D3956" s="36"/>
      <c r="E3956" s="36"/>
    </row>
    <row r="3957" spans="1:5" x14ac:dyDescent="0.25">
      <c r="A3957" s="28"/>
      <c r="B3957" s="180"/>
      <c r="C3957" s="35"/>
      <c r="D3957" s="36"/>
      <c r="E3957" s="36"/>
    </row>
    <row r="3958" spans="1:5" x14ac:dyDescent="0.25">
      <c r="A3958" s="28"/>
      <c r="B3958" s="180"/>
      <c r="C3958" s="35"/>
      <c r="D3958" s="36"/>
      <c r="E3958" s="36"/>
    </row>
    <row r="3959" spans="1:5" x14ac:dyDescent="0.25">
      <c r="A3959" s="28"/>
      <c r="B3959" s="180"/>
      <c r="C3959" s="35"/>
      <c r="D3959" s="36"/>
      <c r="E3959" s="36"/>
    </row>
    <row r="3960" spans="1:5" x14ac:dyDescent="0.25">
      <c r="A3960" s="28"/>
      <c r="B3960" s="180"/>
      <c r="C3960" s="35"/>
      <c r="D3960" s="36"/>
      <c r="E3960" s="36"/>
    </row>
    <row r="3961" spans="1:5" x14ac:dyDescent="0.25">
      <c r="A3961" s="28"/>
      <c r="B3961" s="180"/>
      <c r="C3961" s="35"/>
      <c r="D3961" s="36"/>
      <c r="E3961" s="36"/>
    </row>
    <row r="3962" spans="1:5" x14ac:dyDescent="0.25">
      <c r="A3962" s="28"/>
      <c r="B3962" s="180"/>
      <c r="C3962" s="35"/>
      <c r="D3962" s="36"/>
      <c r="E3962" s="36"/>
    </row>
    <row r="3963" spans="1:5" x14ac:dyDescent="0.25">
      <c r="A3963" s="28"/>
      <c r="B3963" s="180"/>
      <c r="C3963" s="35"/>
      <c r="D3963" s="36"/>
      <c r="E3963" s="36"/>
    </row>
    <row r="3964" spans="1:5" x14ac:dyDescent="0.25">
      <c r="A3964" s="28"/>
      <c r="B3964" s="180"/>
      <c r="C3964" s="35"/>
      <c r="D3964" s="36"/>
      <c r="E3964" s="36"/>
    </row>
    <row r="3965" spans="1:5" x14ac:dyDescent="0.25">
      <c r="A3965" s="28"/>
      <c r="B3965" s="180"/>
      <c r="C3965" s="35"/>
      <c r="D3965" s="36"/>
      <c r="E3965" s="36"/>
    </row>
    <row r="3966" spans="1:5" x14ac:dyDescent="0.25">
      <c r="A3966" s="28"/>
      <c r="B3966" s="180"/>
      <c r="C3966" s="35"/>
      <c r="D3966" s="36"/>
      <c r="E3966" s="36"/>
    </row>
    <row r="3967" spans="1:5" x14ac:dyDescent="0.25">
      <c r="A3967" s="28"/>
      <c r="B3967" s="180"/>
      <c r="C3967" s="35"/>
      <c r="D3967" s="36"/>
      <c r="E3967" s="36"/>
    </row>
    <row r="3968" spans="1:5" x14ac:dyDescent="0.25">
      <c r="A3968" s="28"/>
      <c r="B3968" s="180"/>
      <c r="C3968" s="35"/>
      <c r="D3968" s="36"/>
      <c r="E3968" s="36"/>
    </row>
    <row r="3969" spans="1:5" x14ac:dyDescent="0.25">
      <c r="A3969" s="28"/>
      <c r="B3969" s="180"/>
      <c r="C3969" s="35"/>
      <c r="D3969" s="36"/>
      <c r="E3969" s="36"/>
    </row>
    <row r="3970" spans="1:5" x14ac:dyDescent="0.25">
      <c r="A3970" s="28"/>
      <c r="B3970" s="180"/>
      <c r="C3970" s="35"/>
      <c r="D3970" s="36"/>
      <c r="E3970" s="36"/>
    </row>
    <row r="3971" spans="1:5" x14ac:dyDescent="0.25">
      <c r="A3971" s="28"/>
      <c r="B3971" s="180"/>
      <c r="C3971" s="35"/>
      <c r="D3971" s="36"/>
      <c r="E3971" s="36"/>
    </row>
    <row r="3972" spans="1:5" x14ac:dyDescent="0.25">
      <c r="A3972" s="28"/>
      <c r="B3972" s="180"/>
      <c r="C3972" s="35"/>
      <c r="D3972" s="36"/>
      <c r="E3972" s="36"/>
    </row>
    <row r="3973" spans="1:5" x14ac:dyDescent="0.25">
      <c r="A3973" s="28"/>
      <c r="B3973" s="180"/>
      <c r="C3973" s="35"/>
      <c r="D3973" s="36"/>
      <c r="E3973" s="36"/>
    </row>
    <row r="3974" spans="1:5" x14ac:dyDescent="0.25">
      <c r="A3974" s="28"/>
      <c r="B3974" s="180"/>
      <c r="C3974" s="35"/>
      <c r="D3974" s="36"/>
      <c r="E3974" s="36"/>
    </row>
    <row r="3975" spans="1:5" x14ac:dyDescent="0.25">
      <c r="A3975" s="28"/>
      <c r="B3975" s="180"/>
      <c r="C3975" s="35"/>
      <c r="D3975" s="36"/>
      <c r="E3975" s="36"/>
    </row>
    <row r="3976" spans="1:5" x14ac:dyDescent="0.25">
      <c r="A3976" s="28"/>
      <c r="B3976" s="180"/>
      <c r="C3976" s="35"/>
      <c r="D3976" s="36"/>
      <c r="E3976" s="36"/>
    </row>
    <row r="3977" spans="1:5" x14ac:dyDescent="0.25">
      <c r="A3977" s="28"/>
      <c r="B3977" s="180"/>
      <c r="C3977" s="35"/>
      <c r="D3977" s="36"/>
      <c r="E3977" s="36"/>
    </row>
    <row r="3978" spans="1:5" x14ac:dyDescent="0.25">
      <c r="A3978" s="28"/>
      <c r="B3978" s="180"/>
      <c r="C3978" s="35"/>
      <c r="D3978" s="36"/>
      <c r="E3978" s="36"/>
    </row>
    <row r="3979" spans="1:5" x14ac:dyDescent="0.25">
      <c r="A3979" s="28"/>
      <c r="B3979" s="180"/>
      <c r="C3979" s="35"/>
      <c r="D3979" s="36"/>
      <c r="E3979" s="36"/>
    </row>
    <row r="3980" spans="1:5" x14ac:dyDescent="0.25">
      <c r="A3980" s="28"/>
      <c r="B3980" s="180"/>
      <c r="C3980" s="35"/>
      <c r="D3980" s="36"/>
      <c r="E3980" s="36"/>
    </row>
    <row r="3981" spans="1:5" x14ac:dyDescent="0.25">
      <c r="A3981" s="28"/>
      <c r="B3981" s="180"/>
      <c r="C3981" s="35"/>
      <c r="D3981" s="36"/>
      <c r="E3981" s="36"/>
    </row>
    <row r="3982" spans="1:5" x14ac:dyDescent="0.25">
      <c r="A3982" s="28"/>
      <c r="B3982" s="180"/>
      <c r="C3982" s="35"/>
      <c r="D3982" s="36"/>
      <c r="E3982" s="36"/>
    </row>
    <row r="3983" spans="1:5" x14ac:dyDescent="0.25">
      <c r="A3983" s="28"/>
      <c r="B3983" s="180"/>
      <c r="C3983" s="35"/>
      <c r="D3983" s="36"/>
      <c r="E3983" s="36"/>
    </row>
    <row r="3984" spans="1:5" x14ac:dyDescent="0.25">
      <c r="A3984" s="28"/>
      <c r="B3984" s="180"/>
      <c r="C3984" s="35"/>
      <c r="D3984" s="36"/>
      <c r="E3984" s="36"/>
    </row>
    <row r="3985" spans="1:5" x14ac:dyDescent="0.25">
      <c r="A3985" s="28"/>
      <c r="B3985" s="180"/>
      <c r="C3985" s="35"/>
      <c r="D3985" s="36"/>
      <c r="E3985" s="36"/>
    </row>
    <row r="3986" spans="1:5" x14ac:dyDescent="0.25">
      <c r="A3986" s="28"/>
      <c r="B3986" s="180"/>
      <c r="C3986" s="35"/>
      <c r="D3986" s="36"/>
      <c r="E3986" s="36"/>
    </row>
    <row r="3987" spans="1:5" x14ac:dyDescent="0.25">
      <c r="A3987" s="28"/>
      <c r="B3987" s="180"/>
      <c r="C3987" s="35"/>
      <c r="D3987" s="36"/>
      <c r="E3987" s="36"/>
    </row>
    <row r="3988" spans="1:5" x14ac:dyDescent="0.25">
      <c r="A3988" s="28"/>
      <c r="B3988" s="180"/>
      <c r="C3988" s="35"/>
      <c r="D3988" s="36"/>
      <c r="E3988" s="36"/>
    </row>
    <row r="3989" spans="1:5" x14ac:dyDescent="0.25">
      <c r="A3989" s="28"/>
      <c r="B3989" s="180"/>
      <c r="C3989" s="35"/>
      <c r="D3989" s="36"/>
      <c r="E3989" s="36"/>
    </row>
    <row r="3990" spans="1:5" x14ac:dyDescent="0.25">
      <c r="A3990" s="28"/>
      <c r="B3990" s="180"/>
      <c r="C3990" s="35"/>
      <c r="D3990" s="36"/>
      <c r="E3990" s="36"/>
    </row>
    <row r="3991" spans="1:5" x14ac:dyDescent="0.25">
      <c r="A3991" s="28"/>
      <c r="B3991" s="180"/>
      <c r="C3991" s="35"/>
      <c r="D3991" s="36"/>
      <c r="E3991" s="36"/>
    </row>
    <row r="3992" spans="1:5" x14ac:dyDescent="0.25">
      <c r="A3992" s="28"/>
      <c r="B3992" s="180"/>
      <c r="C3992" s="35"/>
      <c r="D3992" s="36"/>
      <c r="E3992" s="36"/>
    </row>
    <row r="3993" spans="1:5" x14ac:dyDescent="0.25">
      <c r="A3993" s="28"/>
      <c r="B3993" s="180"/>
      <c r="C3993" s="35"/>
      <c r="D3993" s="36"/>
      <c r="E3993" s="36"/>
    </row>
    <row r="3994" spans="1:5" x14ac:dyDescent="0.25">
      <c r="A3994" s="28"/>
      <c r="B3994" s="180"/>
      <c r="C3994" s="35"/>
      <c r="D3994" s="36"/>
      <c r="E3994" s="36"/>
    </row>
    <row r="3995" spans="1:5" x14ac:dyDescent="0.25">
      <c r="A3995" s="28"/>
      <c r="B3995" s="180"/>
      <c r="C3995" s="35"/>
      <c r="D3995" s="36"/>
      <c r="E3995" s="36"/>
    </row>
    <row r="3996" spans="1:5" x14ac:dyDescent="0.25">
      <c r="A3996" s="28"/>
      <c r="B3996" s="180"/>
      <c r="C3996" s="35"/>
      <c r="D3996" s="36"/>
      <c r="E3996" s="36"/>
    </row>
    <row r="3997" spans="1:5" x14ac:dyDescent="0.25">
      <c r="A3997" s="28"/>
      <c r="B3997" s="180"/>
      <c r="C3997" s="35"/>
      <c r="D3997" s="36"/>
      <c r="E3997" s="36"/>
    </row>
    <row r="3998" spans="1:5" x14ac:dyDescent="0.25">
      <c r="A3998" s="28"/>
      <c r="B3998" s="180"/>
      <c r="C3998" s="35"/>
      <c r="D3998" s="36"/>
      <c r="E3998" s="36"/>
    </row>
    <row r="3999" spans="1:5" x14ac:dyDescent="0.25">
      <c r="A3999" s="28"/>
      <c r="B3999" s="180"/>
      <c r="C3999" s="35"/>
      <c r="D3999" s="36"/>
      <c r="E3999" s="36"/>
    </row>
    <row r="4000" spans="1:5" x14ac:dyDescent="0.25">
      <c r="A4000" s="28"/>
      <c r="B4000" s="180"/>
      <c r="C4000" s="35"/>
      <c r="D4000" s="36"/>
      <c r="E4000" s="36"/>
    </row>
    <row r="4001" spans="1:5" x14ac:dyDescent="0.25">
      <c r="A4001" s="28"/>
      <c r="B4001" s="180"/>
      <c r="C4001" s="35"/>
      <c r="D4001" s="36"/>
      <c r="E4001" s="36"/>
    </row>
    <row r="4002" spans="1:5" x14ac:dyDescent="0.25">
      <c r="A4002" s="28"/>
      <c r="B4002" s="180"/>
      <c r="C4002" s="35"/>
      <c r="D4002" s="36"/>
      <c r="E4002" s="36"/>
    </row>
    <row r="4003" spans="1:5" x14ac:dyDescent="0.25">
      <c r="A4003" s="28"/>
      <c r="B4003" s="180"/>
      <c r="C4003" s="35"/>
      <c r="D4003" s="36"/>
      <c r="E4003" s="36"/>
    </row>
    <row r="4004" spans="1:5" x14ac:dyDescent="0.25">
      <c r="A4004" s="28"/>
      <c r="B4004" s="180"/>
      <c r="C4004" s="35"/>
      <c r="D4004" s="36"/>
      <c r="E4004" s="36"/>
    </row>
    <row r="4005" spans="1:5" x14ac:dyDescent="0.25">
      <c r="A4005" s="28"/>
      <c r="B4005" s="180"/>
      <c r="C4005" s="35"/>
      <c r="D4005" s="36"/>
      <c r="E4005" s="36"/>
    </row>
    <row r="4006" spans="1:5" x14ac:dyDescent="0.25">
      <c r="A4006" s="28"/>
      <c r="B4006" s="180"/>
      <c r="C4006" s="35"/>
      <c r="D4006" s="36"/>
      <c r="E4006" s="36"/>
    </row>
    <row r="4007" spans="1:5" x14ac:dyDescent="0.25">
      <c r="A4007" s="28"/>
      <c r="B4007" s="180"/>
      <c r="C4007" s="35"/>
      <c r="D4007" s="36"/>
      <c r="E4007" s="36"/>
    </row>
    <row r="4008" spans="1:5" x14ac:dyDescent="0.25">
      <c r="A4008" s="28"/>
      <c r="B4008" s="180"/>
      <c r="C4008" s="35"/>
      <c r="D4008" s="36"/>
      <c r="E4008" s="36"/>
    </row>
    <row r="4009" spans="1:5" x14ac:dyDescent="0.25">
      <c r="A4009" s="28"/>
      <c r="B4009" s="180"/>
      <c r="C4009" s="35"/>
      <c r="D4009" s="36"/>
      <c r="E4009" s="36"/>
    </row>
    <row r="4010" spans="1:5" x14ac:dyDescent="0.25">
      <c r="A4010" s="28"/>
      <c r="B4010" s="180"/>
      <c r="C4010" s="35"/>
      <c r="D4010" s="36"/>
      <c r="E4010" s="36"/>
    </row>
    <row r="4011" spans="1:5" x14ac:dyDescent="0.25">
      <c r="A4011" s="28"/>
      <c r="B4011" s="180"/>
      <c r="C4011" s="35"/>
      <c r="D4011" s="36"/>
      <c r="E4011" s="36"/>
    </row>
    <row r="4012" spans="1:5" x14ac:dyDescent="0.25">
      <c r="A4012" s="28"/>
      <c r="B4012" s="180"/>
      <c r="C4012" s="35"/>
      <c r="D4012" s="36"/>
      <c r="E4012" s="36"/>
    </row>
    <row r="4013" spans="1:5" x14ac:dyDescent="0.25">
      <c r="A4013" s="28"/>
      <c r="B4013" s="180"/>
      <c r="C4013" s="35"/>
      <c r="D4013" s="36"/>
      <c r="E4013" s="36"/>
    </row>
    <row r="4014" spans="1:5" x14ac:dyDescent="0.25">
      <c r="A4014" s="28"/>
      <c r="B4014" s="180"/>
      <c r="C4014" s="35"/>
      <c r="D4014" s="36"/>
      <c r="E4014" s="36"/>
    </row>
    <row r="4015" spans="1:5" x14ac:dyDescent="0.25">
      <c r="A4015" s="28"/>
      <c r="B4015" s="180"/>
      <c r="C4015" s="35"/>
      <c r="D4015" s="36"/>
      <c r="E4015" s="36"/>
    </row>
    <row r="4016" spans="1:5" x14ac:dyDescent="0.25">
      <c r="A4016" s="28"/>
      <c r="B4016" s="180"/>
      <c r="C4016" s="35"/>
      <c r="D4016" s="36"/>
      <c r="E4016" s="36"/>
    </row>
    <row r="4017" spans="1:5" x14ac:dyDescent="0.25">
      <c r="A4017" s="28"/>
      <c r="B4017" s="180"/>
      <c r="C4017" s="35"/>
      <c r="D4017" s="36"/>
      <c r="E4017" s="36"/>
    </row>
    <row r="4018" spans="1:5" x14ac:dyDescent="0.25">
      <c r="A4018" s="28"/>
      <c r="B4018" s="180"/>
      <c r="C4018" s="35"/>
      <c r="D4018" s="36"/>
      <c r="E4018" s="36"/>
    </row>
    <row r="4019" spans="1:5" x14ac:dyDescent="0.25">
      <c r="A4019" s="28"/>
      <c r="B4019" s="180"/>
      <c r="C4019" s="35"/>
      <c r="D4019" s="36"/>
      <c r="E4019" s="36"/>
    </row>
    <row r="4020" spans="1:5" x14ac:dyDescent="0.25">
      <c r="A4020" s="28"/>
      <c r="B4020" s="180"/>
      <c r="C4020" s="35"/>
      <c r="D4020" s="36"/>
      <c r="E4020" s="36"/>
    </row>
    <row r="4021" spans="1:5" x14ac:dyDescent="0.25">
      <c r="A4021" s="28"/>
      <c r="B4021" s="180"/>
      <c r="C4021" s="35"/>
      <c r="D4021" s="36"/>
      <c r="E4021" s="36"/>
    </row>
    <row r="4022" spans="1:5" x14ac:dyDescent="0.25">
      <c r="A4022" s="28"/>
      <c r="B4022" s="180"/>
      <c r="C4022" s="35"/>
      <c r="D4022" s="36"/>
      <c r="E4022" s="36"/>
    </row>
    <row r="4023" spans="1:5" x14ac:dyDescent="0.25">
      <c r="A4023" s="28"/>
      <c r="B4023" s="180"/>
      <c r="C4023" s="35"/>
      <c r="D4023" s="36"/>
      <c r="E4023" s="36"/>
    </row>
    <row r="4024" spans="1:5" x14ac:dyDescent="0.25">
      <c r="A4024" s="28"/>
      <c r="B4024" s="180"/>
      <c r="C4024" s="35"/>
      <c r="D4024" s="36"/>
      <c r="E4024" s="36"/>
    </row>
    <row r="4025" spans="1:5" x14ac:dyDescent="0.25">
      <c r="A4025" s="28"/>
      <c r="B4025" s="180"/>
      <c r="C4025" s="35"/>
      <c r="D4025" s="36"/>
      <c r="E4025" s="36"/>
    </row>
    <row r="4026" spans="1:5" x14ac:dyDescent="0.25">
      <c r="A4026" s="28"/>
      <c r="B4026" s="180"/>
      <c r="C4026" s="35"/>
      <c r="D4026" s="36"/>
      <c r="E4026" s="36"/>
    </row>
    <row r="4027" spans="1:5" x14ac:dyDescent="0.25">
      <c r="A4027" s="28"/>
      <c r="B4027" s="180"/>
      <c r="C4027" s="35"/>
      <c r="D4027" s="36"/>
      <c r="E4027" s="36"/>
    </row>
    <row r="4028" spans="1:5" x14ac:dyDescent="0.25">
      <c r="A4028" s="28"/>
      <c r="B4028" s="180"/>
      <c r="C4028" s="35"/>
      <c r="D4028" s="36"/>
      <c r="E4028" s="36"/>
    </row>
    <row r="4029" spans="1:5" x14ac:dyDescent="0.25">
      <c r="A4029" s="28"/>
      <c r="B4029" s="180"/>
      <c r="C4029" s="35"/>
      <c r="D4029" s="36"/>
      <c r="E4029" s="36"/>
    </row>
    <row r="4030" spans="1:5" x14ac:dyDescent="0.25">
      <c r="A4030" s="28"/>
      <c r="B4030" s="180"/>
      <c r="C4030" s="35"/>
      <c r="D4030" s="36"/>
      <c r="E4030" s="36"/>
    </row>
    <row r="4031" spans="1:5" x14ac:dyDescent="0.25">
      <c r="A4031" s="28"/>
      <c r="B4031" s="180"/>
      <c r="C4031" s="35"/>
      <c r="D4031" s="36"/>
      <c r="E4031" s="36"/>
    </row>
    <row r="4032" spans="1:5" x14ac:dyDescent="0.25">
      <c r="A4032" s="28"/>
      <c r="B4032" s="180"/>
      <c r="C4032" s="35"/>
      <c r="D4032" s="36"/>
      <c r="E4032" s="36"/>
    </row>
    <row r="4033" spans="1:5" x14ac:dyDescent="0.25">
      <c r="A4033" s="28"/>
      <c r="B4033" s="180"/>
      <c r="C4033" s="35"/>
      <c r="D4033" s="36"/>
      <c r="E4033" s="36"/>
    </row>
    <row r="4034" spans="1:5" x14ac:dyDescent="0.25">
      <c r="A4034" s="28"/>
      <c r="B4034" s="180"/>
      <c r="C4034" s="35"/>
      <c r="D4034" s="36"/>
      <c r="E4034" s="36"/>
    </row>
    <row r="4035" spans="1:5" x14ac:dyDescent="0.25">
      <c r="A4035" s="28"/>
      <c r="B4035" s="180"/>
      <c r="C4035" s="35"/>
      <c r="D4035" s="36"/>
      <c r="E4035" s="36"/>
    </row>
    <row r="4036" spans="1:5" x14ac:dyDescent="0.25">
      <c r="A4036" s="28"/>
      <c r="B4036" s="180"/>
      <c r="C4036" s="35"/>
      <c r="D4036" s="36"/>
      <c r="E4036" s="36"/>
    </row>
    <row r="4037" spans="1:5" x14ac:dyDescent="0.25">
      <c r="A4037" s="28"/>
      <c r="B4037" s="180"/>
      <c r="C4037" s="35"/>
      <c r="D4037" s="36"/>
      <c r="E4037" s="36"/>
    </row>
    <row r="4038" spans="1:5" x14ac:dyDescent="0.25">
      <c r="A4038" s="28"/>
      <c r="B4038" s="180"/>
      <c r="C4038" s="35"/>
      <c r="D4038" s="36"/>
      <c r="E4038" s="36"/>
    </row>
    <row r="4039" spans="1:5" x14ac:dyDescent="0.25">
      <c r="A4039" s="28"/>
      <c r="B4039" s="180"/>
      <c r="C4039" s="35"/>
      <c r="D4039" s="36"/>
      <c r="E4039" s="36"/>
    </row>
    <row r="4040" spans="1:5" x14ac:dyDescent="0.25">
      <c r="A4040" s="28"/>
      <c r="B4040" s="180"/>
      <c r="C4040" s="35"/>
      <c r="D4040" s="36"/>
      <c r="E4040" s="36"/>
    </row>
    <row r="4041" spans="1:5" x14ac:dyDescent="0.25">
      <c r="A4041" s="28"/>
      <c r="B4041" s="180"/>
      <c r="C4041" s="35"/>
      <c r="D4041" s="36"/>
      <c r="E4041" s="36"/>
    </row>
    <row r="4042" spans="1:5" x14ac:dyDescent="0.25">
      <c r="A4042" s="28"/>
      <c r="B4042" s="180"/>
      <c r="C4042" s="35"/>
      <c r="D4042" s="36"/>
      <c r="E4042" s="36"/>
    </row>
    <row r="4043" spans="1:5" x14ac:dyDescent="0.25">
      <c r="A4043" s="28"/>
      <c r="B4043" s="180"/>
      <c r="C4043" s="35"/>
      <c r="D4043" s="36"/>
      <c r="E4043" s="36"/>
    </row>
    <row r="4044" spans="1:5" x14ac:dyDescent="0.25">
      <c r="A4044" s="28"/>
      <c r="B4044" s="180"/>
      <c r="C4044" s="35"/>
      <c r="D4044" s="36"/>
      <c r="E4044" s="36"/>
    </row>
    <row r="4045" spans="1:5" x14ac:dyDescent="0.25">
      <c r="A4045" s="28"/>
      <c r="B4045" s="180"/>
      <c r="C4045" s="35"/>
      <c r="D4045" s="36"/>
      <c r="E4045" s="36"/>
    </row>
    <row r="4046" spans="1:5" x14ac:dyDescent="0.25">
      <c r="A4046" s="28"/>
      <c r="B4046" s="180"/>
      <c r="C4046" s="35"/>
      <c r="D4046" s="36"/>
      <c r="E4046" s="36"/>
    </row>
    <row r="4047" spans="1:5" x14ac:dyDescent="0.25">
      <c r="A4047" s="28"/>
      <c r="B4047" s="180"/>
      <c r="C4047" s="35"/>
      <c r="D4047" s="36"/>
      <c r="E4047" s="36"/>
    </row>
    <row r="4048" spans="1:5" x14ac:dyDescent="0.25">
      <c r="A4048" s="28"/>
      <c r="B4048" s="180"/>
      <c r="C4048" s="35"/>
      <c r="D4048" s="36"/>
      <c r="E4048" s="36"/>
    </row>
    <row r="4049" spans="1:5" x14ac:dyDescent="0.25">
      <c r="A4049" s="28"/>
      <c r="B4049" s="180"/>
      <c r="C4049" s="35"/>
      <c r="D4049" s="36"/>
      <c r="E4049" s="36"/>
    </row>
    <row r="4050" spans="1:5" x14ac:dyDescent="0.25">
      <c r="A4050" s="28"/>
      <c r="B4050" s="180"/>
      <c r="C4050" s="35"/>
      <c r="D4050" s="36"/>
      <c r="E4050" s="36"/>
    </row>
    <row r="4051" spans="1:5" x14ac:dyDescent="0.25">
      <c r="A4051" s="28"/>
      <c r="B4051" s="180"/>
      <c r="C4051" s="35"/>
      <c r="D4051" s="36"/>
      <c r="E4051" s="36"/>
    </row>
    <row r="4052" spans="1:5" x14ac:dyDescent="0.25">
      <c r="A4052" s="28"/>
      <c r="B4052" s="180"/>
      <c r="C4052" s="35"/>
      <c r="D4052" s="36"/>
      <c r="E4052" s="36"/>
    </row>
    <row r="4053" spans="1:5" x14ac:dyDescent="0.25">
      <c r="A4053" s="28"/>
      <c r="B4053" s="180"/>
      <c r="C4053" s="35"/>
      <c r="D4053" s="36"/>
      <c r="E4053" s="36"/>
    </row>
    <row r="4054" spans="1:5" x14ac:dyDescent="0.25">
      <c r="A4054" s="28"/>
      <c r="B4054" s="180"/>
      <c r="C4054" s="35"/>
      <c r="D4054" s="36"/>
      <c r="E4054" s="36"/>
    </row>
    <row r="4055" spans="1:5" x14ac:dyDescent="0.25">
      <c r="A4055" s="28"/>
      <c r="B4055" s="180"/>
      <c r="C4055" s="35"/>
      <c r="D4055" s="36"/>
      <c r="E4055" s="36"/>
    </row>
    <row r="4056" spans="1:5" x14ac:dyDescent="0.25">
      <c r="A4056" s="28"/>
      <c r="B4056" s="180"/>
      <c r="C4056" s="35"/>
      <c r="D4056" s="36"/>
      <c r="E4056" s="36"/>
    </row>
    <row r="4057" spans="1:5" x14ac:dyDescent="0.25">
      <c r="A4057" s="28"/>
      <c r="B4057" s="180"/>
      <c r="C4057" s="35"/>
      <c r="D4057" s="36"/>
      <c r="E4057" s="36"/>
    </row>
    <row r="4058" spans="1:5" x14ac:dyDescent="0.25">
      <c r="A4058" s="28"/>
      <c r="B4058" s="180"/>
      <c r="C4058" s="35"/>
      <c r="D4058" s="36"/>
      <c r="E4058" s="36"/>
    </row>
    <row r="4059" spans="1:5" x14ac:dyDescent="0.25">
      <c r="A4059" s="28"/>
      <c r="B4059" s="180"/>
      <c r="C4059" s="35"/>
      <c r="D4059" s="36"/>
      <c r="E4059" s="36"/>
    </row>
    <row r="4060" spans="1:5" x14ac:dyDescent="0.25">
      <c r="A4060" s="28"/>
      <c r="B4060" s="180"/>
      <c r="C4060" s="35"/>
      <c r="D4060" s="36"/>
      <c r="E4060" s="36"/>
    </row>
    <row r="4061" spans="1:5" x14ac:dyDescent="0.25">
      <c r="A4061" s="28"/>
      <c r="B4061" s="180"/>
      <c r="C4061" s="35"/>
      <c r="D4061" s="36"/>
      <c r="E4061" s="36"/>
    </row>
    <row r="4062" spans="1:5" x14ac:dyDescent="0.25">
      <c r="A4062" s="28"/>
      <c r="B4062" s="180"/>
      <c r="C4062" s="35"/>
      <c r="D4062" s="36"/>
      <c r="E4062" s="36"/>
    </row>
    <row r="4063" spans="1:5" x14ac:dyDescent="0.25">
      <c r="A4063" s="28"/>
      <c r="B4063" s="180"/>
      <c r="C4063" s="35"/>
      <c r="D4063" s="36"/>
      <c r="E4063" s="36"/>
    </row>
    <row r="4064" spans="1:5" x14ac:dyDescent="0.25">
      <c r="A4064" s="28"/>
      <c r="B4064" s="180"/>
      <c r="C4064" s="35"/>
      <c r="D4064" s="36"/>
      <c r="E4064" s="36"/>
    </row>
    <row r="4065" spans="1:5" x14ac:dyDescent="0.25">
      <c r="A4065" s="28"/>
      <c r="B4065" s="180"/>
      <c r="C4065" s="35"/>
      <c r="D4065" s="36"/>
      <c r="E4065" s="36"/>
    </row>
    <row r="4066" spans="1:5" x14ac:dyDescent="0.25">
      <c r="A4066" s="28"/>
      <c r="B4066" s="180"/>
      <c r="C4066" s="35"/>
      <c r="D4066" s="36"/>
      <c r="E4066" s="36"/>
    </row>
    <row r="4067" spans="1:5" x14ac:dyDescent="0.25">
      <c r="A4067" s="28"/>
      <c r="B4067" s="180"/>
      <c r="C4067" s="35"/>
      <c r="D4067" s="36"/>
      <c r="E4067" s="36"/>
    </row>
    <row r="4068" spans="1:5" x14ac:dyDescent="0.25">
      <c r="A4068" s="28"/>
      <c r="B4068" s="180"/>
      <c r="C4068" s="35"/>
      <c r="D4068" s="36"/>
      <c r="E4068" s="36"/>
    </row>
    <row r="4069" spans="1:5" x14ac:dyDescent="0.25">
      <c r="A4069" s="28"/>
      <c r="B4069" s="180"/>
      <c r="C4069" s="35"/>
      <c r="D4069" s="36"/>
      <c r="E4069" s="36"/>
    </row>
    <row r="4070" spans="1:5" x14ac:dyDescent="0.25">
      <c r="A4070" s="28"/>
      <c r="B4070" s="180"/>
      <c r="C4070" s="35"/>
      <c r="D4070" s="36"/>
      <c r="E4070" s="36"/>
    </row>
    <row r="4071" spans="1:5" x14ac:dyDescent="0.25">
      <c r="A4071" s="28"/>
      <c r="B4071" s="180"/>
      <c r="C4071" s="35"/>
      <c r="D4071" s="36"/>
      <c r="E4071" s="36"/>
    </row>
    <row r="4072" spans="1:5" x14ac:dyDescent="0.25">
      <c r="A4072" s="28"/>
      <c r="B4072" s="180"/>
      <c r="C4072" s="35"/>
      <c r="D4072" s="36"/>
      <c r="E4072" s="36"/>
    </row>
    <row r="4073" spans="1:5" x14ac:dyDescent="0.25">
      <c r="A4073" s="28"/>
      <c r="B4073" s="180"/>
      <c r="C4073" s="35"/>
      <c r="D4073" s="36"/>
      <c r="E4073" s="36"/>
    </row>
    <row r="4074" spans="1:5" x14ac:dyDescent="0.25">
      <c r="A4074" s="28"/>
      <c r="B4074" s="180"/>
      <c r="C4074" s="35"/>
      <c r="D4074" s="36"/>
      <c r="E4074" s="36"/>
    </row>
    <row r="4075" spans="1:5" x14ac:dyDescent="0.25">
      <c r="A4075" s="28"/>
      <c r="B4075" s="180"/>
      <c r="C4075" s="35"/>
      <c r="D4075" s="36"/>
      <c r="E4075" s="36"/>
    </row>
    <row r="4076" spans="1:5" x14ac:dyDescent="0.25">
      <c r="A4076" s="28"/>
      <c r="B4076" s="180"/>
      <c r="C4076" s="35"/>
      <c r="D4076" s="36"/>
      <c r="E4076" s="36"/>
    </row>
    <row r="4077" spans="1:5" x14ac:dyDescent="0.25">
      <c r="A4077" s="28"/>
      <c r="B4077" s="180"/>
      <c r="C4077" s="35"/>
      <c r="D4077" s="36"/>
      <c r="E4077" s="36"/>
    </row>
    <row r="4078" spans="1:5" x14ac:dyDescent="0.25">
      <c r="A4078" s="28"/>
      <c r="B4078" s="180"/>
      <c r="C4078" s="35"/>
      <c r="D4078" s="36"/>
      <c r="E4078" s="36"/>
    </row>
    <row r="4079" spans="1:5" x14ac:dyDescent="0.25">
      <c r="A4079" s="28"/>
      <c r="B4079" s="180"/>
      <c r="C4079" s="35"/>
      <c r="D4079" s="36"/>
      <c r="E4079" s="36"/>
    </row>
    <row r="4080" spans="1:5" x14ac:dyDescent="0.25">
      <c r="A4080" s="28"/>
      <c r="B4080" s="180"/>
      <c r="C4080" s="35"/>
      <c r="D4080" s="36"/>
      <c r="E4080" s="36"/>
    </row>
    <row r="4081" spans="1:5" x14ac:dyDescent="0.25">
      <c r="A4081" s="28"/>
      <c r="B4081" s="180"/>
      <c r="C4081" s="35"/>
      <c r="D4081" s="36"/>
      <c r="E4081" s="36"/>
    </row>
    <row r="4082" spans="1:5" x14ac:dyDescent="0.25">
      <c r="A4082" s="28"/>
      <c r="B4082" s="180"/>
      <c r="C4082" s="35"/>
      <c r="D4082" s="36"/>
      <c r="E4082" s="36"/>
    </row>
    <row r="4083" spans="1:5" x14ac:dyDescent="0.25">
      <c r="A4083" s="28"/>
      <c r="B4083" s="180"/>
      <c r="C4083" s="35"/>
      <c r="D4083" s="36"/>
      <c r="E4083" s="36"/>
    </row>
    <row r="4084" spans="1:5" x14ac:dyDescent="0.25">
      <c r="A4084" s="28"/>
      <c r="B4084" s="180"/>
      <c r="C4084" s="35"/>
      <c r="D4084" s="36"/>
      <c r="E4084" s="36"/>
    </row>
    <row r="4085" spans="1:5" x14ac:dyDescent="0.25">
      <c r="A4085" s="28"/>
      <c r="B4085" s="180"/>
      <c r="C4085" s="35"/>
      <c r="D4085" s="36"/>
      <c r="E4085" s="36"/>
    </row>
    <row r="4086" spans="1:5" x14ac:dyDescent="0.25">
      <c r="A4086" s="28"/>
      <c r="B4086" s="180"/>
      <c r="C4086" s="35"/>
      <c r="D4086" s="36"/>
      <c r="E4086" s="36"/>
    </row>
    <row r="4087" spans="1:5" x14ac:dyDescent="0.25">
      <c r="A4087" s="28"/>
      <c r="B4087" s="180"/>
      <c r="C4087" s="35"/>
      <c r="D4087" s="36"/>
      <c r="E4087" s="36"/>
    </row>
    <row r="4088" spans="1:5" x14ac:dyDescent="0.25">
      <c r="A4088" s="28"/>
      <c r="B4088" s="180"/>
      <c r="C4088" s="35"/>
      <c r="D4088" s="36"/>
      <c r="E4088" s="36"/>
    </row>
    <row r="4089" spans="1:5" x14ac:dyDescent="0.25">
      <c r="A4089" s="28"/>
      <c r="B4089" s="180"/>
      <c r="C4089" s="35"/>
      <c r="D4089" s="36"/>
      <c r="E4089" s="36"/>
    </row>
    <row r="4090" spans="1:5" x14ac:dyDescent="0.25">
      <c r="A4090" s="28"/>
      <c r="B4090" s="180"/>
      <c r="C4090" s="35"/>
      <c r="D4090" s="36"/>
      <c r="E4090" s="36"/>
    </row>
    <row r="4091" spans="1:5" x14ac:dyDescent="0.25">
      <c r="A4091" s="28"/>
      <c r="B4091" s="180"/>
      <c r="C4091" s="35"/>
      <c r="D4091" s="36"/>
      <c r="E4091" s="36"/>
    </row>
    <row r="4092" spans="1:5" x14ac:dyDescent="0.25">
      <c r="A4092" s="28"/>
      <c r="B4092" s="180"/>
      <c r="C4092" s="35"/>
      <c r="D4092" s="36"/>
      <c r="E4092" s="36"/>
    </row>
    <row r="4093" spans="1:5" x14ac:dyDescent="0.25">
      <c r="A4093" s="28"/>
      <c r="B4093" s="180"/>
      <c r="C4093" s="35"/>
      <c r="D4093" s="36"/>
      <c r="E4093" s="36"/>
    </row>
    <row r="4094" spans="1:5" x14ac:dyDescent="0.25">
      <c r="A4094" s="28"/>
      <c r="B4094" s="180"/>
      <c r="C4094" s="35"/>
      <c r="D4094" s="36"/>
      <c r="E4094" s="36"/>
    </row>
    <row r="4095" spans="1:5" x14ac:dyDescent="0.25">
      <c r="A4095" s="28"/>
      <c r="B4095" s="180"/>
      <c r="C4095" s="35"/>
      <c r="D4095" s="36"/>
      <c r="E4095" s="36"/>
    </row>
    <row r="4096" spans="1:5" x14ac:dyDescent="0.25">
      <c r="A4096" s="28"/>
      <c r="B4096" s="180"/>
      <c r="C4096" s="35"/>
      <c r="D4096" s="36"/>
      <c r="E4096" s="36"/>
    </row>
    <row r="4097" spans="1:5" x14ac:dyDescent="0.25">
      <c r="A4097" s="28"/>
      <c r="B4097" s="180"/>
      <c r="C4097" s="35"/>
      <c r="D4097" s="36"/>
      <c r="E4097" s="36"/>
    </row>
    <row r="4098" spans="1:5" x14ac:dyDescent="0.25">
      <c r="A4098" s="28"/>
      <c r="B4098" s="180"/>
      <c r="C4098" s="35"/>
      <c r="D4098" s="36"/>
      <c r="E4098" s="36"/>
    </row>
    <row r="4099" spans="1:5" x14ac:dyDescent="0.25">
      <c r="A4099" s="28"/>
      <c r="B4099" s="180"/>
      <c r="C4099" s="35"/>
      <c r="D4099" s="36"/>
      <c r="E4099" s="36"/>
    </row>
    <row r="4100" spans="1:5" x14ac:dyDescent="0.25">
      <c r="A4100" s="28"/>
      <c r="B4100" s="180"/>
      <c r="C4100" s="35"/>
      <c r="D4100" s="36"/>
      <c r="E4100" s="36"/>
    </row>
    <row r="4101" spans="1:5" x14ac:dyDescent="0.25">
      <c r="A4101" s="28"/>
      <c r="B4101" s="180"/>
      <c r="C4101" s="35"/>
      <c r="D4101" s="36"/>
      <c r="E4101" s="36"/>
    </row>
    <row r="4102" spans="1:5" x14ac:dyDescent="0.25">
      <c r="A4102" s="28"/>
      <c r="B4102" s="180"/>
      <c r="C4102" s="35"/>
      <c r="D4102" s="36"/>
      <c r="E4102" s="36"/>
    </row>
    <row r="4103" spans="1:5" x14ac:dyDescent="0.25">
      <c r="A4103" s="28"/>
      <c r="B4103" s="180"/>
      <c r="C4103" s="35"/>
      <c r="D4103" s="36"/>
      <c r="E4103" s="36"/>
    </row>
    <row r="4104" spans="1:5" x14ac:dyDescent="0.25">
      <c r="A4104" s="28"/>
      <c r="B4104" s="180"/>
      <c r="C4104" s="35"/>
      <c r="D4104" s="36"/>
      <c r="E4104" s="36"/>
    </row>
    <row r="4105" spans="1:5" x14ac:dyDescent="0.25">
      <c r="A4105" s="28"/>
      <c r="B4105" s="180"/>
      <c r="C4105" s="35"/>
      <c r="D4105" s="36"/>
      <c r="E4105" s="36"/>
    </row>
    <row r="4106" spans="1:5" x14ac:dyDescent="0.25">
      <c r="A4106" s="28"/>
      <c r="B4106" s="180"/>
      <c r="C4106" s="35"/>
      <c r="D4106" s="36"/>
      <c r="E4106" s="36"/>
    </row>
    <row r="4107" spans="1:5" x14ac:dyDescent="0.25">
      <c r="A4107" s="28"/>
      <c r="B4107" s="180"/>
      <c r="C4107" s="35"/>
      <c r="D4107" s="36"/>
      <c r="E4107" s="36"/>
    </row>
    <row r="4108" spans="1:5" x14ac:dyDescent="0.25">
      <c r="A4108" s="28"/>
      <c r="B4108" s="180"/>
      <c r="C4108" s="35"/>
      <c r="D4108" s="36"/>
      <c r="E4108" s="36"/>
    </row>
    <row r="4109" spans="1:5" x14ac:dyDescent="0.25">
      <c r="A4109" s="28"/>
      <c r="B4109" s="180"/>
      <c r="C4109" s="35"/>
      <c r="D4109" s="36"/>
      <c r="E4109" s="36"/>
    </row>
    <row r="4110" spans="1:5" x14ac:dyDescent="0.25">
      <c r="A4110" s="28"/>
      <c r="B4110" s="180"/>
      <c r="C4110" s="35"/>
      <c r="D4110" s="36"/>
      <c r="E4110" s="36"/>
    </row>
    <row r="4111" spans="1:5" x14ac:dyDescent="0.25">
      <c r="A4111" s="28"/>
      <c r="B4111" s="180"/>
      <c r="C4111" s="35"/>
      <c r="D4111" s="36"/>
      <c r="E4111" s="36"/>
    </row>
    <row r="4112" spans="1:5" x14ac:dyDescent="0.25">
      <c r="A4112" s="28"/>
      <c r="B4112" s="180"/>
      <c r="C4112" s="35"/>
      <c r="D4112" s="36"/>
      <c r="E4112" s="36"/>
    </row>
    <row r="4113" spans="1:5" x14ac:dyDescent="0.25">
      <c r="A4113" s="28"/>
      <c r="B4113" s="180"/>
      <c r="C4113" s="35"/>
      <c r="D4113" s="36"/>
      <c r="E4113" s="36"/>
    </row>
    <row r="4114" spans="1:5" x14ac:dyDescent="0.25">
      <c r="A4114" s="28"/>
      <c r="B4114" s="180"/>
      <c r="C4114" s="35"/>
      <c r="D4114" s="36"/>
      <c r="E4114" s="36"/>
    </row>
    <row r="4115" spans="1:5" x14ac:dyDescent="0.25">
      <c r="A4115" s="28"/>
      <c r="B4115" s="180"/>
      <c r="C4115" s="35"/>
      <c r="D4115" s="36"/>
      <c r="E4115" s="36"/>
    </row>
    <row r="4116" spans="1:5" x14ac:dyDescent="0.25">
      <c r="A4116" s="28"/>
      <c r="B4116" s="180"/>
      <c r="C4116" s="35"/>
      <c r="D4116" s="36"/>
      <c r="E4116" s="36"/>
    </row>
    <row r="4117" spans="1:5" x14ac:dyDescent="0.25">
      <c r="A4117" s="28"/>
      <c r="B4117" s="180"/>
      <c r="C4117" s="35"/>
      <c r="D4117" s="36"/>
      <c r="E4117" s="36"/>
    </row>
    <row r="4118" spans="1:5" x14ac:dyDescent="0.25">
      <c r="A4118" s="28"/>
      <c r="B4118" s="180"/>
      <c r="C4118" s="35"/>
      <c r="D4118" s="36"/>
      <c r="E4118" s="36"/>
    </row>
    <row r="4119" spans="1:5" x14ac:dyDescent="0.25">
      <c r="A4119" s="28"/>
      <c r="B4119" s="180"/>
      <c r="C4119" s="35"/>
      <c r="D4119" s="36"/>
      <c r="E4119" s="36"/>
    </row>
    <row r="4120" spans="1:5" x14ac:dyDescent="0.25">
      <c r="A4120" s="28"/>
      <c r="B4120" s="180"/>
      <c r="C4120" s="35"/>
      <c r="D4120" s="36"/>
      <c r="E4120" s="36"/>
    </row>
    <row r="4121" spans="1:5" x14ac:dyDescent="0.25">
      <c r="A4121" s="28"/>
      <c r="B4121" s="180"/>
      <c r="C4121" s="35"/>
      <c r="D4121" s="36"/>
      <c r="E4121" s="36"/>
    </row>
    <row r="4122" spans="1:5" x14ac:dyDescent="0.25">
      <c r="A4122" s="28"/>
      <c r="B4122" s="180"/>
      <c r="C4122" s="35"/>
      <c r="D4122" s="36"/>
      <c r="E4122" s="36"/>
    </row>
    <row r="4123" spans="1:5" x14ac:dyDescent="0.25">
      <c r="A4123" s="28"/>
      <c r="B4123" s="180"/>
      <c r="C4123" s="35"/>
      <c r="D4123" s="36"/>
      <c r="E4123" s="36"/>
    </row>
    <row r="4124" spans="1:5" x14ac:dyDescent="0.25">
      <c r="A4124" s="28"/>
      <c r="B4124" s="180"/>
      <c r="C4124" s="35"/>
      <c r="D4124" s="36"/>
      <c r="E4124" s="36"/>
    </row>
    <row r="4125" spans="1:5" x14ac:dyDescent="0.25">
      <c r="A4125" s="28"/>
      <c r="B4125" s="180"/>
      <c r="C4125" s="35"/>
      <c r="D4125" s="36"/>
      <c r="E4125" s="36"/>
    </row>
    <row r="4126" spans="1:5" x14ac:dyDescent="0.25">
      <c r="A4126" s="28"/>
      <c r="B4126" s="180"/>
      <c r="C4126" s="35"/>
      <c r="D4126" s="36"/>
      <c r="E4126" s="36"/>
    </row>
    <row r="4127" spans="1:5" x14ac:dyDescent="0.25">
      <c r="A4127" s="28"/>
      <c r="B4127" s="180"/>
      <c r="C4127" s="35"/>
      <c r="D4127" s="36"/>
      <c r="E4127" s="36"/>
    </row>
    <row r="4128" spans="1:5" x14ac:dyDescent="0.25">
      <c r="A4128" s="28"/>
      <c r="B4128" s="180"/>
      <c r="C4128" s="35"/>
      <c r="D4128" s="36"/>
      <c r="E4128" s="36"/>
    </row>
    <row r="4129" spans="1:5" x14ac:dyDescent="0.25">
      <c r="A4129" s="28"/>
      <c r="B4129" s="180"/>
      <c r="C4129" s="35"/>
      <c r="D4129" s="36"/>
      <c r="E4129" s="36"/>
    </row>
    <row r="4130" spans="1:5" x14ac:dyDescent="0.25">
      <c r="A4130" s="28"/>
      <c r="B4130" s="180"/>
      <c r="C4130" s="35"/>
      <c r="D4130" s="36"/>
      <c r="E4130" s="36"/>
    </row>
    <row r="4131" spans="1:5" x14ac:dyDescent="0.25">
      <c r="A4131" s="28"/>
      <c r="B4131" s="180"/>
      <c r="C4131" s="35"/>
      <c r="D4131" s="36"/>
      <c r="E4131" s="36"/>
    </row>
    <row r="4132" spans="1:5" x14ac:dyDescent="0.25">
      <c r="A4132" s="28"/>
      <c r="B4132" s="180"/>
      <c r="C4132" s="35"/>
      <c r="D4132" s="36"/>
      <c r="E4132" s="36"/>
    </row>
    <row r="4133" spans="1:5" x14ac:dyDescent="0.25">
      <c r="A4133" s="28"/>
      <c r="B4133" s="180"/>
      <c r="C4133" s="35"/>
      <c r="D4133" s="36"/>
      <c r="E4133" s="36"/>
    </row>
    <row r="4134" spans="1:5" x14ac:dyDescent="0.25">
      <c r="A4134" s="28"/>
      <c r="B4134" s="180"/>
      <c r="C4134" s="35"/>
      <c r="D4134" s="36"/>
      <c r="E4134" s="36"/>
    </row>
    <row r="4135" spans="1:5" x14ac:dyDescent="0.25">
      <c r="A4135" s="28"/>
      <c r="B4135" s="180"/>
      <c r="C4135" s="35"/>
      <c r="D4135" s="36"/>
      <c r="E4135" s="36"/>
    </row>
    <row r="4136" spans="1:5" x14ac:dyDescent="0.25">
      <c r="A4136" s="28"/>
      <c r="B4136" s="180"/>
      <c r="C4136" s="35"/>
      <c r="D4136" s="36"/>
      <c r="E4136" s="36"/>
    </row>
    <row r="4137" spans="1:5" x14ac:dyDescent="0.25">
      <c r="A4137" s="28"/>
      <c r="B4137" s="180"/>
      <c r="C4137" s="35"/>
      <c r="D4137" s="36"/>
      <c r="E4137" s="36"/>
    </row>
    <row r="4138" spans="1:5" x14ac:dyDescent="0.25">
      <c r="A4138" s="28"/>
      <c r="B4138" s="180"/>
      <c r="C4138" s="35"/>
      <c r="D4138" s="36"/>
      <c r="E4138" s="36"/>
    </row>
    <row r="4139" spans="1:5" x14ac:dyDescent="0.25">
      <c r="A4139" s="28"/>
      <c r="B4139" s="180"/>
      <c r="C4139" s="35"/>
      <c r="D4139" s="36"/>
      <c r="E4139" s="36"/>
    </row>
    <row r="4140" spans="1:5" x14ac:dyDescent="0.25">
      <c r="A4140" s="28"/>
      <c r="B4140" s="180"/>
      <c r="C4140" s="35"/>
      <c r="D4140" s="36"/>
      <c r="E4140" s="36"/>
    </row>
    <row r="4141" spans="1:5" x14ac:dyDescent="0.25">
      <c r="A4141" s="28"/>
      <c r="B4141" s="180"/>
      <c r="C4141" s="35"/>
      <c r="D4141" s="36"/>
      <c r="E4141" s="36"/>
    </row>
    <row r="4142" spans="1:5" x14ac:dyDescent="0.25">
      <c r="A4142" s="28"/>
      <c r="B4142" s="180"/>
      <c r="C4142" s="35"/>
      <c r="D4142" s="36"/>
      <c r="E4142" s="36"/>
    </row>
    <row r="4143" spans="1:5" x14ac:dyDescent="0.25">
      <c r="A4143" s="28"/>
      <c r="B4143" s="180"/>
      <c r="C4143" s="35"/>
      <c r="D4143" s="36"/>
      <c r="E4143" s="36"/>
    </row>
    <row r="4144" spans="1:5" x14ac:dyDescent="0.25">
      <c r="A4144" s="28"/>
      <c r="B4144" s="180"/>
      <c r="C4144" s="35"/>
      <c r="D4144" s="36"/>
      <c r="E4144" s="36"/>
    </row>
    <row r="4145" spans="1:5" x14ac:dyDescent="0.25">
      <c r="A4145" s="28"/>
      <c r="B4145" s="180"/>
      <c r="C4145" s="35"/>
      <c r="D4145" s="36"/>
      <c r="E4145" s="36"/>
    </row>
    <row r="4146" spans="1:5" x14ac:dyDescent="0.25">
      <c r="A4146" s="28"/>
      <c r="B4146" s="180"/>
      <c r="C4146" s="35"/>
      <c r="D4146" s="36"/>
      <c r="E4146" s="36"/>
    </row>
    <row r="4147" spans="1:5" x14ac:dyDescent="0.25">
      <c r="A4147" s="28"/>
      <c r="B4147" s="180"/>
      <c r="C4147" s="35"/>
      <c r="D4147" s="36"/>
      <c r="E4147" s="36"/>
    </row>
    <row r="4148" spans="1:5" x14ac:dyDescent="0.25">
      <c r="A4148" s="28"/>
      <c r="B4148" s="180"/>
      <c r="C4148" s="35"/>
      <c r="D4148" s="36"/>
      <c r="E4148" s="36"/>
    </row>
    <row r="4149" spans="1:5" x14ac:dyDescent="0.25">
      <c r="A4149" s="28"/>
      <c r="B4149" s="180"/>
      <c r="C4149" s="35"/>
      <c r="D4149" s="36"/>
      <c r="E4149" s="36"/>
    </row>
    <row r="4150" spans="1:5" x14ac:dyDescent="0.25">
      <c r="A4150" s="28"/>
      <c r="B4150" s="180"/>
      <c r="C4150" s="35"/>
      <c r="D4150" s="36"/>
      <c r="E4150" s="36"/>
    </row>
    <row r="4151" spans="1:5" x14ac:dyDescent="0.25">
      <c r="A4151" s="28"/>
      <c r="B4151" s="180"/>
      <c r="C4151" s="35"/>
      <c r="D4151" s="36"/>
      <c r="E4151" s="36"/>
    </row>
    <row r="4152" spans="1:5" x14ac:dyDescent="0.25">
      <c r="A4152" s="28"/>
      <c r="B4152" s="180"/>
      <c r="C4152" s="35"/>
      <c r="D4152" s="36"/>
      <c r="E4152" s="36"/>
    </row>
    <row r="4153" spans="1:5" x14ac:dyDescent="0.25">
      <c r="A4153" s="28"/>
      <c r="B4153" s="180"/>
      <c r="C4153" s="35"/>
      <c r="D4153" s="36"/>
      <c r="E4153" s="36"/>
    </row>
    <row r="4154" spans="1:5" x14ac:dyDescent="0.25">
      <c r="A4154" s="28"/>
      <c r="B4154" s="180"/>
      <c r="C4154" s="35"/>
      <c r="D4154" s="36"/>
      <c r="E4154" s="36"/>
    </row>
    <row r="4155" spans="1:5" x14ac:dyDescent="0.25">
      <c r="A4155" s="28"/>
      <c r="B4155" s="180"/>
      <c r="C4155" s="35"/>
      <c r="D4155" s="36"/>
      <c r="E4155" s="36"/>
    </row>
    <row r="4156" spans="1:5" x14ac:dyDescent="0.25">
      <c r="A4156" s="28"/>
      <c r="B4156" s="180"/>
      <c r="C4156" s="35"/>
      <c r="D4156" s="36"/>
      <c r="E4156" s="36"/>
    </row>
    <row r="4157" spans="1:5" x14ac:dyDescent="0.25">
      <c r="A4157" s="28"/>
      <c r="B4157" s="180"/>
      <c r="C4157" s="35"/>
      <c r="D4157" s="36"/>
      <c r="E4157" s="36"/>
    </row>
    <row r="4158" spans="1:5" x14ac:dyDescent="0.25">
      <c r="A4158" s="28"/>
      <c r="B4158" s="180"/>
      <c r="C4158" s="35"/>
      <c r="D4158" s="36"/>
      <c r="E4158" s="36"/>
    </row>
    <row r="4159" spans="1:5" x14ac:dyDescent="0.25">
      <c r="A4159" s="28"/>
      <c r="B4159" s="180"/>
      <c r="C4159" s="35"/>
      <c r="D4159" s="36"/>
      <c r="E4159" s="36"/>
    </row>
    <row r="4160" spans="1:5" x14ac:dyDescent="0.25">
      <c r="A4160" s="28"/>
      <c r="B4160" s="180"/>
      <c r="C4160" s="35"/>
      <c r="D4160" s="36"/>
      <c r="E4160" s="36"/>
    </row>
    <row r="4161" spans="1:5" x14ac:dyDescent="0.25">
      <c r="A4161" s="28"/>
      <c r="B4161" s="180"/>
      <c r="C4161" s="35"/>
      <c r="D4161" s="36"/>
      <c r="E4161" s="36"/>
    </row>
    <row r="4162" spans="1:5" x14ac:dyDescent="0.25">
      <c r="A4162" s="28"/>
      <c r="B4162" s="180"/>
      <c r="C4162" s="35"/>
      <c r="D4162" s="36"/>
      <c r="E4162" s="36"/>
    </row>
    <row r="4163" spans="1:5" x14ac:dyDescent="0.25">
      <c r="A4163" s="28"/>
      <c r="B4163" s="180"/>
      <c r="C4163" s="35"/>
      <c r="D4163" s="36"/>
      <c r="E4163" s="36"/>
    </row>
    <row r="4164" spans="1:5" x14ac:dyDescent="0.25">
      <c r="A4164" s="28"/>
      <c r="B4164" s="180"/>
      <c r="C4164" s="35"/>
      <c r="D4164" s="36"/>
      <c r="E4164" s="36"/>
    </row>
    <row r="4165" spans="1:5" x14ac:dyDescent="0.25">
      <c r="A4165" s="28"/>
      <c r="B4165" s="180"/>
      <c r="C4165" s="35"/>
      <c r="D4165" s="36"/>
      <c r="E4165" s="36"/>
    </row>
    <row r="4166" spans="1:5" x14ac:dyDescent="0.25">
      <c r="A4166" s="28"/>
      <c r="B4166" s="180"/>
      <c r="C4166" s="35"/>
      <c r="D4166" s="36"/>
      <c r="E4166" s="36"/>
    </row>
    <row r="4167" spans="1:5" x14ac:dyDescent="0.25">
      <c r="A4167" s="28"/>
      <c r="B4167" s="180"/>
      <c r="C4167" s="35"/>
      <c r="D4167" s="36"/>
      <c r="E4167" s="36"/>
    </row>
    <row r="4168" spans="1:5" x14ac:dyDescent="0.25">
      <c r="A4168" s="28"/>
      <c r="B4168" s="180"/>
      <c r="C4168" s="35"/>
      <c r="D4168" s="36"/>
      <c r="E4168" s="36"/>
    </row>
    <row r="4169" spans="1:5" x14ac:dyDescent="0.25">
      <c r="A4169" s="28"/>
      <c r="B4169" s="180"/>
      <c r="C4169" s="35"/>
      <c r="D4169" s="36"/>
      <c r="E4169" s="36"/>
    </row>
    <row r="4170" spans="1:5" x14ac:dyDescent="0.25">
      <c r="A4170" s="28"/>
      <c r="B4170" s="180"/>
      <c r="C4170" s="35"/>
      <c r="D4170" s="36"/>
      <c r="E4170" s="36"/>
    </row>
    <row r="4171" spans="1:5" x14ac:dyDescent="0.25">
      <c r="A4171" s="28"/>
      <c r="B4171" s="180"/>
      <c r="C4171" s="35"/>
      <c r="D4171" s="36"/>
      <c r="E4171" s="36"/>
    </row>
    <row r="4172" spans="1:5" x14ac:dyDescent="0.25">
      <c r="A4172" s="28"/>
      <c r="B4172" s="180"/>
      <c r="C4172" s="35"/>
      <c r="D4172" s="36"/>
      <c r="E4172" s="36"/>
    </row>
    <row r="4173" spans="1:5" x14ac:dyDescent="0.25">
      <c r="A4173" s="28"/>
      <c r="B4173" s="180"/>
      <c r="C4173" s="35"/>
      <c r="D4173" s="36"/>
      <c r="E4173" s="36"/>
    </row>
    <row r="4174" spans="1:5" x14ac:dyDescent="0.25">
      <c r="A4174" s="28"/>
      <c r="B4174" s="180"/>
      <c r="C4174" s="35"/>
      <c r="D4174" s="36"/>
      <c r="E4174" s="36"/>
    </row>
    <row r="4175" spans="1:5" x14ac:dyDescent="0.25">
      <c r="A4175" s="28"/>
      <c r="B4175" s="180"/>
      <c r="C4175" s="35"/>
      <c r="D4175" s="36"/>
      <c r="E4175" s="36"/>
    </row>
    <row r="4176" spans="1:5" x14ac:dyDescent="0.25">
      <c r="A4176" s="28"/>
      <c r="B4176" s="180"/>
      <c r="C4176" s="35"/>
      <c r="D4176" s="36"/>
      <c r="E4176" s="36"/>
    </row>
    <row r="4177" spans="1:5" x14ac:dyDescent="0.25">
      <c r="A4177" s="28"/>
      <c r="B4177" s="180"/>
      <c r="C4177" s="35"/>
      <c r="D4177" s="36"/>
      <c r="E4177" s="36"/>
    </row>
    <row r="4178" spans="1:5" x14ac:dyDescent="0.25">
      <c r="A4178" s="28"/>
      <c r="B4178" s="180"/>
      <c r="C4178" s="35"/>
      <c r="D4178" s="36"/>
      <c r="E4178" s="36"/>
    </row>
    <row r="4179" spans="1:5" x14ac:dyDescent="0.25">
      <c r="A4179" s="28"/>
      <c r="B4179" s="180"/>
      <c r="C4179" s="35"/>
      <c r="D4179" s="36"/>
      <c r="E4179" s="36"/>
    </row>
    <row r="4180" spans="1:5" x14ac:dyDescent="0.25">
      <c r="A4180" s="28"/>
      <c r="B4180" s="180"/>
      <c r="C4180" s="35"/>
      <c r="D4180" s="36"/>
      <c r="E4180" s="36"/>
    </row>
    <row r="4181" spans="1:5" x14ac:dyDescent="0.25">
      <c r="A4181" s="28"/>
      <c r="B4181" s="180"/>
      <c r="C4181" s="35"/>
      <c r="D4181" s="36"/>
      <c r="E4181" s="36"/>
    </row>
    <row r="4182" spans="1:5" x14ac:dyDescent="0.25">
      <c r="A4182" s="28"/>
      <c r="B4182" s="180"/>
      <c r="C4182" s="35"/>
      <c r="D4182" s="36"/>
      <c r="E4182" s="36"/>
    </row>
    <row r="4183" spans="1:5" x14ac:dyDescent="0.25">
      <c r="A4183" s="28"/>
      <c r="B4183" s="180"/>
      <c r="C4183" s="35"/>
      <c r="D4183" s="36"/>
      <c r="E4183" s="36"/>
    </row>
    <row r="4184" spans="1:5" x14ac:dyDescent="0.25">
      <c r="A4184" s="28"/>
      <c r="B4184" s="180"/>
      <c r="C4184" s="35"/>
      <c r="D4184" s="36"/>
      <c r="E4184" s="36"/>
    </row>
    <row r="4185" spans="1:5" x14ac:dyDescent="0.25">
      <c r="A4185" s="28"/>
      <c r="B4185" s="180"/>
      <c r="C4185" s="35"/>
      <c r="D4185" s="36"/>
      <c r="E4185" s="36"/>
    </row>
    <row r="4186" spans="1:5" x14ac:dyDescent="0.25">
      <c r="A4186" s="28"/>
      <c r="B4186" s="180"/>
      <c r="C4186" s="35"/>
      <c r="D4186" s="36"/>
      <c r="E4186" s="36"/>
    </row>
    <row r="4187" spans="1:5" x14ac:dyDescent="0.25">
      <c r="A4187" s="28"/>
      <c r="B4187" s="180"/>
      <c r="C4187" s="35"/>
      <c r="D4187" s="36"/>
      <c r="E4187" s="36"/>
    </row>
    <row r="4188" spans="1:5" x14ac:dyDescent="0.25">
      <c r="A4188" s="28"/>
      <c r="B4188" s="180"/>
      <c r="C4188" s="35"/>
      <c r="D4188" s="36"/>
      <c r="E4188" s="36"/>
    </row>
    <row r="4189" spans="1:5" x14ac:dyDescent="0.25">
      <c r="A4189" s="28"/>
      <c r="B4189" s="180"/>
      <c r="C4189" s="35"/>
      <c r="D4189" s="36"/>
      <c r="E4189" s="36"/>
    </row>
    <row r="4190" spans="1:5" x14ac:dyDescent="0.25">
      <c r="A4190" s="28"/>
      <c r="B4190" s="180"/>
      <c r="C4190" s="35"/>
      <c r="D4190" s="36"/>
      <c r="E4190" s="36"/>
    </row>
    <row r="4191" spans="1:5" x14ac:dyDescent="0.25">
      <c r="A4191" s="28"/>
      <c r="B4191" s="180"/>
      <c r="C4191" s="35"/>
      <c r="D4191" s="36"/>
      <c r="E4191" s="36"/>
    </row>
    <row r="4192" spans="1:5" x14ac:dyDescent="0.25">
      <c r="A4192" s="28"/>
      <c r="B4192" s="180"/>
      <c r="C4192" s="35"/>
      <c r="D4192" s="36"/>
      <c r="E4192" s="36"/>
    </row>
    <row r="4193" spans="1:5" x14ac:dyDescent="0.25">
      <c r="A4193" s="28"/>
      <c r="B4193" s="180"/>
      <c r="C4193" s="35"/>
      <c r="D4193" s="36"/>
      <c r="E4193" s="36"/>
    </row>
    <row r="4194" spans="1:5" x14ac:dyDescent="0.25">
      <c r="A4194" s="28"/>
      <c r="B4194" s="180"/>
      <c r="C4194" s="35"/>
      <c r="D4194" s="36"/>
      <c r="E4194" s="36"/>
    </row>
    <row r="4195" spans="1:5" x14ac:dyDescent="0.25">
      <c r="A4195" s="28"/>
      <c r="B4195" s="180"/>
      <c r="C4195" s="35"/>
      <c r="D4195" s="36"/>
      <c r="E4195" s="36"/>
    </row>
    <row r="4196" spans="1:5" x14ac:dyDescent="0.25">
      <c r="A4196" s="28"/>
      <c r="B4196" s="180"/>
      <c r="C4196" s="35"/>
      <c r="D4196" s="36"/>
      <c r="E4196" s="36"/>
    </row>
    <row r="4197" spans="1:5" x14ac:dyDescent="0.25">
      <c r="A4197" s="28"/>
      <c r="B4197" s="180"/>
      <c r="C4197" s="35"/>
      <c r="D4197" s="36"/>
      <c r="E4197" s="36"/>
    </row>
    <row r="4198" spans="1:5" x14ac:dyDescent="0.25">
      <c r="A4198" s="28"/>
      <c r="B4198" s="180"/>
      <c r="C4198" s="35"/>
      <c r="D4198" s="36"/>
      <c r="E4198" s="36"/>
    </row>
    <row r="4199" spans="1:5" x14ac:dyDescent="0.25">
      <c r="A4199" s="28"/>
      <c r="B4199" s="180"/>
      <c r="C4199" s="35"/>
      <c r="D4199" s="36"/>
      <c r="E4199" s="36"/>
    </row>
    <row r="4200" spans="1:5" x14ac:dyDescent="0.25">
      <c r="A4200" s="28"/>
      <c r="B4200" s="180"/>
      <c r="C4200" s="35"/>
      <c r="D4200" s="36"/>
      <c r="E4200" s="36"/>
    </row>
    <row r="4201" spans="1:5" x14ac:dyDescent="0.25">
      <c r="A4201" s="28"/>
      <c r="B4201" s="180"/>
      <c r="C4201" s="35"/>
      <c r="D4201" s="36"/>
      <c r="E4201" s="36"/>
    </row>
    <row r="4202" spans="1:5" x14ac:dyDescent="0.25">
      <c r="A4202" s="28"/>
      <c r="B4202" s="180"/>
      <c r="C4202" s="35"/>
      <c r="D4202" s="36"/>
      <c r="E4202" s="36"/>
    </row>
    <row r="4203" spans="1:5" x14ac:dyDescent="0.25">
      <c r="A4203" s="28"/>
      <c r="B4203" s="180"/>
      <c r="C4203" s="35"/>
      <c r="D4203" s="36"/>
      <c r="E4203" s="36"/>
    </row>
    <row r="4204" spans="1:5" x14ac:dyDescent="0.25">
      <c r="A4204" s="28"/>
      <c r="B4204" s="180"/>
      <c r="C4204" s="35"/>
      <c r="D4204" s="36"/>
      <c r="E4204" s="36"/>
    </row>
    <row r="4205" spans="1:5" x14ac:dyDescent="0.25">
      <c r="A4205" s="28"/>
      <c r="B4205" s="180"/>
      <c r="C4205" s="35"/>
      <c r="D4205" s="36"/>
      <c r="E4205" s="36"/>
    </row>
    <row r="4206" spans="1:5" x14ac:dyDescent="0.25">
      <c r="A4206" s="28"/>
      <c r="B4206" s="180"/>
      <c r="C4206" s="35"/>
      <c r="D4206" s="36"/>
      <c r="E4206" s="36"/>
    </row>
    <row r="4207" spans="1:5" x14ac:dyDescent="0.25">
      <c r="A4207" s="28"/>
      <c r="B4207" s="180"/>
      <c r="C4207" s="35"/>
      <c r="D4207" s="36"/>
      <c r="E4207" s="36"/>
    </row>
    <row r="4208" spans="1:5" x14ac:dyDescent="0.25">
      <c r="A4208" s="28"/>
      <c r="B4208" s="180"/>
      <c r="C4208" s="35"/>
      <c r="D4208" s="36"/>
      <c r="E4208" s="36"/>
    </row>
    <row r="4209" spans="1:5" x14ac:dyDescent="0.25">
      <c r="A4209" s="28"/>
      <c r="B4209" s="180"/>
      <c r="C4209" s="35"/>
      <c r="D4209" s="36"/>
      <c r="E4209" s="36"/>
    </row>
    <row r="4210" spans="1:5" x14ac:dyDescent="0.25">
      <c r="A4210" s="28"/>
      <c r="B4210" s="180"/>
      <c r="C4210" s="35"/>
      <c r="D4210" s="36"/>
      <c r="E4210" s="36"/>
    </row>
    <row r="4211" spans="1:5" x14ac:dyDescent="0.25">
      <c r="A4211" s="28"/>
      <c r="B4211" s="180"/>
      <c r="C4211" s="35"/>
      <c r="D4211" s="36"/>
      <c r="E4211" s="36"/>
    </row>
    <row r="4212" spans="1:5" x14ac:dyDescent="0.25">
      <c r="A4212" s="28"/>
      <c r="B4212" s="180"/>
      <c r="C4212" s="35"/>
      <c r="D4212" s="36"/>
      <c r="E4212" s="36"/>
    </row>
    <row r="4213" spans="1:5" x14ac:dyDescent="0.25">
      <c r="A4213" s="28"/>
      <c r="B4213" s="180"/>
      <c r="C4213" s="35"/>
      <c r="D4213" s="36"/>
      <c r="E4213" s="36"/>
    </row>
    <row r="4214" spans="1:5" x14ac:dyDescent="0.25">
      <c r="A4214" s="28"/>
      <c r="B4214" s="180"/>
      <c r="C4214" s="35"/>
      <c r="D4214" s="36"/>
      <c r="E4214" s="36"/>
    </row>
    <row r="4215" spans="1:5" x14ac:dyDescent="0.25">
      <c r="A4215" s="28"/>
      <c r="B4215" s="180"/>
      <c r="C4215" s="35"/>
      <c r="D4215" s="36"/>
      <c r="E4215" s="36"/>
    </row>
    <row r="4216" spans="1:5" x14ac:dyDescent="0.25">
      <c r="A4216" s="28"/>
      <c r="B4216" s="180"/>
      <c r="C4216" s="35"/>
      <c r="D4216" s="36"/>
      <c r="E4216" s="36"/>
    </row>
    <row r="4217" spans="1:5" x14ac:dyDescent="0.25">
      <c r="A4217" s="28"/>
      <c r="B4217" s="180"/>
      <c r="C4217" s="35"/>
      <c r="D4217" s="36"/>
      <c r="E4217" s="36"/>
    </row>
    <row r="4218" spans="1:5" x14ac:dyDescent="0.25">
      <c r="A4218" s="28"/>
      <c r="B4218" s="180"/>
      <c r="C4218" s="35"/>
      <c r="D4218" s="36"/>
      <c r="E4218" s="36"/>
    </row>
    <row r="4219" spans="1:5" x14ac:dyDescent="0.25">
      <c r="A4219" s="28"/>
      <c r="B4219" s="180"/>
      <c r="C4219" s="35"/>
      <c r="D4219" s="36"/>
      <c r="E4219" s="36"/>
    </row>
    <row r="4220" spans="1:5" x14ac:dyDescent="0.25">
      <c r="A4220" s="28"/>
      <c r="B4220" s="180"/>
      <c r="C4220" s="35"/>
      <c r="D4220" s="36"/>
      <c r="E4220" s="36"/>
    </row>
    <row r="4221" spans="1:5" x14ac:dyDescent="0.25">
      <c r="A4221" s="28"/>
      <c r="B4221" s="180"/>
      <c r="C4221" s="35"/>
      <c r="D4221" s="36"/>
      <c r="E4221" s="36"/>
    </row>
    <row r="4222" spans="1:5" x14ac:dyDescent="0.25">
      <c r="A4222" s="28"/>
      <c r="B4222" s="180"/>
      <c r="C4222" s="35"/>
      <c r="D4222" s="36"/>
      <c r="E4222" s="36"/>
    </row>
    <row r="4223" spans="1:5" x14ac:dyDescent="0.25">
      <c r="A4223" s="28"/>
      <c r="B4223" s="180"/>
      <c r="C4223" s="35"/>
      <c r="D4223" s="36"/>
      <c r="E4223" s="36"/>
    </row>
    <row r="4224" spans="1:5" x14ac:dyDescent="0.25">
      <c r="A4224" s="28"/>
      <c r="B4224" s="180"/>
      <c r="C4224" s="35"/>
      <c r="D4224" s="36"/>
      <c r="E4224" s="36"/>
    </row>
    <row r="4225" spans="1:5" x14ac:dyDescent="0.25">
      <c r="A4225" s="28"/>
      <c r="B4225" s="180"/>
      <c r="C4225" s="35"/>
      <c r="D4225" s="36"/>
      <c r="E4225" s="36"/>
    </row>
    <row r="4226" spans="1:5" x14ac:dyDescent="0.25">
      <c r="A4226" s="28"/>
      <c r="B4226" s="180"/>
      <c r="C4226" s="35"/>
      <c r="D4226" s="36"/>
      <c r="E4226" s="36"/>
    </row>
    <row r="4227" spans="1:5" x14ac:dyDescent="0.25">
      <c r="A4227" s="28"/>
      <c r="B4227" s="180"/>
      <c r="C4227" s="35"/>
      <c r="D4227" s="36"/>
      <c r="E4227" s="36"/>
    </row>
    <row r="4228" spans="1:5" x14ac:dyDescent="0.25">
      <c r="A4228" s="28"/>
      <c r="B4228" s="180"/>
      <c r="C4228" s="35"/>
      <c r="D4228" s="36"/>
      <c r="E4228" s="36"/>
    </row>
    <row r="4229" spans="1:5" x14ac:dyDescent="0.25">
      <c r="A4229" s="28"/>
      <c r="B4229" s="180"/>
      <c r="C4229" s="35"/>
      <c r="D4229" s="36"/>
      <c r="E4229" s="36"/>
    </row>
    <row r="4230" spans="1:5" x14ac:dyDescent="0.25">
      <c r="A4230" s="28"/>
      <c r="B4230" s="180"/>
      <c r="C4230" s="35"/>
      <c r="D4230" s="36"/>
      <c r="E4230" s="36"/>
    </row>
    <row r="4231" spans="1:5" x14ac:dyDescent="0.25">
      <c r="A4231" s="28"/>
      <c r="B4231" s="180"/>
      <c r="C4231" s="35"/>
      <c r="D4231" s="36"/>
      <c r="E4231" s="36"/>
    </row>
    <row r="4232" spans="1:5" x14ac:dyDescent="0.25">
      <c r="A4232" s="28"/>
      <c r="B4232" s="180"/>
      <c r="C4232" s="35"/>
      <c r="D4232" s="36"/>
      <c r="E4232" s="36"/>
    </row>
    <row r="4233" spans="1:5" x14ac:dyDescent="0.25">
      <c r="A4233" s="28"/>
      <c r="B4233" s="180"/>
      <c r="C4233" s="35"/>
      <c r="D4233" s="36"/>
      <c r="E4233" s="36"/>
    </row>
    <row r="4234" spans="1:5" x14ac:dyDescent="0.25">
      <c r="A4234" s="28"/>
      <c r="B4234" s="180"/>
      <c r="C4234" s="35"/>
      <c r="D4234" s="36"/>
      <c r="E4234" s="36"/>
    </row>
    <row r="4235" spans="1:5" x14ac:dyDescent="0.25">
      <c r="A4235" s="28"/>
      <c r="B4235" s="180"/>
      <c r="C4235" s="35"/>
      <c r="D4235" s="36"/>
      <c r="E4235" s="36"/>
    </row>
    <row r="4236" spans="1:5" x14ac:dyDescent="0.25">
      <c r="A4236" s="28"/>
      <c r="B4236" s="180"/>
      <c r="C4236" s="35"/>
      <c r="D4236" s="36"/>
      <c r="E4236" s="36"/>
    </row>
    <row r="4237" spans="1:5" x14ac:dyDescent="0.25">
      <c r="A4237" s="28"/>
      <c r="B4237" s="180"/>
      <c r="C4237" s="35"/>
      <c r="D4237" s="36"/>
      <c r="E4237" s="36"/>
    </row>
    <row r="4238" spans="1:5" x14ac:dyDescent="0.25">
      <c r="A4238" s="28"/>
      <c r="B4238" s="180"/>
      <c r="C4238" s="35"/>
      <c r="D4238" s="36"/>
      <c r="E4238" s="36"/>
    </row>
    <row r="4239" spans="1:5" x14ac:dyDescent="0.25">
      <c r="A4239" s="28"/>
      <c r="B4239" s="180"/>
      <c r="C4239" s="35"/>
      <c r="D4239" s="36"/>
      <c r="E4239" s="36"/>
    </row>
    <row r="4240" spans="1:5" x14ac:dyDescent="0.25">
      <c r="A4240" s="28"/>
      <c r="B4240" s="180"/>
      <c r="C4240" s="35"/>
      <c r="D4240" s="36"/>
      <c r="E4240" s="36"/>
    </row>
    <row r="4241" spans="1:5" x14ac:dyDescent="0.25">
      <c r="A4241" s="28"/>
      <c r="B4241" s="180"/>
      <c r="C4241" s="35"/>
      <c r="D4241" s="36"/>
      <c r="E4241" s="36"/>
    </row>
    <row r="4242" spans="1:5" x14ac:dyDescent="0.25">
      <c r="A4242" s="28"/>
      <c r="B4242" s="180"/>
      <c r="C4242" s="35"/>
      <c r="D4242" s="36"/>
      <c r="E4242" s="36"/>
    </row>
    <row r="4243" spans="1:5" x14ac:dyDescent="0.25">
      <c r="A4243" s="28"/>
      <c r="B4243" s="180"/>
      <c r="C4243" s="35"/>
      <c r="D4243" s="36"/>
      <c r="E4243" s="36"/>
    </row>
    <row r="4244" spans="1:5" x14ac:dyDescent="0.25">
      <c r="A4244" s="28"/>
      <c r="B4244" s="180"/>
      <c r="C4244" s="35"/>
      <c r="D4244" s="36"/>
      <c r="E4244" s="36"/>
    </row>
    <row r="4245" spans="1:5" x14ac:dyDescent="0.25">
      <c r="A4245" s="28"/>
      <c r="B4245" s="180"/>
      <c r="C4245" s="35"/>
      <c r="D4245" s="36"/>
      <c r="E4245" s="36"/>
    </row>
    <row r="4246" spans="1:5" x14ac:dyDescent="0.25">
      <c r="A4246" s="28"/>
      <c r="B4246" s="180"/>
      <c r="C4246" s="35"/>
      <c r="D4246" s="36"/>
      <c r="E4246" s="36"/>
    </row>
    <row r="4247" spans="1:5" x14ac:dyDescent="0.25">
      <c r="A4247" s="28"/>
      <c r="B4247" s="180"/>
      <c r="C4247" s="35"/>
      <c r="D4247" s="36"/>
      <c r="E4247" s="36"/>
    </row>
    <row r="4248" spans="1:5" x14ac:dyDescent="0.25">
      <c r="A4248" s="28"/>
      <c r="B4248" s="180"/>
      <c r="C4248" s="35"/>
      <c r="D4248" s="36"/>
      <c r="E4248" s="36"/>
    </row>
    <row r="4249" spans="1:5" x14ac:dyDescent="0.25">
      <c r="A4249" s="28"/>
      <c r="B4249" s="180"/>
      <c r="C4249" s="35"/>
      <c r="D4249" s="36"/>
      <c r="E4249" s="36"/>
    </row>
    <row r="4250" spans="1:5" x14ac:dyDescent="0.25">
      <c r="A4250" s="28"/>
      <c r="B4250" s="180"/>
      <c r="C4250" s="35"/>
      <c r="D4250" s="36"/>
      <c r="E4250" s="36"/>
    </row>
    <row r="4251" spans="1:5" x14ac:dyDescent="0.25">
      <c r="A4251" s="28"/>
      <c r="B4251" s="180"/>
      <c r="C4251" s="35"/>
      <c r="D4251" s="36"/>
      <c r="E4251" s="36"/>
    </row>
    <row r="4252" spans="1:5" x14ac:dyDescent="0.25">
      <c r="A4252" s="28"/>
      <c r="B4252" s="180"/>
      <c r="C4252" s="35"/>
      <c r="D4252" s="36"/>
      <c r="E4252" s="36"/>
    </row>
    <row r="4253" spans="1:5" x14ac:dyDescent="0.25">
      <c r="A4253" s="28"/>
      <c r="B4253" s="180"/>
      <c r="C4253" s="35"/>
      <c r="D4253" s="36"/>
      <c r="E4253" s="36"/>
    </row>
    <row r="4254" spans="1:5" x14ac:dyDescent="0.25">
      <c r="A4254" s="28"/>
      <c r="B4254" s="180"/>
      <c r="C4254" s="35"/>
      <c r="D4254" s="36"/>
      <c r="E4254" s="36"/>
    </row>
    <row r="4255" spans="1:5" x14ac:dyDescent="0.25">
      <c r="A4255" s="28"/>
      <c r="B4255" s="180"/>
      <c r="C4255" s="35"/>
      <c r="D4255" s="36"/>
      <c r="E4255" s="36"/>
    </row>
    <row r="4256" spans="1:5" x14ac:dyDescent="0.25">
      <c r="A4256" s="28"/>
      <c r="B4256" s="180"/>
      <c r="C4256" s="35"/>
      <c r="D4256" s="36"/>
      <c r="E4256" s="36"/>
    </row>
    <row r="4257" spans="1:5" x14ac:dyDescent="0.25">
      <c r="A4257" s="28"/>
      <c r="B4257" s="180"/>
      <c r="C4257" s="35"/>
      <c r="D4257" s="36"/>
      <c r="E4257" s="36"/>
    </row>
    <row r="4258" spans="1:5" x14ac:dyDescent="0.25">
      <c r="A4258" s="28"/>
      <c r="B4258" s="180"/>
      <c r="C4258" s="35"/>
      <c r="D4258" s="36"/>
      <c r="E4258" s="36"/>
    </row>
    <row r="4259" spans="1:5" x14ac:dyDescent="0.25">
      <c r="A4259" s="28"/>
      <c r="B4259" s="180"/>
      <c r="C4259" s="35"/>
      <c r="D4259" s="36"/>
      <c r="E4259" s="36"/>
    </row>
    <row r="4260" spans="1:5" x14ac:dyDescent="0.25">
      <c r="A4260" s="28"/>
      <c r="B4260" s="180"/>
      <c r="C4260" s="35"/>
      <c r="D4260" s="36"/>
      <c r="E4260" s="36"/>
    </row>
    <row r="4261" spans="1:5" x14ac:dyDescent="0.25">
      <c r="A4261" s="28"/>
      <c r="B4261" s="180"/>
      <c r="C4261" s="35"/>
      <c r="D4261" s="36"/>
      <c r="E4261" s="36"/>
    </row>
    <row r="4262" spans="1:5" x14ac:dyDescent="0.25">
      <c r="A4262" s="28"/>
      <c r="B4262" s="180"/>
      <c r="C4262" s="35"/>
      <c r="D4262" s="36"/>
      <c r="E4262" s="36"/>
    </row>
    <row r="4263" spans="1:5" x14ac:dyDescent="0.25">
      <c r="A4263" s="28"/>
      <c r="B4263" s="180"/>
      <c r="C4263" s="35"/>
      <c r="D4263" s="36"/>
      <c r="E4263" s="36"/>
    </row>
    <row r="4264" spans="1:5" x14ac:dyDescent="0.25">
      <c r="A4264" s="28"/>
      <c r="B4264" s="180"/>
      <c r="C4264" s="35"/>
      <c r="D4264" s="36"/>
      <c r="E4264" s="36"/>
    </row>
    <row r="4265" spans="1:5" x14ac:dyDescent="0.25">
      <c r="A4265" s="28"/>
      <c r="B4265" s="180"/>
      <c r="C4265" s="35"/>
      <c r="D4265" s="36"/>
      <c r="E4265" s="36"/>
    </row>
    <row r="4266" spans="1:5" x14ac:dyDescent="0.25">
      <c r="A4266" s="28"/>
      <c r="B4266" s="180"/>
      <c r="C4266" s="35"/>
      <c r="D4266" s="36"/>
      <c r="E4266" s="36"/>
    </row>
    <row r="4267" spans="1:5" x14ac:dyDescent="0.25">
      <c r="A4267" s="28"/>
      <c r="B4267" s="180"/>
      <c r="C4267" s="35"/>
      <c r="D4267" s="36"/>
      <c r="E4267" s="36"/>
    </row>
    <row r="4268" spans="1:5" x14ac:dyDescent="0.25">
      <c r="A4268" s="28"/>
      <c r="B4268" s="180"/>
      <c r="C4268" s="35"/>
      <c r="D4268" s="36"/>
      <c r="E4268" s="36"/>
    </row>
    <row r="4269" spans="1:5" x14ac:dyDescent="0.25">
      <c r="A4269" s="28"/>
      <c r="B4269" s="180"/>
      <c r="C4269" s="35"/>
      <c r="D4269" s="36"/>
      <c r="E4269" s="36"/>
    </row>
    <row r="4270" spans="1:5" x14ac:dyDescent="0.25">
      <c r="A4270" s="28"/>
      <c r="B4270" s="180"/>
      <c r="C4270" s="35"/>
      <c r="D4270" s="36"/>
      <c r="E4270" s="36"/>
    </row>
    <row r="4271" spans="1:5" x14ac:dyDescent="0.25">
      <c r="A4271" s="28"/>
      <c r="B4271" s="180"/>
      <c r="C4271" s="35"/>
      <c r="D4271" s="36"/>
      <c r="E4271" s="36"/>
    </row>
    <row r="4272" spans="1:5" x14ac:dyDescent="0.25">
      <c r="A4272" s="28"/>
      <c r="B4272" s="180"/>
      <c r="C4272" s="35"/>
      <c r="D4272" s="36"/>
      <c r="E4272" s="36"/>
    </row>
    <row r="4273" spans="1:5" x14ac:dyDescent="0.25">
      <c r="A4273" s="28"/>
      <c r="B4273" s="180"/>
      <c r="C4273" s="35"/>
      <c r="D4273" s="36"/>
      <c r="E4273" s="36"/>
    </row>
    <row r="4274" spans="1:5" x14ac:dyDescent="0.25">
      <c r="A4274" s="28"/>
      <c r="B4274" s="180"/>
      <c r="C4274" s="35"/>
      <c r="D4274" s="36"/>
      <c r="E4274" s="36"/>
    </row>
    <row r="4275" spans="1:5" x14ac:dyDescent="0.25">
      <c r="A4275" s="28"/>
      <c r="B4275" s="180"/>
      <c r="C4275" s="35"/>
      <c r="D4275" s="36"/>
      <c r="E4275" s="36"/>
    </row>
    <row r="4276" spans="1:5" x14ac:dyDescent="0.25">
      <c r="A4276" s="28"/>
      <c r="B4276" s="180"/>
      <c r="C4276" s="35"/>
      <c r="D4276" s="36"/>
      <c r="E4276" s="36"/>
    </row>
    <row r="4277" spans="1:5" x14ac:dyDescent="0.25">
      <c r="A4277" s="28"/>
      <c r="B4277" s="180"/>
      <c r="C4277" s="35"/>
      <c r="D4277" s="36"/>
      <c r="E4277" s="36"/>
    </row>
    <row r="4278" spans="1:5" x14ac:dyDescent="0.25">
      <c r="A4278" s="28"/>
      <c r="B4278" s="180"/>
      <c r="C4278" s="35"/>
      <c r="D4278" s="36"/>
      <c r="E4278" s="36"/>
    </row>
    <row r="4279" spans="1:5" x14ac:dyDescent="0.25">
      <c r="A4279" s="28"/>
      <c r="B4279" s="180"/>
      <c r="C4279" s="35"/>
      <c r="D4279" s="36"/>
      <c r="E4279" s="36"/>
    </row>
    <row r="4280" spans="1:5" x14ac:dyDescent="0.25">
      <c r="A4280" s="28"/>
      <c r="B4280" s="180"/>
      <c r="C4280" s="35"/>
      <c r="D4280" s="36"/>
      <c r="E4280" s="36"/>
    </row>
    <row r="4281" spans="1:5" x14ac:dyDescent="0.25">
      <c r="A4281" s="28"/>
      <c r="B4281" s="180"/>
      <c r="C4281" s="35"/>
      <c r="D4281" s="36"/>
      <c r="E4281" s="36"/>
    </row>
    <row r="4282" spans="1:5" x14ac:dyDescent="0.25">
      <c r="A4282" s="28"/>
      <c r="B4282" s="180"/>
      <c r="C4282" s="35"/>
      <c r="D4282" s="36"/>
      <c r="E4282" s="36"/>
    </row>
    <row r="4283" spans="1:5" x14ac:dyDescent="0.25">
      <c r="A4283" s="28"/>
      <c r="B4283" s="180"/>
      <c r="C4283" s="35"/>
      <c r="D4283" s="36"/>
      <c r="E4283" s="36"/>
    </row>
    <row r="4284" spans="1:5" x14ac:dyDescent="0.25">
      <c r="A4284" s="28"/>
      <c r="B4284" s="180"/>
      <c r="C4284" s="35"/>
      <c r="D4284" s="36"/>
      <c r="E4284" s="36"/>
    </row>
    <row r="4285" spans="1:5" x14ac:dyDescent="0.25">
      <c r="A4285" s="28"/>
      <c r="B4285" s="180"/>
      <c r="C4285" s="35"/>
      <c r="D4285" s="36"/>
      <c r="E4285" s="36"/>
    </row>
    <row r="4286" spans="1:5" x14ac:dyDescent="0.25">
      <c r="A4286" s="28"/>
      <c r="B4286" s="180"/>
      <c r="C4286" s="35"/>
      <c r="D4286" s="36"/>
      <c r="E4286" s="36"/>
    </row>
    <row r="4287" spans="1:5" x14ac:dyDescent="0.25">
      <c r="A4287" s="28"/>
      <c r="B4287" s="180"/>
      <c r="C4287" s="35"/>
      <c r="D4287" s="36"/>
      <c r="E4287" s="36"/>
    </row>
    <row r="4288" spans="1:5" x14ac:dyDescent="0.25">
      <c r="A4288" s="28"/>
      <c r="B4288" s="180"/>
      <c r="C4288" s="35"/>
      <c r="D4288" s="36"/>
      <c r="E4288" s="36"/>
    </row>
    <row r="4289" spans="1:5" x14ac:dyDescent="0.25">
      <c r="A4289" s="28"/>
      <c r="B4289" s="180"/>
      <c r="C4289" s="35"/>
      <c r="D4289" s="36"/>
      <c r="E4289" s="36"/>
    </row>
    <row r="4290" spans="1:5" x14ac:dyDescent="0.25">
      <c r="A4290" s="28"/>
      <c r="B4290" s="180"/>
      <c r="C4290" s="35"/>
      <c r="D4290" s="36"/>
      <c r="E4290" s="36"/>
    </row>
    <row r="4291" spans="1:5" x14ac:dyDescent="0.25">
      <c r="A4291" s="28"/>
      <c r="B4291" s="180"/>
      <c r="C4291" s="35"/>
      <c r="D4291" s="36"/>
      <c r="E4291" s="36"/>
    </row>
    <row r="4292" spans="1:5" x14ac:dyDescent="0.25">
      <c r="A4292" s="28"/>
      <c r="B4292" s="180"/>
      <c r="C4292" s="35"/>
      <c r="D4292" s="36"/>
      <c r="E4292" s="36"/>
    </row>
    <row r="4293" spans="1:5" x14ac:dyDescent="0.25">
      <c r="A4293" s="28"/>
      <c r="B4293" s="180"/>
      <c r="C4293" s="35"/>
      <c r="D4293" s="36"/>
      <c r="E4293" s="36"/>
    </row>
    <row r="4294" spans="1:5" x14ac:dyDescent="0.25">
      <c r="A4294" s="28"/>
      <c r="B4294" s="180"/>
      <c r="C4294" s="35"/>
      <c r="D4294" s="36"/>
      <c r="E4294" s="36"/>
    </row>
    <row r="4295" spans="1:5" x14ac:dyDescent="0.25">
      <c r="A4295" s="28"/>
      <c r="B4295" s="180"/>
      <c r="C4295" s="35"/>
      <c r="D4295" s="36"/>
      <c r="E4295" s="36"/>
    </row>
    <row r="4296" spans="1:5" x14ac:dyDescent="0.25">
      <c r="A4296" s="28"/>
      <c r="B4296" s="180"/>
      <c r="C4296" s="35"/>
      <c r="D4296" s="36"/>
      <c r="E4296" s="36"/>
    </row>
    <row r="4297" spans="1:5" x14ac:dyDescent="0.25">
      <c r="A4297" s="28"/>
      <c r="B4297" s="180"/>
      <c r="C4297" s="35"/>
      <c r="D4297" s="36"/>
      <c r="E4297" s="36"/>
    </row>
    <row r="4298" spans="1:5" x14ac:dyDescent="0.25">
      <c r="A4298" s="28"/>
      <c r="B4298" s="180"/>
      <c r="C4298" s="35"/>
      <c r="D4298" s="36"/>
      <c r="E4298" s="36"/>
    </row>
    <row r="4299" spans="1:5" x14ac:dyDescent="0.25">
      <c r="A4299" s="28"/>
      <c r="B4299" s="180"/>
      <c r="C4299" s="35"/>
      <c r="D4299" s="36"/>
      <c r="E4299" s="36"/>
    </row>
    <row r="4300" spans="1:5" x14ac:dyDescent="0.25">
      <c r="A4300" s="28"/>
      <c r="B4300" s="180"/>
      <c r="C4300" s="35"/>
      <c r="D4300" s="36"/>
      <c r="E4300" s="36"/>
    </row>
    <row r="4301" spans="1:5" x14ac:dyDescent="0.25">
      <c r="A4301" s="28"/>
      <c r="B4301" s="180"/>
      <c r="C4301" s="35"/>
      <c r="D4301" s="36"/>
      <c r="E4301" s="36"/>
    </row>
    <row r="4302" spans="1:5" x14ac:dyDescent="0.25">
      <c r="A4302" s="28"/>
      <c r="B4302" s="180"/>
      <c r="C4302" s="35"/>
      <c r="D4302" s="36"/>
      <c r="E4302" s="36"/>
    </row>
    <row r="4303" spans="1:5" x14ac:dyDescent="0.25">
      <c r="A4303" s="28"/>
      <c r="B4303" s="180"/>
      <c r="C4303" s="35"/>
      <c r="D4303" s="36"/>
      <c r="E4303" s="36"/>
    </row>
    <row r="4304" spans="1:5" x14ac:dyDescent="0.25">
      <c r="A4304" s="28"/>
      <c r="B4304" s="180"/>
      <c r="C4304" s="35"/>
      <c r="D4304" s="36"/>
      <c r="E4304" s="36"/>
    </row>
    <row r="4305" spans="1:5" x14ac:dyDescent="0.25">
      <c r="A4305" s="28"/>
      <c r="B4305" s="180"/>
      <c r="C4305" s="35"/>
      <c r="D4305" s="36"/>
      <c r="E4305" s="36"/>
    </row>
    <row r="4306" spans="1:5" x14ac:dyDescent="0.25">
      <c r="A4306" s="28"/>
      <c r="B4306" s="180"/>
      <c r="C4306" s="35"/>
      <c r="D4306" s="36"/>
      <c r="E4306" s="36"/>
    </row>
    <row r="4307" spans="1:5" x14ac:dyDescent="0.25">
      <c r="A4307" s="28"/>
      <c r="B4307" s="180"/>
      <c r="C4307" s="35"/>
      <c r="D4307" s="36"/>
      <c r="E4307" s="36"/>
    </row>
    <row r="4308" spans="1:5" x14ac:dyDescent="0.25">
      <c r="A4308" s="28"/>
      <c r="B4308" s="180"/>
      <c r="C4308" s="35"/>
      <c r="D4308" s="36"/>
      <c r="E4308" s="36"/>
    </row>
    <row r="4309" spans="1:5" x14ac:dyDescent="0.25">
      <c r="A4309" s="28"/>
      <c r="B4309" s="180"/>
      <c r="C4309" s="35"/>
      <c r="D4309" s="36"/>
      <c r="E4309" s="36"/>
    </row>
    <row r="4310" spans="1:5" x14ac:dyDescent="0.25">
      <c r="A4310" s="28"/>
      <c r="B4310" s="180"/>
      <c r="C4310" s="35"/>
      <c r="D4310" s="36"/>
      <c r="E4310" s="36"/>
    </row>
    <row r="4311" spans="1:5" x14ac:dyDescent="0.25">
      <c r="A4311" s="28"/>
      <c r="B4311" s="180"/>
      <c r="C4311" s="35"/>
      <c r="D4311" s="36"/>
      <c r="E4311" s="36"/>
    </row>
    <row r="4312" spans="1:5" x14ac:dyDescent="0.25">
      <c r="A4312" s="28"/>
      <c r="B4312" s="180"/>
      <c r="C4312" s="35"/>
      <c r="D4312" s="36"/>
      <c r="E4312" s="36"/>
    </row>
    <row r="4313" spans="1:5" x14ac:dyDescent="0.25">
      <c r="A4313" s="28"/>
      <c r="B4313" s="180"/>
      <c r="C4313" s="35"/>
      <c r="D4313" s="36"/>
      <c r="E4313" s="36"/>
    </row>
    <row r="4314" spans="1:5" x14ac:dyDescent="0.25">
      <c r="A4314" s="28"/>
      <c r="B4314" s="180"/>
      <c r="C4314" s="35"/>
      <c r="D4314" s="36"/>
      <c r="E4314" s="36"/>
    </row>
    <row r="4315" spans="1:5" x14ac:dyDescent="0.25">
      <c r="A4315" s="28"/>
      <c r="B4315" s="180"/>
      <c r="C4315" s="35"/>
      <c r="D4315" s="36"/>
      <c r="E4315" s="36"/>
    </row>
    <row r="4316" spans="1:5" x14ac:dyDescent="0.25">
      <c r="A4316" s="28"/>
      <c r="B4316" s="180"/>
      <c r="C4316" s="35"/>
      <c r="D4316" s="36"/>
      <c r="E4316" s="36"/>
    </row>
    <row r="4317" spans="1:5" x14ac:dyDescent="0.25">
      <c r="A4317" s="28"/>
      <c r="B4317" s="180"/>
      <c r="C4317" s="35"/>
      <c r="D4317" s="36"/>
      <c r="E4317" s="36"/>
    </row>
    <row r="4318" spans="1:5" x14ac:dyDescent="0.25">
      <c r="A4318" s="28"/>
      <c r="B4318" s="180"/>
      <c r="C4318" s="35"/>
      <c r="D4318" s="36"/>
      <c r="E4318" s="36"/>
    </row>
    <row r="4319" spans="1:5" x14ac:dyDescent="0.25">
      <c r="A4319" s="28"/>
      <c r="B4319" s="180"/>
      <c r="C4319" s="35"/>
      <c r="D4319" s="36"/>
      <c r="E4319" s="36"/>
    </row>
    <row r="4320" spans="1:5" x14ac:dyDescent="0.25">
      <c r="A4320" s="28"/>
      <c r="B4320" s="180"/>
      <c r="C4320" s="35"/>
      <c r="D4320" s="36"/>
      <c r="E4320" s="36"/>
    </row>
    <row r="4321" spans="1:5" x14ac:dyDescent="0.25">
      <c r="A4321" s="28"/>
      <c r="B4321" s="180"/>
      <c r="C4321" s="35"/>
      <c r="D4321" s="36"/>
      <c r="E4321" s="36"/>
    </row>
    <row r="4322" spans="1:5" x14ac:dyDescent="0.25">
      <c r="A4322" s="28"/>
      <c r="B4322" s="180"/>
      <c r="C4322" s="35"/>
      <c r="D4322" s="36"/>
      <c r="E4322" s="36"/>
    </row>
    <row r="4323" spans="1:5" x14ac:dyDescent="0.25">
      <c r="A4323" s="28"/>
      <c r="B4323" s="180"/>
      <c r="C4323" s="35"/>
      <c r="D4323" s="36"/>
      <c r="E4323" s="36"/>
    </row>
    <row r="4324" spans="1:5" x14ac:dyDescent="0.25">
      <c r="A4324" s="28"/>
      <c r="B4324" s="180"/>
      <c r="C4324" s="35"/>
      <c r="D4324" s="36"/>
      <c r="E4324" s="36"/>
    </row>
    <row r="4325" spans="1:5" x14ac:dyDescent="0.25">
      <c r="A4325" s="28"/>
      <c r="B4325" s="180"/>
      <c r="C4325" s="35"/>
      <c r="D4325" s="36"/>
      <c r="E4325" s="36"/>
    </row>
    <row r="4326" spans="1:5" x14ac:dyDescent="0.25">
      <c r="A4326" s="28"/>
      <c r="B4326" s="180"/>
      <c r="C4326" s="35"/>
      <c r="D4326" s="36"/>
      <c r="E4326" s="36"/>
    </row>
    <row r="4327" spans="1:5" x14ac:dyDescent="0.25">
      <c r="A4327" s="28"/>
      <c r="B4327" s="180"/>
      <c r="C4327" s="35"/>
      <c r="D4327" s="36"/>
      <c r="E4327" s="36"/>
    </row>
    <row r="4328" spans="1:5" x14ac:dyDescent="0.25">
      <c r="A4328" s="28"/>
      <c r="B4328" s="180"/>
      <c r="C4328" s="35"/>
      <c r="D4328" s="36"/>
      <c r="E4328" s="36"/>
    </row>
    <row r="4329" spans="1:5" x14ac:dyDescent="0.25">
      <c r="A4329" s="28"/>
      <c r="B4329" s="180"/>
      <c r="C4329" s="35"/>
      <c r="D4329" s="36"/>
      <c r="E4329" s="36"/>
    </row>
    <row r="4330" spans="1:5" x14ac:dyDescent="0.25">
      <c r="A4330" s="28"/>
      <c r="B4330" s="180"/>
      <c r="C4330" s="35"/>
      <c r="D4330" s="36"/>
      <c r="E4330" s="36"/>
    </row>
    <row r="4331" spans="1:5" x14ac:dyDescent="0.25">
      <c r="A4331" s="28"/>
      <c r="B4331" s="180"/>
      <c r="C4331" s="35"/>
      <c r="D4331" s="36"/>
      <c r="E4331" s="36"/>
    </row>
    <row r="4332" spans="1:5" x14ac:dyDescent="0.25">
      <c r="A4332" s="28"/>
      <c r="B4332" s="180"/>
      <c r="C4332" s="35"/>
      <c r="D4332" s="36"/>
      <c r="E4332" s="36"/>
    </row>
    <row r="4333" spans="1:5" x14ac:dyDescent="0.25">
      <c r="A4333" s="28"/>
      <c r="B4333" s="180"/>
      <c r="C4333" s="35"/>
      <c r="D4333" s="36"/>
      <c r="E4333" s="36"/>
    </row>
    <row r="4334" spans="1:5" x14ac:dyDescent="0.25">
      <c r="A4334" s="28"/>
      <c r="B4334" s="180"/>
      <c r="C4334" s="35"/>
      <c r="D4334" s="36"/>
      <c r="E4334" s="36"/>
    </row>
    <row r="4335" spans="1:5" x14ac:dyDescent="0.25">
      <c r="A4335" s="28"/>
      <c r="B4335" s="180"/>
      <c r="C4335" s="35"/>
      <c r="D4335" s="36"/>
      <c r="E4335" s="36"/>
    </row>
    <row r="4336" spans="1:5" x14ac:dyDescent="0.25">
      <c r="A4336" s="28"/>
      <c r="B4336" s="180"/>
      <c r="C4336" s="35"/>
      <c r="D4336" s="36"/>
      <c r="E4336" s="36"/>
    </row>
    <row r="4337" spans="1:5" x14ac:dyDescent="0.25">
      <c r="A4337" s="28"/>
      <c r="B4337" s="180"/>
      <c r="C4337" s="35"/>
      <c r="D4337" s="36"/>
      <c r="E4337" s="36"/>
    </row>
    <row r="4338" spans="1:5" x14ac:dyDescent="0.25">
      <c r="A4338" s="28"/>
      <c r="B4338" s="180"/>
      <c r="C4338" s="35"/>
      <c r="D4338" s="36"/>
      <c r="E4338" s="36"/>
    </row>
    <row r="4339" spans="1:5" x14ac:dyDescent="0.25">
      <c r="A4339" s="28"/>
      <c r="B4339" s="180"/>
      <c r="C4339" s="35"/>
      <c r="D4339" s="36"/>
      <c r="E4339" s="36"/>
    </row>
    <row r="4340" spans="1:5" x14ac:dyDescent="0.25">
      <c r="A4340" s="28"/>
      <c r="B4340" s="180"/>
      <c r="C4340" s="35"/>
      <c r="D4340" s="36"/>
      <c r="E4340" s="36"/>
    </row>
    <row r="4341" spans="1:5" x14ac:dyDescent="0.25">
      <c r="A4341" s="28"/>
      <c r="B4341" s="180"/>
      <c r="C4341" s="35"/>
      <c r="D4341" s="36"/>
      <c r="E4341" s="36"/>
    </row>
    <row r="4342" spans="1:5" x14ac:dyDescent="0.25">
      <c r="A4342" s="28"/>
      <c r="B4342" s="180"/>
      <c r="C4342" s="35"/>
      <c r="D4342" s="36"/>
      <c r="E4342" s="36"/>
    </row>
    <row r="4343" spans="1:5" x14ac:dyDescent="0.25">
      <c r="A4343" s="28"/>
      <c r="B4343" s="180"/>
      <c r="C4343" s="35"/>
      <c r="D4343" s="36"/>
      <c r="E4343" s="36"/>
    </row>
    <row r="4344" spans="1:5" x14ac:dyDescent="0.25">
      <c r="A4344" s="28"/>
      <c r="B4344" s="180"/>
      <c r="C4344" s="35"/>
      <c r="D4344" s="36"/>
      <c r="E4344" s="36"/>
    </row>
    <row r="4345" spans="1:5" x14ac:dyDescent="0.25">
      <c r="A4345" s="28"/>
      <c r="B4345" s="180"/>
      <c r="C4345" s="35"/>
      <c r="D4345" s="36"/>
      <c r="E4345" s="36"/>
    </row>
    <row r="4346" spans="1:5" x14ac:dyDescent="0.25">
      <c r="A4346" s="28"/>
      <c r="B4346" s="180"/>
      <c r="C4346" s="35"/>
      <c r="D4346" s="36"/>
      <c r="E4346" s="36"/>
    </row>
    <row r="4347" spans="1:5" x14ac:dyDescent="0.25">
      <c r="A4347" s="28"/>
      <c r="B4347" s="180"/>
      <c r="C4347" s="35"/>
      <c r="D4347" s="36"/>
      <c r="E4347" s="36"/>
    </row>
    <row r="4348" spans="1:5" x14ac:dyDescent="0.25">
      <c r="A4348" s="28"/>
      <c r="B4348" s="180"/>
      <c r="C4348" s="35"/>
      <c r="D4348" s="36"/>
      <c r="E4348" s="36"/>
    </row>
    <row r="4349" spans="1:5" x14ac:dyDescent="0.25">
      <c r="A4349" s="28"/>
      <c r="B4349" s="180"/>
      <c r="C4349" s="35"/>
      <c r="D4349" s="36"/>
      <c r="E4349" s="36"/>
    </row>
    <row r="4350" spans="1:5" x14ac:dyDescent="0.25">
      <c r="A4350" s="28"/>
      <c r="B4350" s="180"/>
      <c r="C4350" s="35"/>
      <c r="D4350" s="36"/>
      <c r="E4350" s="36"/>
    </row>
    <row r="4351" spans="1:5" x14ac:dyDescent="0.25">
      <c r="A4351" s="28"/>
      <c r="B4351" s="180"/>
      <c r="C4351" s="35"/>
      <c r="D4351" s="36"/>
      <c r="E4351" s="36"/>
    </row>
    <row r="4352" spans="1:5" x14ac:dyDescent="0.25">
      <c r="A4352" s="28"/>
      <c r="B4352" s="180"/>
      <c r="C4352" s="35"/>
      <c r="D4352" s="36"/>
      <c r="E4352" s="36"/>
    </row>
    <row r="4353" spans="1:5" x14ac:dyDescent="0.25">
      <c r="A4353" s="28"/>
      <c r="B4353" s="180"/>
      <c r="C4353" s="35"/>
      <c r="D4353" s="36"/>
      <c r="E4353" s="36"/>
    </row>
    <row r="4354" spans="1:5" x14ac:dyDescent="0.25">
      <c r="A4354" s="28"/>
      <c r="B4354" s="180"/>
      <c r="C4354" s="35"/>
      <c r="D4354" s="36"/>
      <c r="E4354" s="36"/>
    </row>
    <row r="4355" spans="1:5" x14ac:dyDescent="0.25">
      <c r="A4355" s="28"/>
      <c r="B4355" s="180"/>
      <c r="C4355" s="35"/>
      <c r="D4355" s="36"/>
      <c r="E4355" s="36"/>
    </row>
    <row r="4356" spans="1:5" x14ac:dyDescent="0.25">
      <c r="A4356" s="28"/>
      <c r="B4356" s="180"/>
      <c r="C4356" s="35"/>
      <c r="D4356" s="36"/>
      <c r="E4356" s="36"/>
    </row>
    <row r="4357" spans="1:5" x14ac:dyDescent="0.25">
      <c r="A4357" s="28"/>
      <c r="B4357" s="180"/>
      <c r="C4357" s="35"/>
      <c r="D4357" s="36"/>
      <c r="E4357" s="36"/>
    </row>
    <row r="4358" spans="1:5" x14ac:dyDescent="0.25">
      <c r="A4358" s="28"/>
      <c r="B4358" s="180"/>
      <c r="C4358" s="35"/>
      <c r="D4358" s="36"/>
      <c r="E4358" s="36"/>
    </row>
    <row r="4359" spans="1:5" x14ac:dyDescent="0.25">
      <c r="A4359" s="28"/>
      <c r="B4359" s="180"/>
      <c r="C4359" s="35"/>
      <c r="D4359" s="36"/>
      <c r="E4359" s="36"/>
    </row>
    <row r="4360" spans="1:5" x14ac:dyDescent="0.25">
      <c r="A4360" s="28"/>
      <c r="B4360" s="180"/>
      <c r="C4360" s="35"/>
      <c r="D4360" s="36"/>
      <c r="E4360" s="36"/>
    </row>
    <row r="4361" spans="1:5" x14ac:dyDescent="0.25">
      <c r="A4361" s="28"/>
      <c r="B4361" s="180"/>
      <c r="C4361" s="35"/>
      <c r="D4361" s="36"/>
      <c r="E4361" s="36"/>
    </row>
    <row r="4362" spans="1:5" x14ac:dyDescent="0.25">
      <c r="A4362" s="28"/>
      <c r="B4362" s="180"/>
      <c r="C4362" s="35"/>
      <c r="D4362" s="36"/>
      <c r="E4362" s="36"/>
    </row>
    <row r="4363" spans="1:5" x14ac:dyDescent="0.25">
      <c r="A4363" s="28"/>
      <c r="B4363" s="180"/>
      <c r="C4363" s="35"/>
      <c r="D4363" s="36"/>
      <c r="E4363" s="36"/>
    </row>
    <row r="4364" spans="1:5" x14ac:dyDescent="0.25">
      <c r="A4364" s="28"/>
      <c r="B4364" s="180"/>
      <c r="C4364" s="35"/>
      <c r="D4364" s="36"/>
      <c r="E4364" s="36"/>
    </row>
    <row r="4365" spans="1:5" x14ac:dyDescent="0.25">
      <c r="A4365" s="28"/>
      <c r="B4365" s="180"/>
      <c r="C4365" s="35"/>
      <c r="D4365" s="36"/>
      <c r="E4365" s="36"/>
    </row>
    <row r="4366" spans="1:5" x14ac:dyDescent="0.25">
      <c r="A4366" s="28"/>
      <c r="B4366" s="180"/>
      <c r="C4366" s="35"/>
      <c r="D4366" s="36"/>
      <c r="E4366" s="36"/>
    </row>
    <row r="4367" spans="1:5" x14ac:dyDescent="0.25">
      <c r="A4367" s="28"/>
      <c r="B4367" s="180"/>
      <c r="C4367" s="35"/>
      <c r="D4367" s="36"/>
      <c r="E4367" s="36"/>
    </row>
    <row r="4368" spans="1:5" x14ac:dyDescent="0.25">
      <c r="A4368" s="28"/>
      <c r="B4368" s="180"/>
      <c r="C4368" s="35"/>
      <c r="D4368" s="36"/>
      <c r="E4368" s="36"/>
    </row>
    <row r="4369" spans="1:5" x14ac:dyDescent="0.25">
      <c r="A4369" s="28"/>
      <c r="B4369" s="180"/>
      <c r="C4369" s="35"/>
      <c r="D4369" s="36"/>
      <c r="E4369" s="36"/>
    </row>
    <row r="4370" spans="1:5" x14ac:dyDescent="0.25">
      <c r="A4370" s="28"/>
      <c r="B4370" s="180"/>
      <c r="C4370" s="35"/>
      <c r="D4370" s="36"/>
      <c r="E4370" s="36"/>
    </row>
    <row r="4371" spans="1:5" x14ac:dyDescent="0.25">
      <c r="A4371" s="28"/>
      <c r="B4371" s="180"/>
      <c r="C4371" s="35"/>
      <c r="D4371" s="36"/>
      <c r="E4371" s="36"/>
    </row>
    <row r="4372" spans="1:5" x14ac:dyDescent="0.25">
      <c r="A4372" s="28"/>
      <c r="B4372" s="180"/>
      <c r="C4372" s="35"/>
      <c r="D4372" s="36"/>
      <c r="E4372" s="36"/>
    </row>
    <row r="4373" spans="1:5" x14ac:dyDescent="0.25">
      <c r="A4373" s="28"/>
      <c r="B4373" s="180"/>
      <c r="C4373" s="35"/>
      <c r="D4373" s="36"/>
      <c r="E4373" s="36"/>
    </row>
    <row r="4374" spans="1:5" x14ac:dyDescent="0.25">
      <c r="A4374" s="28"/>
      <c r="B4374" s="180"/>
      <c r="C4374" s="35"/>
      <c r="D4374" s="36"/>
      <c r="E4374" s="36"/>
    </row>
    <row r="4375" spans="1:5" x14ac:dyDescent="0.25">
      <c r="A4375" s="28"/>
      <c r="B4375" s="180"/>
      <c r="C4375" s="35"/>
      <c r="D4375" s="36"/>
      <c r="E4375" s="36"/>
    </row>
    <row r="4376" spans="1:5" x14ac:dyDescent="0.25">
      <c r="A4376" s="28"/>
      <c r="B4376" s="180"/>
      <c r="C4376" s="35"/>
      <c r="D4376" s="36"/>
      <c r="E4376" s="36"/>
    </row>
    <row r="4377" spans="1:5" x14ac:dyDescent="0.25">
      <c r="A4377" s="28"/>
      <c r="B4377" s="180"/>
      <c r="C4377" s="35"/>
      <c r="D4377" s="36"/>
      <c r="E4377" s="36"/>
    </row>
    <row r="4378" spans="1:5" x14ac:dyDescent="0.25">
      <c r="A4378" s="28"/>
      <c r="B4378" s="180"/>
      <c r="C4378" s="35"/>
      <c r="D4378" s="36"/>
      <c r="E4378" s="36"/>
    </row>
    <row r="4379" spans="1:5" x14ac:dyDescent="0.25">
      <c r="A4379" s="28"/>
      <c r="B4379" s="180"/>
      <c r="C4379" s="35"/>
      <c r="D4379" s="36"/>
      <c r="E4379" s="36"/>
    </row>
    <row r="4380" spans="1:5" x14ac:dyDescent="0.25">
      <c r="A4380" s="28"/>
      <c r="B4380" s="180"/>
      <c r="C4380" s="35"/>
      <c r="D4380" s="36"/>
      <c r="E4380" s="36"/>
    </row>
    <row r="4381" spans="1:5" x14ac:dyDescent="0.25">
      <c r="A4381" s="28"/>
      <c r="B4381" s="180"/>
      <c r="C4381" s="35"/>
      <c r="D4381" s="36"/>
      <c r="E4381" s="36"/>
    </row>
    <row r="4382" spans="1:5" x14ac:dyDescent="0.25">
      <c r="A4382" s="28"/>
      <c r="B4382" s="180"/>
      <c r="C4382" s="35"/>
      <c r="D4382" s="36"/>
      <c r="E4382" s="36"/>
    </row>
    <row r="4383" spans="1:5" x14ac:dyDescent="0.25">
      <c r="A4383" s="28"/>
      <c r="B4383" s="180"/>
      <c r="C4383" s="35"/>
      <c r="D4383" s="36"/>
      <c r="E4383" s="36"/>
    </row>
    <row r="4384" spans="1:5" x14ac:dyDescent="0.25">
      <c r="A4384" s="28"/>
      <c r="B4384" s="180"/>
      <c r="C4384" s="35"/>
      <c r="D4384" s="36"/>
      <c r="E4384" s="36"/>
    </row>
    <row r="4385" spans="1:5" x14ac:dyDescent="0.25">
      <c r="A4385" s="28"/>
      <c r="B4385" s="180"/>
      <c r="C4385" s="35"/>
      <c r="D4385" s="36"/>
      <c r="E4385" s="36"/>
    </row>
    <row r="4386" spans="1:5" x14ac:dyDescent="0.25">
      <c r="A4386" s="28"/>
      <c r="B4386" s="180"/>
      <c r="C4386" s="35"/>
      <c r="D4386" s="36"/>
      <c r="E4386" s="36"/>
    </row>
    <row r="4387" spans="1:5" x14ac:dyDescent="0.25">
      <c r="A4387" s="28"/>
      <c r="B4387" s="180"/>
      <c r="C4387" s="35"/>
      <c r="D4387" s="36"/>
      <c r="E4387" s="36"/>
    </row>
    <row r="4388" spans="1:5" x14ac:dyDescent="0.25">
      <c r="A4388" s="28"/>
      <c r="B4388" s="180"/>
      <c r="C4388" s="35"/>
      <c r="D4388" s="36"/>
      <c r="E4388" s="36"/>
    </row>
    <row r="4389" spans="1:5" x14ac:dyDescent="0.25">
      <c r="A4389" s="28"/>
      <c r="B4389" s="180"/>
      <c r="C4389" s="35"/>
      <c r="D4389" s="36"/>
      <c r="E4389" s="36"/>
    </row>
    <row r="4390" spans="1:5" x14ac:dyDescent="0.25">
      <c r="A4390" s="28"/>
      <c r="B4390" s="180"/>
      <c r="C4390" s="35"/>
      <c r="D4390" s="36"/>
      <c r="E4390" s="36"/>
    </row>
    <row r="4391" spans="1:5" x14ac:dyDescent="0.25">
      <c r="A4391" s="28"/>
      <c r="B4391" s="180"/>
      <c r="C4391" s="35"/>
      <c r="D4391" s="36"/>
      <c r="E4391" s="36"/>
    </row>
    <row r="4392" spans="1:5" x14ac:dyDescent="0.25">
      <c r="A4392" s="28"/>
      <c r="B4392" s="180"/>
      <c r="C4392" s="35"/>
      <c r="D4392" s="36"/>
      <c r="E4392" s="36"/>
    </row>
    <row r="4393" spans="1:5" x14ac:dyDescent="0.25">
      <c r="A4393" s="28"/>
      <c r="B4393" s="180"/>
      <c r="C4393" s="35"/>
      <c r="D4393" s="36"/>
      <c r="E4393" s="36"/>
    </row>
    <row r="4394" spans="1:5" x14ac:dyDescent="0.25">
      <c r="A4394" s="28"/>
      <c r="B4394" s="180"/>
      <c r="C4394" s="35"/>
      <c r="D4394" s="36"/>
      <c r="E4394" s="36"/>
    </row>
    <row r="4395" spans="1:5" x14ac:dyDescent="0.25">
      <c r="A4395" s="28"/>
      <c r="B4395" s="180"/>
      <c r="C4395" s="35"/>
      <c r="D4395" s="36"/>
      <c r="E4395" s="36"/>
    </row>
    <row r="4396" spans="1:5" x14ac:dyDescent="0.25">
      <c r="A4396" s="28"/>
      <c r="B4396" s="180"/>
      <c r="C4396" s="35"/>
      <c r="D4396" s="36"/>
      <c r="E4396" s="36"/>
    </row>
    <row r="4397" spans="1:5" x14ac:dyDescent="0.25">
      <c r="A4397" s="28"/>
      <c r="B4397" s="180"/>
      <c r="C4397" s="35"/>
      <c r="D4397" s="36"/>
      <c r="E4397" s="36"/>
    </row>
    <row r="4398" spans="1:5" x14ac:dyDescent="0.25">
      <c r="A4398" s="28"/>
      <c r="B4398" s="180"/>
      <c r="C4398" s="35"/>
      <c r="D4398" s="36"/>
      <c r="E4398" s="36"/>
    </row>
    <row r="4399" spans="1:5" x14ac:dyDescent="0.25">
      <c r="A4399" s="28"/>
      <c r="B4399" s="180"/>
      <c r="C4399" s="35"/>
      <c r="D4399" s="36"/>
      <c r="E4399" s="36"/>
    </row>
    <row r="4400" spans="1:5" x14ac:dyDescent="0.25">
      <c r="A4400" s="28"/>
      <c r="B4400" s="180"/>
      <c r="C4400" s="35"/>
      <c r="D4400" s="36"/>
      <c r="E4400" s="36"/>
    </row>
    <row r="4401" spans="1:5" x14ac:dyDescent="0.25">
      <c r="A4401" s="28"/>
      <c r="B4401" s="180"/>
      <c r="C4401" s="35"/>
      <c r="D4401" s="36"/>
      <c r="E4401" s="36"/>
    </row>
    <row r="4402" spans="1:5" x14ac:dyDescent="0.25">
      <c r="A4402" s="28"/>
      <c r="B4402" s="180"/>
      <c r="C4402" s="35"/>
      <c r="D4402" s="36"/>
      <c r="E4402" s="36"/>
    </row>
    <row r="4403" spans="1:5" x14ac:dyDescent="0.25">
      <c r="A4403" s="28"/>
      <c r="B4403" s="180"/>
      <c r="C4403" s="35"/>
      <c r="D4403" s="36"/>
      <c r="E4403" s="36"/>
    </row>
    <row r="4404" spans="1:5" x14ac:dyDescent="0.25">
      <c r="A4404" s="28"/>
      <c r="B4404" s="180"/>
      <c r="C4404" s="35"/>
      <c r="D4404" s="36"/>
      <c r="E4404" s="36"/>
    </row>
    <row r="4405" spans="1:5" x14ac:dyDescent="0.25">
      <c r="A4405" s="28"/>
      <c r="B4405" s="180"/>
      <c r="C4405" s="35"/>
      <c r="D4405" s="36"/>
      <c r="E4405" s="36"/>
    </row>
    <row r="4406" spans="1:5" x14ac:dyDescent="0.25">
      <c r="A4406" s="28"/>
      <c r="B4406" s="180"/>
      <c r="C4406" s="35"/>
      <c r="D4406" s="36"/>
      <c r="E4406" s="36"/>
    </row>
    <row r="4407" spans="1:5" x14ac:dyDescent="0.25">
      <c r="A4407" s="28"/>
      <c r="B4407" s="180"/>
      <c r="C4407" s="35"/>
      <c r="D4407" s="36"/>
      <c r="E4407" s="36"/>
    </row>
    <row r="4408" spans="1:5" x14ac:dyDescent="0.25">
      <c r="A4408" s="28"/>
      <c r="B4408" s="180"/>
      <c r="C4408" s="35"/>
      <c r="D4408" s="36"/>
      <c r="E4408" s="36"/>
    </row>
    <row r="4409" spans="1:5" x14ac:dyDescent="0.25">
      <c r="A4409" s="28"/>
      <c r="B4409" s="180"/>
      <c r="C4409" s="35"/>
      <c r="D4409" s="36"/>
      <c r="E4409" s="36"/>
    </row>
    <row r="4410" spans="1:5" x14ac:dyDescent="0.25">
      <c r="A4410" s="28"/>
      <c r="B4410" s="180"/>
      <c r="C4410" s="35"/>
      <c r="D4410" s="36"/>
      <c r="E4410" s="36"/>
    </row>
    <row r="4411" spans="1:5" x14ac:dyDescent="0.25">
      <c r="A4411" s="28"/>
      <c r="B4411" s="180"/>
      <c r="C4411" s="35"/>
      <c r="D4411" s="36"/>
      <c r="E4411" s="36"/>
    </row>
    <row r="4412" spans="1:5" x14ac:dyDescent="0.25">
      <c r="A4412" s="28"/>
      <c r="B4412" s="180"/>
      <c r="C4412" s="35"/>
      <c r="D4412" s="36"/>
      <c r="E4412" s="36"/>
    </row>
    <row r="4413" spans="1:5" x14ac:dyDescent="0.25">
      <c r="A4413" s="28"/>
      <c r="B4413" s="180"/>
      <c r="C4413" s="35"/>
      <c r="D4413" s="36"/>
      <c r="E4413" s="36"/>
    </row>
    <row r="4414" spans="1:5" x14ac:dyDescent="0.25">
      <c r="A4414" s="28"/>
      <c r="B4414" s="180"/>
      <c r="C4414" s="35"/>
      <c r="D4414" s="36"/>
      <c r="E4414" s="36"/>
    </row>
    <row r="4415" spans="1:5" x14ac:dyDescent="0.25">
      <c r="A4415" s="28"/>
      <c r="B4415" s="180"/>
      <c r="C4415" s="35"/>
      <c r="D4415" s="36"/>
      <c r="E4415" s="36"/>
    </row>
    <row r="4416" spans="1:5" x14ac:dyDescent="0.25">
      <c r="A4416" s="28"/>
      <c r="B4416" s="180"/>
      <c r="C4416" s="35"/>
      <c r="D4416" s="36"/>
      <c r="E4416" s="36"/>
    </row>
    <row r="4417" spans="1:5" x14ac:dyDescent="0.25">
      <c r="A4417" s="28"/>
      <c r="B4417" s="180"/>
      <c r="C4417" s="35"/>
      <c r="D4417" s="36"/>
      <c r="E4417" s="36"/>
    </row>
    <row r="4418" spans="1:5" x14ac:dyDescent="0.25">
      <c r="A4418" s="28"/>
      <c r="B4418" s="180"/>
      <c r="C4418" s="35"/>
      <c r="D4418" s="36"/>
      <c r="E4418" s="36"/>
    </row>
    <row r="4419" spans="1:5" x14ac:dyDescent="0.25">
      <c r="A4419" s="28"/>
      <c r="B4419" s="180"/>
      <c r="C4419" s="35"/>
      <c r="D4419" s="36"/>
      <c r="E4419" s="36"/>
    </row>
    <row r="4420" spans="1:5" x14ac:dyDescent="0.25">
      <c r="A4420" s="28"/>
      <c r="B4420" s="180"/>
      <c r="C4420" s="35"/>
      <c r="D4420" s="36"/>
      <c r="E4420" s="36"/>
    </row>
    <row r="4421" spans="1:5" x14ac:dyDescent="0.25">
      <c r="A4421" s="28"/>
      <c r="B4421" s="180"/>
      <c r="C4421" s="35"/>
      <c r="D4421" s="36"/>
      <c r="E4421" s="36"/>
    </row>
    <row r="4422" spans="1:5" x14ac:dyDescent="0.25">
      <c r="A4422" s="28"/>
      <c r="B4422" s="180"/>
      <c r="C4422" s="35"/>
      <c r="D4422" s="36"/>
      <c r="E4422" s="36"/>
    </row>
    <row r="4423" spans="1:5" x14ac:dyDescent="0.25">
      <c r="A4423" s="28"/>
      <c r="B4423" s="180"/>
      <c r="C4423" s="35"/>
      <c r="D4423" s="36"/>
      <c r="E4423" s="36"/>
    </row>
    <row r="4424" spans="1:5" x14ac:dyDescent="0.25">
      <c r="A4424" s="28"/>
      <c r="B4424" s="180"/>
      <c r="C4424" s="35"/>
      <c r="D4424" s="36"/>
      <c r="E4424" s="36"/>
    </row>
    <row r="4425" spans="1:5" x14ac:dyDescent="0.25">
      <c r="A4425" s="28"/>
      <c r="B4425" s="180"/>
      <c r="C4425" s="35"/>
      <c r="D4425" s="36"/>
      <c r="E4425" s="36"/>
    </row>
    <row r="4426" spans="1:5" x14ac:dyDescent="0.25">
      <c r="A4426" s="28"/>
      <c r="B4426" s="180"/>
      <c r="C4426" s="35"/>
      <c r="D4426" s="36"/>
      <c r="E4426" s="36"/>
    </row>
    <row r="4427" spans="1:5" x14ac:dyDescent="0.25">
      <c r="A4427" s="28"/>
      <c r="B4427" s="180"/>
      <c r="C4427" s="35"/>
      <c r="D4427" s="36"/>
      <c r="E4427" s="36"/>
    </row>
    <row r="4428" spans="1:5" x14ac:dyDescent="0.25">
      <c r="A4428" s="28"/>
      <c r="B4428" s="180"/>
      <c r="C4428" s="35"/>
      <c r="D4428" s="36"/>
      <c r="E4428" s="36"/>
    </row>
    <row r="4429" spans="1:5" x14ac:dyDescent="0.25">
      <c r="A4429" s="28"/>
      <c r="B4429" s="180"/>
      <c r="C4429" s="35"/>
      <c r="D4429" s="36"/>
      <c r="E4429" s="36"/>
    </row>
    <row r="4430" spans="1:5" x14ac:dyDescent="0.25">
      <c r="A4430" s="28"/>
      <c r="B4430" s="180"/>
      <c r="C4430" s="35"/>
      <c r="D4430" s="36"/>
      <c r="E4430" s="36"/>
    </row>
    <row r="4431" spans="1:5" x14ac:dyDescent="0.25">
      <c r="A4431" s="28"/>
      <c r="B4431" s="180"/>
      <c r="C4431" s="35"/>
      <c r="D4431" s="36"/>
      <c r="E4431" s="36"/>
    </row>
    <row r="4432" spans="1:5" x14ac:dyDescent="0.25">
      <c r="A4432" s="28"/>
      <c r="B4432" s="180"/>
      <c r="C4432" s="35"/>
      <c r="D4432" s="36"/>
      <c r="E4432" s="36"/>
    </row>
    <row r="4433" spans="1:5" x14ac:dyDescent="0.25">
      <c r="A4433" s="28"/>
      <c r="B4433" s="180"/>
      <c r="C4433" s="35"/>
      <c r="D4433" s="36"/>
      <c r="E4433" s="36"/>
    </row>
    <row r="4434" spans="1:5" x14ac:dyDescent="0.25">
      <c r="A4434" s="28"/>
      <c r="B4434" s="180"/>
      <c r="C4434" s="35"/>
      <c r="D4434" s="36"/>
      <c r="E4434" s="36"/>
    </row>
    <row r="4435" spans="1:5" x14ac:dyDescent="0.25">
      <c r="A4435" s="28"/>
      <c r="B4435" s="180"/>
      <c r="C4435" s="35"/>
      <c r="D4435" s="36"/>
      <c r="E4435" s="36"/>
    </row>
    <row r="4436" spans="1:5" x14ac:dyDescent="0.25">
      <c r="A4436" s="28"/>
      <c r="B4436" s="180"/>
      <c r="C4436" s="35"/>
      <c r="D4436" s="36"/>
      <c r="E4436" s="36"/>
    </row>
    <row r="4437" spans="1:5" x14ac:dyDescent="0.25">
      <c r="A4437" s="28"/>
      <c r="B4437" s="180"/>
      <c r="C4437" s="35"/>
      <c r="D4437" s="36"/>
      <c r="E4437" s="36"/>
    </row>
    <row r="4438" spans="1:5" x14ac:dyDescent="0.25">
      <c r="A4438" s="28"/>
      <c r="B4438" s="180"/>
      <c r="C4438" s="35"/>
      <c r="D4438" s="36"/>
      <c r="E4438" s="36"/>
    </row>
    <row r="4439" spans="1:5" x14ac:dyDescent="0.25">
      <c r="A4439" s="28"/>
      <c r="B4439" s="180"/>
      <c r="C4439" s="35"/>
      <c r="D4439" s="36"/>
      <c r="E4439" s="36"/>
    </row>
    <row r="4440" spans="1:5" x14ac:dyDescent="0.25">
      <c r="A4440" s="28"/>
      <c r="B4440" s="180"/>
      <c r="C4440" s="35"/>
      <c r="D4440" s="36"/>
      <c r="E4440" s="36"/>
    </row>
    <row r="4441" spans="1:5" x14ac:dyDescent="0.25">
      <c r="A4441" s="28"/>
      <c r="B4441" s="180"/>
      <c r="C4441" s="35"/>
      <c r="D4441" s="36"/>
      <c r="E4441" s="36"/>
    </row>
    <row r="4442" spans="1:5" x14ac:dyDescent="0.25">
      <c r="A4442" s="28"/>
      <c r="B4442" s="180"/>
      <c r="C4442" s="35"/>
      <c r="D4442" s="36"/>
      <c r="E4442" s="36"/>
    </row>
    <row r="4443" spans="1:5" x14ac:dyDescent="0.25">
      <c r="A4443" s="28"/>
      <c r="B4443" s="180"/>
      <c r="C4443" s="35"/>
      <c r="D4443" s="36"/>
      <c r="E4443" s="36"/>
    </row>
    <row r="4444" spans="1:5" x14ac:dyDescent="0.25">
      <c r="A4444" s="28"/>
      <c r="B4444" s="180"/>
      <c r="C4444" s="35"/>
      <c r="D4444" s="36"/>
      <c r="E4444" s="36"/>
    </row>
    <row r="4445" spans="1:5" x14ac:dyDescent="0.25">
      <c r="A4445" s="28"/>
      <c r="B4445" s="180"/>
      <c r="C4445" s="35"/>
      <c r="D4445" s="36"/>
      <c r="E4445" s="36"/>
    </row>
    <row r="4446" spans="1:5" x14ac:dyDescent="0.25">
      <c r="A4446" s="28"/>
      <c r="B4446" s="180"/>
      <c r="C4446" s="35"/>
      <c r="D4446" s="36"/>
      <c r="E4446" s="36"/>
    </row>
    <row r="4447" spans="1:5" x14ac:dyDescent="0.25">
      <c r="A4447" s="28"/>
      <c r="B4447" s="180"/>
      <c r="C4447" s="35"/>
      <c r="D4447" s="36"/>
      <c r="E4447" s="36"/>
    </row>
    <row r="4448" spans="1:5" x14ac:dyDescent="0.25">
      <c r="A4448" s="28"/>
      <c r="B4448" s="180"/>
      <c r="C4448" s="35"/>
      <c r="D4448" s="36"/>
      <c r="E4448" s="36"/>
    </row>
    <row r="4449" spans="1:5" x14ac:dyDescent="0.25">
      <c r="A4449" s="28"/>
      <c r="B4449" s="180"/>
      <c r="C4449" s="35"/>
      <c r="D4449" s="36"/>
      <c r="E4449" s="36"/>
    </row>
    <row r="4450" spans="1:5" x14ac:dyDescent="0.25">
      <c r="A4450" s="28"/>
      <c r="B4450" s="180"/>
      <c r="C4450" s="35"/>
      <c r="D4450" s="36"/>
      <c r="E4450" s="36"/>
    </row>
    <row r="4451" spans="1:5" x14ac:dyDescent="0.25">
      <c r="A4451" s="28"/>
      <c r="B4451" s="180"/>
      <c r="C4451" s="35"/>
      <c r="D4451" s="36"/>
      <c r="E4451" s="36"/>
    </row>
    <row r="4452" spans="1:5" x14ac:dyDescent="0.25">
      <c r="A4452" s="28"/>
      <c r="B4452" s="180"/>
      <c r="C4452" s="35"/>
      <c r="D4452" s="36"/>
      <c r="E4452" s="36"/>
    </row>
    <row r="4453" spans="1:5" x14ac:dyDescent="0.25">
      <c r="A4453" s="28"/>
      <c r="B4453" s="180"/>
      <c r="C4453" s="35"/>
      <c r="D4453" s="36"/>
      <c r="E4453" s="36"/>
    </row>
    <row r="4454" spans="1:5" x14ac:dyDescent="0.25">
      <c r="A4454" s="28"/>
      <c r="B4454" s="180"/>
      <c r="C4454" s="35"/>
      <c r="D4454" s="36"/>
      <c r="E4454" s="36"/>
    </row>
    <row r="4455" spans="1:5" x14ac:dyDescent="0.25">
      <c r="A4455" s="28"/>
      <c r="B4455" s="180"/>
      <c r="C4455" s="35"/>
      <c r="D4455" s="36"/>
      <c r="E4455" s="36"/>
    </row>
    <row r="4456" spans="1:5" x14ac:dyDescent="0.25">
      <c r="A4456" s="28"/>
      <c r="B4456" s="180"/>
      <c r="C4456" s="35"/>
      <c r="D4456" s="36"/>
      <c r="E4456" s="36"/>
    </row>
    <row r="4457" spans="1:5" x14ac:dyDescent="0.25">
      <c r="A4457" s="28"/>
      <c r="B4457" s="180"/>
      <c r="C4457" s="35"/>
      <c r="D4457" s="36"/>
      <c r="E4457" s="36"/>
    </row>
    <row r="4458" spans="1:5" x14ac:dyDescent="0.25">
      <c r="A4458" s="28"/>
      <c r="B4458" s="180"/>
      <c r="C4458" s="35"/>
      <c r="D4458" s="36"/>
      <c r="E4458" s="36"/>
    </row>
    <row r="4459" spans="1:5" x14ac:dyDescent="0.25">
      <c r="A4459" s="28"/>
      <c r="B4459" s="180"/>
      <c r="C4459" s="35"/>
      <c r="D4459" s="36"/>
      <c r="E4459" s="36"/>
    </row>
    <row r="4460" spans="1:5" x14ac:dyDescent="0.25">
      <c r="A4460" s="28"/>
      <c r="B4460" s="180"/>
      <c r="C4460" s="35"/>
      <c r="D4460" s="36"/>
      <c r="E4460" s="36"/>
    </row>
    <row r="4461" spans="1:5" x14ac:dyDescent="0.25">
      <c r="A4461" s="28"/>
      <c r="B4461" s="180"/>
      <c r="C4461" s="35"/>
      <c r="D4461" s="36"/>
      <c r="E4461" s="36"/>
    </row>
    <row r="4462" spans="1:5" x14ac:dyDescent="0.25">
      <c r="A4462" s="28"/>
      <c r="B4462" s="180"/>
      <c r="C4462" s="35"/>
      <c r="D4462" s="36"/>
      <c r="E4462" s="36"/>
    </row>
    <row r="4463" spans="1:5" x14ac:dyDescent="0.25">
      <c r="A4463" s="28"/>
      <c r="B4463" s="180"/>
      <c r="C4463" s="35"/>
      <c r="D4463" s="36"/>
      <c r="E4463" s="36"/>
    </row>
    <row r="4464" spans="1:5" x14ac:dyDescent="0.25">
      <c r="A4464" s="28"/>
      <c r="B4464" s="180"/>
      <c r="C4464" s="35"/>
      <c r="D4464" s="36"/>
      <c r="E4464" s="36"/>
    </row>
    <row r="4465" spans="1:5" x14ac:dyDescent="0.25">
      <c r="A4465" s="28"/>
      <c r="B4465" s="180"/>
      <c r="C4465" s="35"/>
      <c r="D4465" s="36"/>
      <c r="E4465" s="36"/>
    </row>
    <row r="4466" spans="1:5" x14ac:dyDescent="0.25">
      <c r="A4466" s="28"/>
      <c r="B4466" s="180"/>
      <c r="C4466" s="35"/>
      <c r="D4466" s="36"/>
      <c r="E4466" s="36"/>
    </row>
    <row r="4467" spans="1:5" x14ac:dyDescent="0.25">
      <c r="A4467" s="28"/>
      <c r="B4467" s="180"/>
      <c r="C4467" s="35"/>
      <c r="D4467" s="36"/>
      <c r="E4467" s="36"/>
    </row>
    <row r="4468" spans="1:5" x14ac:dyDescent="0.25">
      <c r="A4468" s="28"/>
      <c r="B4468" s="180"/>
      <c r="C4468" s="35"/>
      <c r="D4468" s="36"/>
      <c r="E4468" s="36"/>
    </row>
    <row r="4469" spans="1:5" x14ac:dyDescent="0.25">
      <c r="A4469" s="28"/>
      <c r="B4469" s="180"/>
      <c r="C4469" s="35"/>
      <c r="D4469" s="36"/>
      <c r="E4469" s="36"/>
    </row>
    <row r="4470" spans="1:5" x14ac:dyDescent="0.25">
      <c r="A4470" s="28"/>
      <c r="B4470" s="180"/>
      <c r="C4470" s="35"/>
      <c r="D4470" s="36"/>
      <c r="E4470" s="36"/>
    </row>
    <row r="4471" spans="1:5" x14ac:dyDescent="0.25">
      <c r="A4471" s="28"/>
      <c r="B4471" s="180"/>
      <c r="C4471" s="35"/>
      <c r="D4471" s="36"/>
      <c r="E4471" s="36"/>
    </row>
    <row r="4472" spans="1:5" x14ac:dyDescent="0.25">
      <c r="A4472" s="28"/>
      <c r="B4472" s="180"/>
      <c r="C4472" s="35"/>
      <c r="D4472" s="36"/>
      <c r="E4472" s="36"/>
    </row>
    <row r="4473" spans="1:5" x14ac:dyDescent="0.25">
      <c r="A4473" s="28"/>
      <c r="B4473" s="180"/>
      <c r="C4473" s="35"/>
      <c r="D4473" s="36"/>
      <c r="E4473" s="36"/>
    </row>
    <row r="4474" spans="1:5" x14ac:dyDescent="0.25">
      <c r="A4474" s="28"/>
      <c r="B4474" s="180"/>
      <c r="C4474" s="35"/>
      <c r="D4474" s="36"/>
      <c r="E4474" s="36"/>
    </row>
    <row r="4475" spans="1:5" x14ac:dyDescent="0.25">
      <c r="A4475" s="28"/>
      <c r="B4475" s="180"/>
      <c r="C4475" s="35"/>
      <c r="D4475" s="36"/>
      <c r="E4475" s="36"/>
    </row>
    <row r="4476" spans="1:5" x14ac:dyDescent="0.25">
      <c r="A4476" s="28"/>
      <c r="B4476" s="180"/>
      <c r="C4476" s="35"/>
      <c r="D4476" s="36"/>
      <c r="E4476" s="36"/>
    </row>
    <row r="4477" spans="1:5" x14ac:dyDescent="0.25">
      <c r="A4477" s="28"/>
      <c r="B4477" s="180"/>
      <c r="C4477" s="35"/>
      <c r="D4477" s="36"/>
      <c r="E4477" s="36"/>
    </row>
    <row r="4478" spans="1:5" x14ac:dyDescent="0.25">
      <c r="A4478" s="28"/>
      <c r="B4478" s="180"/>
      <c r="C4478" s="35"/>
      <c r="D4478" s="36"/>
      <c r="E4478" s="36"/>
    </row>
    <row r="4479" spans="1:5" x14ac:dyDescent="0.25">
      <c r="A4479" s="28"/>
      <c r="B4479" s="180"/>
      <c r="C4479" s="35"/>
      <c r="D4479" s="36"/>
      <c r="E4479" s="36"/>
    </row>
    <row r="4480" spans="1:5" x14ac:dyDescent="0.25">
      <c r="A4480" s="28"/>
      <c r="B4480" s="180"/>
      <c r="C4480" s="35"/>
      <c r="D4480" s="36"/>
      <c r="E4480" s="36"/>
    </row>
    <row r="4481" spans="1:5" x14ac:dyDescent="0.25">
      <c r="A4481" s="28"/>
      <c r="B4481" s="180"/>
      <c r="C4481" s="35"/>
      <c r="D4481" s="36"/>
      <c r="E4481" s="36"/>
    </row>
    <row r="4482" spans="1:5" x14ac:dyDescent="0.25">
      <c r="A4482" s="28"/>
      <c r="B4482" s="180"/>
      <c r="C4482" s="35"/>
      <c r="D4482" s="36"/>
      <c r="E4482" s="36"/>
    </row>
    <row r="4483" spans="1:5" x14ac:dyDescent="0.25">
      <c r="A4483" s="28"/>
      <c r="B4483" s="180"/>
      <c r="C4483" s="35"/>
      <c r="D4483" s="36"/>
      <c r="E4483" s="36"/>
    </row>
    <row r="4484" spans="1:5" x14ac:dyDescent="0.25">
      <c r="A4484" s="28"/>
      <c r="B4484" s="180"/>
      <c r="C4484" s="35"/>
      <c r="D4484" s="36"/>
      <c r="E4484" s="36"/>
    </row>
    <row r="4485" spans="1:5" x14ac:dyDescent="0.25">
      <c r="A4485" s="28"/>
      <c r="B4485" s="180"/>
      <c r="C4485" s="35"/>
      <c r="D4485" s="36"/>
      <c r="E4485" s="36"/>
    </row>
    <row r="4486" spans="1:5" x14ac:dyDescent="0.25">
      <c r="A4486" s="28"/>
      <c r="B4486" s="180"/>
      <c r="C4486" s="35"/>
      <c r="D4486" s="36"/>
      <c r="E4486" s="36"/>
    </row>
    <row r="4487" spans="1:5" x14ac:dyDescent="0.25">
      <c r="A4487" s="28"/>
      <c r="B4487" s="180"/>
      <c r="C4487" s="35"/>
      <c r="D4487" s="36"/>
      <c r="E4487" s="36"/>
    </row>
    <row r="4488" spans="1:5" x14ac:dyDescent="0.25">
      <c r="A4488" s="28"/>
      <c r="B4488" s="180"/>
      <c r="C4488" s="35"/>
      <c r="D4488" s="36"/>
      <c r="E4488" s="36"/>
    </row>
    <row r="4489" spans="1:5" x14ac:dyDescent="0.25">
      <c r="A4489" s="28"/>
      <c r="B4489" s="180"/>
      <c r="C4489" s="35"/>
      <c r="D4489" s="36"/>
      <c r="E4489" s="36"/>
    </row>
    <row r="4490" spans="1:5" x14ac:dyDescent="0.25">
      <c r="A4490" s="28"/>
      <c r="B4490" s="180"/>
      <c r="C4490" s="35"/>
      <c r="D4490" s="36"/>
      <c r="E4490" s="36"/>
    </row>
    <row r="4491" spans="1:5" x14ac:dyDescent="0.25">
      <c r="A4491" s="28"/>
      <c r="B4491" s="180"/>
      <c r="C4491" s="35"/>
      <c r="D4491" s="36"/>
      <c r="E4491" s="36"/>
    </row>
    <row r="4492" spans="1:5" x14ac:dyDescent="0.25">
      <c r="A4492" s="28"/>
      <c r="B4492" s="180"/>
      <c r="C4492" s="35"/>
      <c r="D4492" s="36"/>
      <c r="E4492" s="36"/>
    </row>
    <row r="4493" spans="1:5" x14ac:dyDescent="0.25">
      <c r="A4493" s="28"/>
      <c r="B4493" s="180"/>
      <c r="C4493" s="35"/>
      <c r="D4493" s="36"/>
      <c r="E4493" s="36"/>
    </row>
    <row r="4494" spans="1:5" x14ac:dyDescent="0.25">
      <c r="A4494" s="28"/>
      <c r="B4494" s="180"/>
      <c r="C4494" s="35"/>
      <c r="D4494" s="36"/>
      <c r="E4494" s="36"/>
    </row>
    <row r="4495" spans="1:5" x14ac:dyDescent="0.25">
      <c r="A4495" s="28"/>
      <c r="B4495" s="180"/>
      <c r="C4495" s="35"/>
      <c r="D4495" s="36"/>
      <c r="E4495" s="36"/>
    </row>
    <row r="4496" spans="1:5" x14ac:dyDescent="0.25">
      <c r="A4496" s="28"/>
      <c r="B4496" s="180"/>
      <c r="C4496" s="35"/>
      <c r="D4496" s="36"/>
      <c r="E4496" s="36"/>
    </row>
    <row r="4497" spans="1:5" x14ac:dyDescent="0.25">
      <c r="A4497" s="28"/>
      <c r="B4497" s="180"/>
      <c r="C4497" s="35"/>
      <c r="D4497" s="36"/>
      <c r="E4497" s="36"/>
    </row>
    <row r="4498" spans="1:5" x14ac:dyDescent="0.25">
      <c r="A4498" s="28"/>
      <c r="B4498" s="180"/>
      <c r="C4498" s="35"/>
      <c r="D4498" s="36"/>
      <c r="E4498" s="36"/>
    </row>
    <row r="4499" spans="1:5" x14ac:dyDescent="0.25">
      <c r="A4499" s="28"/>
      <c r="B4499" s="180"/>
      <c r="C4499" s="35"/>
      <c r="D4499" s="36"/>
      <c r="E4499" s="36"/>
    </row>
    <row r="4500" spans="1:5" x14ac:dyDescent="0.25">
      <c r="A4500" s="28"/>
      <c r="B4500" s="180"/>
      <c r="C4500" s="35"/>
      <c r="D4500" s="36"/>
      <c r="E4500" s="36"/>
    </row>
    <row r="4501" spans="1:5" x14ac:dyDescent="0.25">
      <c r="A4501" s="28"/>
      <c r="B4501" s="180"/>
      <c r="C4501" s="35"/>
      <c r="D4501" s="36"/>
      <c r="E4501" s="36"/>
    </row>
    <row r="4502" spans="1:5" x14ac:dyDescent="0.25">
      <c r="A4502" s="28"/>
      <c r="B4502" s="180"/>
      <c r="C4502" s="35"/>
      <c r="D4502" s="36"/>
      <c r="E4502" s="36"/>
    </row>
    <row r="4503" spans="1:5" x14ac:dyDescent="0.25">
      <c r="A4503" s="28"/>
      <c r="B4503" s="180"/>
      <c r="C4503" s="35"/>
      <c r="D4503" s="36"/>
      <c r="E4503" s="36"/>
    </row>
    <row r="4504" spans="1:5" x14ac:dyDescent="0.25">
      <c r="A4504" s="28"/>
      <c r="B4504" s="180"/>
      <c r="C4504" s="35"/>
      <c r="D4504" s="36"/>
      <c r="E4504" s="36"/>
    </row>
    <row r="4505" spans="1:5" x14ac:dyDescent="0.25">
      <c r="A4505" s="28"/>
      <c r="B4505" s="180"/>
      <c r="C4505" s="35"/>
      <c r="D4505" s="36"/>
      <c r="E4505" s="36"/>
    </row>
    <row r="4506" spans="1:5" x14ac:dyDescent="0.25">
      <c r="A4506" s="28"/>
      <c r="B4506" s="180"/>
      <c r="C4506" s="35"/>
      <c r="D4506" s="36"/>
      <c r="E4506" s="36"/>
    </row>
    <row r="4507" spans="1:5" x14ac:dyDescent="0.25">
      <c r="A4507" s="28"/>
      <c r="B4507" s="180"/>
      <c r="C4507" s="35"/>
      <c r="D4507" s="36"/>
      <c r="E4507" s="36"/>
    </row>
    <row r="4508" spans="1:5" x14ac:dyDescent="0.25">
      <c r="A4508" s="28"/>
      <c r="B4508" s="180"/>
      <c r="C4508" s="35"/>
      <c r="D4508" s="36"/>
      <c r="E4508" s="36"/>
    </row>
    <row r="4509" spans="1:5" x14ac:dyDescent="0.25">
      <c r="A4509" s="28"/>
      <c r="B4509" s="180"/>
      <c r="C4509" s="35"/>
      <c r="D4509" s="36"/>
      <c r="E4509" s="36"/>
    </row>
    <row r="4510" spans="1:5" x14ac:dyDescent="0.25">
      <c r="A4510" s="28"/>
      <c r="B4510" s="180"/>
      <c r="C4510" s="35"/>
      <c r="D4510" s="36"/>
      <c r="E4510" s="36"/>
    </row>
    <row r="4511" spans="1:5" x14ac:dyDescent="0.25">
      <c r="A4511" s="28"/>
      <c r="B4511" s="180"/>
      <c r="C4511" s="35"/>
      <c r="D4511" s="36"/>
      <c r="E4511" s="36"/>
    </row>
    <row r="4512" spans="1:5" x14ac:dyDescent="0.25">
      <c r="A4512" s="28"/>
      <c r="B4512" s="180"/>
      <c r="C4512" s="35"/>
      <c r="D4512" s="36"/>
      <c r="E4512" s="36"/>
    </row>
    <row r="4513" spans="1:5" x14ac:dyDescent="0.25">
      <c r="A4513" s="28"/>
      <c r="B4513" s="180"/>
      <c r="C4513" s="35"/>
      <c r="D4513" s="36"/>
      <c r="E4513" s="36"/>
    </row>
    <row r="4514" spans="1:5" x14ac:dyDescent="0.25">
      <c r="A4514" s="28"/>
      <c r="B4514" s="180"/>
      <c r="C4514" s="35"/>
      <c r="D4514" s="36"/>
      <c r="E4514" s="36"/>
    </row>
    <row r="4515" spans="1:5" x14ac:dyDescent="0.25">
      <c r="A4515" s="28"/>
      <c r="B4515" s="180"/>
      <c r="C4515" s="35"/>
      <c r="D4515" s="36"/>
      <c r="E4515" s="36"/>
    </row>
    <row r="4516" spans="1:5" x14ac:dyDescent="0.25">
      <c r="A4516" s="28"/>
      <c r="B4516" s="180"/>
      <c r="C4516" s="35"/>
      <c r="D4516" s="36"/>
      <c r="E4516" s="36"/>
    </row>
    <row r="4517" spans="1:5" x14ac:dyDescent="0.25">
      <c r="A4517" s="28"/>
      <c r="B4517" s="180"/>
      <c r="C4517" s="35"/>
      <c r="D4517" s="36"/>
      <c r="E4517" s="36"/>
    </row>
    <row r="4518" spans="1:5" x14ac:dyDescent="0.25">
      <c r="A4518" s="28"/>
      <c r="B4518" s="180"/>
      <c r="C4518" s="35"/>
      <c r="D4518" s="36"/>
      <c r="E4518" s="36"/>
    </row>
    <row r="4519" spans="1:5" x14ac:dyDescent="0.25">
      <c r="A4519" s="28"/>
      <c r="B4519" s="180"/>
      <c r="C4519" s="35"/>
      <c r="D4519" s="36"/>
      <c r="E4519" s="36"/>
    </row>
    <row r="4520" spans="1:5" x14ac:dyDescent="0.25">
      <c r="A4520" s="28"/>
      <c r="B4520" s="180"/>
      <c r="C4520" s="35"/>
      <c r="D4520" s="36"/>
      <c r="E4520" s="36"/>
    </row>
    <row r="4521" spans="1:5" x14ac:dyDescent="0.25">
      <c r="A4521" s="28"/>
      <c r="B4521" s="180"/>
      <c r="C4521" s="35"/>
      <c r="D4521" s="36"/>
      <c r="E4521" s="36"/>
    </row>
    <row r="4522" spans="1:5" x14ac:dyDescent="0.25">
      <c r="A4522" s="28"/>
      <c r="B4522" s="180"/>
      <c r="C4522" s="35"/>
      <c r="D4522" s="36"/>
      <c r="E4522" s="36"/>
    </row>
    <row r="4523" spans="1:5" x14ac:dyDescent="0.25">
      <c r="A4523" s="28"/>
      <c r="B4523" s="180"/>
      <c r="C4523" s="35"/>
      <c r="D4523" s="36"/>
      <c r="E4523" s="36"/>
    </row>
    <row r="4524" spans="1:5" x14ac:dyDescent="0.25">
      <c r="A4524" s="28"/>
      <c r="B4524" s="180"/>
      <c r="C4524" s="35"/>
      <c r="D4524" s="36"/>
      <c r="E4524" s="36"/>
    </row>
    <row r="4525" spans="1:5" x14ac:dyDescent="0.25">
      <c r="A4525" s="28"/>
      <c r="B4525" s="180"/>
      <c r="C4525" s="35"/>
      <c r="D4525" s="36"/>
      <c r="E4525" s="36"/>
    </row>
    <row r="4526" spans="1:5" x14ac:dyDescent="0.25">
      <c r="A4526" s="28"/>
      <c r="B4526" s="180"/>
      <c r="C4526" s="35"/>
      <c r="D4526" s="36"/>
      <c r="E4526" s="36"/>
    </row>
    <row r="4527" spans="1:5" x14ac:dyDescent="0.25">
      <c r="A4527" s="28"/>
      <c r="B4527" s="180"/>
      <c r="C4527" s="35"/>
      <c r="D4527" s="36"/>
      <c r="E4527" s="36"/>
    </row>
    <row r="4528" spans="1:5" x14ac:dyDescent="0.25">
      <c r="A4528" s="28"/>
      <c r="B4528" s="180"/>
      <c r="C4528" s="35"/>
      <c r="D4528" s="36"/>
      <c r="E4528" s="36"/>
    </row>
    <row r="4529" spans="1:5" x14ac:dyDescent="0.25">
      <c r="A4529" s="28"/>
      <c r="B4529" s="180"/>
      <c r="C4529" s="35"/>
      <c r="D4529" s="36"/>
      <c r="E4529" s="36"/>
    </row>
    <row r="4530" spans="1:5" x14ac:dyDescent="0.25">
      <c r="A4530" s="28"/>
      <c r="B4530" s="180"/>
      <c r="C4530" s="35"/>
      <c r="D4530" s="36"/>
      <c r="E4530" s="36"/>
    </row>
    <row r="4531" spans="1:5" x14ac:dyDescent="0.25">
      <c r="A4531" s="28"/>
      <c r="B4531" s="180"/>
      <c r="C4531" s="35"/>
      <c r="D4531" s="36"/>
      <c r="E4531" s="36"/>
    </row>
    <row r="4532" spans="1:5" x14ac:dyDescent="0.25">
      <c r="A4532" s="28"/>
      <c r="B4532" s="180"/>
      <c r="C4532" s="35"/>
      <c r="D4532" s="36"/>
      <c r="E4532" s="36"/>
    </row>
    <row r="4533" spans="1:5" x14ac:dyDescent="0.25">
      <c r="A4533" s="28"/>
      <c r="B4533" s="180"/>
      <c r="C4533" s="35"/>
      <c r="D4533" s="36"/>
      <c r="E4533" s="36"/>
    </row>
    <row r="4534" spans="1:5" x14ac:dyDescent="0.25">
      <c r="A4534" s="28"/>
      <c r="B4534" s="180"/>
      <c r="C4534" s="35"/>
      <c r="D4534" s="36"/>
      <c r="E4534" s="36"/>
    </row>
    <row r="4535" spans="1:5" x14ac:dyDescent="0.25">
      <c r="A4535" s="28"/>
      <c r="B4535" s="180"/>
      <c r="C4535" s="35"/>
      <c r="D4535" s="36"/>
      <c r="E4535" s="36"/>
    </row>
    <row r="4536" spans="1:5" x14ac:dyDescent="0.25">
      <c r="A4536" s="28"/>
      <c r="B4536" s="180"/>
      <c r="C4536" s="35"/>
      <c r="D4536" s="36"/>
      <c r="E4536" s="36"/>
    </row>
    <row r="4537" spans="1:5" x14ac:dyDescent="0.25">
      <c r="A4537" s="28"/>
      <c r="B4537" s="180"/>
      <c r="C4537" s="35"/>
      <c r="D4537" s="36"/>
      <c r="E4537" s="36"/>
    </row>
    <row r="4538" spans="1:5" x14ac:dyDescent="0.25">
      <c r="A4538" s="28"/>
      <c r="B4538" s="180"/>
      <c r="C4538" s="35"/>
      <c r="D4538" s="36"/>
      <c r="E4538" s="36"/>
    </row>
    <row r="4539" spans="1:5" x14ac:dyDescent="0.25">
      <c r="A4539" s="28"/>
      <c r="B4539" s="180"/>
      <c r="C4539" s="35"/>
      <c r="D4539" s="36"/>
      <c r="E4539" s="36"/>
    </row>
    <row r="4540" spans="1:5" x14ac:dyDescent="0.25">
      <c r="A4540" s="28"/>
      <c r="B4540" s="180"/>
      <c r="C4540" s="35"/>
      <c r="D4540" s="36"/>
      <c r="E4540" s="36"/>
    </row>
    <row r="4541" spans="1:5" x14ac:dyDescent="0.25">
      <c r="A4541" s="28"/>
      <c r="B4541" s="180"/>
      <c r="C4541" s="35"/>
      <c r="D4541" s="36"/>
      <c r="E4541" s="36"/>
    </row>
    <row r="4542" spans="1:5" x14ac:dyDescent="0.25">
      <c r="A4542" s="28"/>
      <c r="B4542" s="180"/>
      <c r="C4542" s="35"/>
      <c r="D4542" s="36"/>
      <c r="E4542" s="36"/>
    </row>
    <row r="4543" spans="1:5" x14ac:dyDescent="0.25">
      <c r="A4543" s="28"/>
      <c r="B4543" s="180"/>
      <c r="C4543" s="35"/>
      <c r="D4543" s="36"/>
      <c r="E4543" s="36"/>
    </row>
    <row r="4544" spans="1:5" x14ac:dyDescent="0.25">
      <c r="A4544" s="28"/>
      <c r="B4544" s="180"/>
      <c r="C4544" s="35"/>
      <c r="D4544" s="36"/>
      <c r="E4544" s="36"/>
    </row>
    <row r="4545" spans="1:5" x14ac:dyDescent="0.25">
      <c r="A4545" s="28"/>
      <c r="B4545" s="180"/>
      <c r="C4545" s="35"/>
      <c r="D4545" s="36"/>
      <c r="E4545" s="36"/>
    </row>
    <row r="4546" spans="1:5" x14ac:dyDescent="0.25">
      <c r="A4546" s="28"/>
      <c r="B4546" s="180"/>
      <c r="C4546" s="35"/>
      <c r="D4546" s="36"/>
      <c r="E4546" s="36"/>
    </row>
    <row r="4547" spans="1:5" x14ac:dyDescent="0.25">
      <c r="A4547" s="28"/>
      <c r="B4547" s="180"/>
      <c r="C4547" s="35"/>
      <c r="D4547" s="36"/>
      <c r="E4547" s="36"/>
    </row>
    <row r="4548" spans="1:5" x14ac:dyDescent="0.25">
      <c r="A4548" s="28"/>
      <c r="B4548" s="180"/>
      <c r="C4548" s="35"/>
      <c r="D4548" s="36"/>
      <c r="E4548" s="36"/>
    </row>
    <row r="4549" spans="1:5" x14ac:dyDescent="0.25">
      <c r="A4549" s="28"/>
      <c r="B4549" s="180"/>
      <c r="C4549" s="35"/>
      <c r="D4549" s="36"/>
      <c r="E4549" s="36"/>
    </row>
    <row r="4550" spans="1:5" x14ac:dyDescent="0.25">
      <c r="A4550" s="28"/>
      <c r="B4550" s="180"/>
      <c r="C4550" s="35"/>
      <c r="D4550" s="36"/>
      <c r="E4550" s="36"/>
    </row>
    <row r="4551" spans="1:5" x14ac:dyDescent="0.25">
      <c r="A4551" s="28"/>
      <c r="B4551" s="180"/>
      <c r="C4551" s="35"/>
      <c r="D4551" s="36"/>
      <c r="E4551" s="36"/>
    </row>
    <row r="4552" spans="1:5" x14ac:dyDescent="0.25">
      <c r="A4552" s="28"/>
      <c r="B4552" s="180"/>
      <c r="C4552" s="35"/>
      <c r="D4552" s="36"/>
      <c r="E4552" s="36"/>
    </row>
    <row r="4553" spans="1:5" x14ac:dyDescent="0.25">
      <c r="A4553" s="28"/>
      <c r="B4553" s="180"/>
      <c r="C4553" s="35"/>
      <c r="D4553" s="36"/>
      <c r="E4553" s="36"/>
    </row>
    <row r="4554" spans="1:5" x14ac:dyDescent="0.25">
      <c r="A4554" s="28"/>
      <c r="B4554" s="180"/>
      <c r="C4554" s="35"/>
      <c r="D4554" s="36"/>
      <c r="E4554" s="36"/>
    </row>
    <row r="4555" spans="1:5" x14ac:dyDescent="0.25">
      <c r="A4555" s="28"/>
      <c r="B4555" s="180"/>
      <c r="C4555" s="35"/>
      <c r="D4555" s="36"/>
      <c r="E4555" s="36"/>
    </row>
    <row r="4556" spans="1:5" x14ac:dyDescent="0.25">
      <c r="A4556" s="28"/>
      <c r="B4556" s="180"/>
      <c r="C4556" s="35"/>
      <c r="D4556" s="36"/>
      <c r="E4556" s="36"/>
    </row>
    <row r="4557" spans="1:5" x14ac:dyDescent="0.25">
      <c r="A4557" s="28"/>
      <c r="B4557" s="180"/>
      <c r="C4557" s="35"/>
      <c r="D4557" s="36"/>
      <c r="E4557" s="36"/>
    </row>
    <row r="4558" spans="1:5" x14ac:dyDescent="0.25">
      <c r="A4558" s="28"/>
      <c r="B4558" s="180"/>
      <c r="C4558" s="35"/>
      <c r="D4558" s="36"/>
      <c r="E4558" s="36"/>
    </row>
    <row r="4559" spans="1:5" x14ac:dyDescent="0.25">
      <c r="A4559" s="28"/>
      <c r="B4559" s="180"/>
      <c r="C4559" s="35"/>
      <c r="D4559" s="36"/>
      <c r="E4559" s="36"/>
    </row>
    <row r="4560" spans="1:5" x14ac:dyDescent="0.25">
      <c r="A4560" s="28"/>
      <c r="B4560" s="180"/>
      <c r="C4560" s="35"/>
      <c r="D4560" s="36"/>
      <c r="E4560" s="36"/>
    </row>
    <row r="4561" spans="1:5" x14ac:dyDescent="0.25">
      <c r="A4561" s="28"/>
      <c r="B4561" s="180"/>
      <c r="C4561" s="35"/>
      <c r="D4561" s="36"/>
      <c r="E4561" s="36"/>
    </row>
    <row r="4562" spans="1:5" x14ac:dyDescent="0.25">
      <c r="A4562" s="28"/>
      <c r="B4562" s="180"/>
      <c r="C4562" s="35"/>
      <c r="D4562" s="36"/>
      <c r="E4562" s="36"/>
    </row>
    <row r="4563" spans="1:5" x14ac:dyDescent="0.25">
      <c r="A4563" s="28"/>
      <c r="B4563" s="180"/>
      <c r="C4563" s="35"/>
      <c r="D4563" s="36"/>
      <c r="E4563" s="36"/>
    </row>
    <row r="4564" spans="1:5" x14ac:dyDescent="0.25">
      <c r="A4564" s="28"/>
      <c r="B4564" s="180"/>
      <c r="C4564" s="35"/>
      <c r="D4564" s="36"/>
      <c r="E4564" s="36"/>
    </row>
    <row r="4565" spans="1:5" x14ac:dyDescent="0.25">
      <c r="A4565" s="28"/>
      <c r="B4565" s="180"/>
      <c r="C4565" s="35"/>
      <c r="D4565" s="36"/>
      <c r="E4565" s="36"/>
    </row>
    <row r="4566" spans="1:5" x14ac:dyDescent="0.25">
      <c r="A4566" s="28"/>
      <c r="B4566" s="180"/>
      <c r="C4566" s="35"/>
      <c r="D4566" s="36"/>
      <c r="E4566" s="36"/>
    </row>
    <row r="4567" spans="1:5" x14ac:dyDescent="0.25">
      <c r="A4567" s="28"/>
      <c r="B4567" s="180"/>
      <c r="C4567" s="35"/>
      <c r="D4567" s="36"/>
      <c r="E4567" s="36"/>
    </row>
    <row r="4568" spans="1:5" x14ac:dyDescent="0.25">
      <c r="A4568" s="28"/>
      <c r="B4568" s="180"/>
      <c r="C4568" s="35"/>
      <c r="D4568" s="36"/>
      <c r="E4568" s="36"/>
    </row>
    <row r="4569" spans="1:5" x14ac:dyDescent="0.25">
      <c r="A4569" s="28"/>
      <c r="B4569" s="180"/>
      <c r="C4569" s="35"/>
      <c r="D4569" s="36"/>
      <c r="E4569" s="36"/>
    </row>
    <row r="4570" spans="1:5" x14ac:dyDescent="0.25">
      <c r="A4570" s="28"/>
      <c r="B4570" s="180"/>
      <c r="C4570" s="35"/>
      <c r="D4570" s="36"/>
      <c r="E4570" s="36"/>
    </row>
    <row r="4571" spans="1:5" x14ac:dyDescent="0.25">
      <c r="A4571" s="28"/>
      <c r="B4571" s="180"/>
      <c r="C4571" s="35"/>
      <c r="D4571" s="36"/>
      <c r="E4571" s="36"/>
    </row>
    <row r="4572" spans="1:5" x14ac:dyDescent="0.25">
      <c r="A4572" s="28"/>
      <c r="B4572" s="180"/>
      <c r="C4572" s="35"/>
      <c r="D4572" s="36"/>
      <c r="E4572" s="36"/>
    </row>
    <row r="4573" spans="1:5" x14ac:dyDescent="0.25">
      <c r="A4573" s="28"/>
      <c r="B4573" s="180"/>
      <c r="C4573" s="35"/>
      <c r="D4573" s="36"/>
      <c r="E4573" s="36"/>
    </row>
    <row r="4574" spans="1:5" x14ac:dyDescent="0.25">
      <c r="A4574" s="28"/>
      <c r="B4574" s="180"/>
      <c r="C4574" s="35"/>
      <c r="D4574" s="36"/>
      <c r="E4574" s="36"/>
    </row>
    <row r="4575" spans="1:5" x14ac:dyDescent="0.25">
      <c r="A4575" s="28"/>
      <c r="B4575" s="180"/>
      <c r="C4575" s="35"/>
      <c r="D4575" s="36"/>
      <c r="E4575" s="36"/>
    </row>
    <row r="4576" spans="1:5" x14ac:dyDescent="0.25">
      <c r="A4576" s="28"/>
      <c r="B4576" s="180"/>
      <c r="C4576" s="35"/>
      <c r="D4576" s="36"/>
      <c r="E4576" s="36"/>
    </row>
    <row r="4577" spans="1:5" x14ac:dyDescent="0.25">
      <c r="A4577" s="28"/>
      <c r="B4577" s="180"/>
      <c r="C4577" s="35"/>
      <c r="D4577" s="36"/>
      <c r="E4577" s="36"/>
    </row>
    <row r="4578" spans="1:5" x14ac:dyDescent="0.25">
      <c r="A4578" s="28"/>
      <c r="B4578" s="180"/>
      <c r="C4578" s="35"/>
      <c r="D4578" s="36"/>
      <c r="E4578" s="36"/>
    </row>
    <row r="4579" spans="1:5" x14ac:dyDescent="0.25">
      <c r="A4579" s="28"/>
      <c r="B4579" s="180"/>
      <c r="C4579" s="35"/>
      <c r="D4579" s="36"/>
      <c r="E4579" s="36"/>
    </row>
    <row r="4580" spans="1:5" x14ac:dyDescent="0.25">
      <c r="A4580" s="28"/>
      <c r="B4580" s="180"/>
      <c r="C4580" s="35"/>
      <c r="D4580" s="36"/>
      <c r="E4580" s="36"/>
    </row>
    <row r="4581" spans="1:5" x14ac:dyDescent="0.25">
      <c r="A4581" s="28"/>
      <c r="B4581" s="180"/>
      <c r="C4581" s="35"/>
      <c r="D4581" s="36"/>
      <c r="E4581" s="36"/>
    </row>
    <row r="4582" spans="1:5" x14ac:dyDescent="0.25">
      <c r="A4582" s="28"/>
      <c r="B4582" s="180"/>
      <c r="C4582" s="35"/>
      <c r="D4582" s="36"/>
      <c r="E4582" s="36"/>
    </row>
    <row r="4583" spans="1:5" x14ac:dyDescent="0.25">
      <c r="A4583" s="28"/>
      <c r="B4583" s="180"/>
      <c r="C4583" s="35"/>
      <c r="D4583" s="36"/>
      <c r="E4583" s="36"/>
    </row>
    <row r="4584" spans="1:5" x14ac:dyDescent="0.25">
      <c r="A4584" s="28"/>
      <c r="B4584" s="180"/>
      <c r="C4584" s="35"/>
      <c r="D4584" s="36"/>
      <c r="E4584" s="36"/>
    </row>
    <row r="4585" spans="1:5" x14ac:dyDescent="0.25">
      <c r="A4585" s="28"/>
      <c r="B4585" s="180"/>
      <c r="C4585" s="35"/>
      <c r="D4585" s="36"/>
      <c r="E4585" s="36"/>
    </row>
    <row r="4586" spans="1:5" x14ac:dyDescent="0.25">
      <c r="A4586" s="28"/>
      <c r="B4586" s="180"/>
      <c r="C4586" s="35"/>
      <c r="D4586" s="36"/>
      <c r="E4586" s="36"/>
    </row>
    <row r="4587" spans="1:5" x14ac:dyDescent="0.25">
      <c r="A4587" s="28"/>
      <c r="B4587" s="180"/>
      <c r="C4587" s="35"/>
      <c r="D4587" s="36"/>
      <c r="E4587" s="36"/>
    </row>
    <row r="4588" spans="1:5" x14ac:dyDescent="0.25">
      <c r="A4588" s="28"/>
      <c r="B4588" s="180"/>
      <c r="C4588" s="35"/>
      <c r="D4588" s="36"/>
      <c r="E4588" s="36"/>
    </row>
    <row r="4589" spans="1:5" x14ac:dyDescent="0.25">
      <c r="A4589" s="28"/>
      <c r="B4589" s="180"/>
      <c r="C4589" s="35"/>
      <c r="D4589" s="36"/>
      <c r="E4589" s="36"/>
    </row>
    <row r="4590" spans="1:5" x14ac:dyDescent="0.25">
      <c r="A4590" s="28"/>
      <c r="B4590" s="180"/>
      <c r="C4590" s="35"/>
      <c r="D4590" s="36"/>
      <c r="E4590" s="36"/>
    </row>
    <row r="4591" spans="1:5" x14ac:dyDescent="0.25">
      <c r="A4591" s="28"/>
      <c r="B4591" s="180"/>
      <c r="C4591" s="35"/>
      <c r="D4591" s="36"/>
      <c r="E4591" s="36"/>
    </row>
    <row r="4592" spans="1:5" x14ac:dyDescent="0.25">
      <c r="A4592" s="28"/>
      <c r="B4592" s="180"/>
      <c r="C4592" s="35"/>
      <c r="D4592" s="36"/>
      <c r="E4592" s="36"/>
    </row>
    <row r="4593" spans="1:5" x14ac:dyDescent="0.25">
      <c r="A4593" s="28"/>
      <c r="B4593" s="180"/>
      <c r="C4593" s="35"/>
      <c r="D4593" s="36"/>
      <c r="E4593" s="36"/>
    </row>
    <row r="4594" spans="1:5" x14ac:dyDescent="0.25">
      <c r="A4594" s="28"/>
      <c r="B4594" s="180"/>
      <c r="C4594" s="35"/>
      <c r="D4594" s="36"/>
      <c r="E4594" s="36"/>
    </row>
    <row r="4595" spans="1:5" x14ac:dyDescent="0.25">
      <c r="A4595" s="28"/>
      <c r="B4595" s="180"/>
      <c r="C4595" s="35"/>
      <c r="D4595" s="36"/>
      <c r="E4595" s="36"/>
    </row>
    <row r="4596" spans="1:5" x14ac:dyDescent="0.25">
      <c r="A4596" s="28"/>
      <c r="B4596" s="180"/>
      <c r="C4596" s="35"/>
      <c r="D4596" s="36"/>
      <c r="E4596" s="36"/>
    </row>
    <row r="4597" spans="1:5" x14ac:dyDescent="0.25">
      <c r="A4597" s="28"/>
      <c r="B4597" s="180"/>
      <c r="C4597" s="35"/>
      <c r="D4597" s="36"/>
      <c r="E4597" s="36"/>
    </row>
    <row r="4598" spans="1:5" x14ac:dyDescent="0.25">
      <c r="A4598" s="28"/>
      <c r="B4598" s="180"/>
      <c r="C4598" s="35"/>
      <c r="D4598" s="36"/>
      <c r="E4598" s="36"/>
    </row>
    <row r="4599" spans="1:5" x14ac:dyDescent="0.25">
      <c r="A4599" s="28"/>
      <c r="B4599" s="180"/>
      <c r="C4599" s="35"/>
      <c r="D4599" s="36"/>
      <c r="E4599" s="36"/>
    </row>
    <row r="4600" spans="1:5" x14ac:dyDescent="0.25">
      <c r="A4600" s="28"/>
      <c r="B4600" s="180"/>
      <c r="C4600" s="35"/>
      <c r="D4600" s="36"/>
      <c r="E4600" s="36"/>
    </row>
    <row r="4601" spans="1:5" x14ac:dyDescent="0.25">
      <c r="A4601" s="28"/>
      <c r="B4601" s="180"/>
      <c r="C4601" s="35"/>
      <c r="D4601" s="36"/>
      <c r="E4601" s="36"/>
    </row>
    <row r="4602" spans="1:5" x14ac:dyDescent="0.25">
      <c r="A4602" s="28"/>
      <c r="B4602" s="180"/>
      <c r="C4602" s="35"/>
      <c r="D4602" s="36"/>
      <c r="E4602" s="36"/>
    </row>
    <row r="4603" spans="1:5" x14ac:dyDescent="0.25">
      <c r="A4603" s="28"/>
      <c r="B4603" s="180"/>
      <c r="C4603" s="35"/>
      <c r="D4603" s="36"/>
      <c r="E4603" s="36"/>
    </row>
    <row r="4604" spans="1:5" x14ac:dyDescent="0.25">
      <c r="A4604" s="28"/>
      <c r="B4604" s="180"/>
      <c r="C4604" s="35"/>
      <c r="D4604" s="36"/>
      <c r="E4604" s="36"/>
    </row>
    <row r="4605" spans="1:5" x14ac:dyDescent="0.25">
      <c r="A4605" s="28"/>
      <c r="B4605" s="180"/>
      <c r="C4605" s="35"/>
      <c r="D4605" s="36"/>
      <c r="E4605" s="36"/>
    </row>
    <row r="4606" spans="1:5" x14ac:dyDescent="0.25">
      <c r="A4606" s="28"/>
      <c r="B4606" s="180"/>
      <c r="C4606" s="35"/>
      <c r="D4606" s="36"/>
      <c r="E4606" s="36"/>
    </row>
    <row r="4607" spans="1:5" x14ac:dyDescent="0.25">
      <c r="A4607" s="28"/>
      <c r="B4607" s="180"/>
      <c r="C4607" s="35"/>
      <c r="D4607" s="36"/>
      <c r="E4607" s="36"/>
    </row>
    <row r="4608" spans="1:5" x14ac:dyDescent="0.25">
      <c r="A4608" s="28"/>
      <c r="B4608" s="180"/>
      <c r="C4608" s="35"/>
      <c r="D4608" s="36"/>
      <c r="E4608" s="36"/>
    </row>
    <row r="4609" spans="1:5" x14ac:dyDescent="0.25">
      <c r="A4609" s="28"/>
      <c r="B4609" s="180"/>
      <c r="C4609" s="35"/>
      <c r="D4609" s="36"/>
      <c r="E4609" s="36"/>
    </row>
    <row r="4610" spans="1:5" x14ac:dyDescent="0.25">
      <c r="A4610" s="28"/>
      <c r="B4610" s="180"/>
      <c r="C4610" s="35"/>
      <c r="D4610" s="36"/>
      <c r="E4610" s="36"/>
    </row>
    <row r="4611" spans="1:5" x14ac:dyDescent="0.25">
      <c r="A4611" s="28"/>
      <c r="B4611" s="180"/>
      <c r="C4611" s="35"/>
      <c r="D4611" s="36"/>
      <c r="E4611" s="36"/>
    </row>
    <row r="4612" spans="1:5" x14ac:dyDescent="0.25">
      <c r="A4612" s="28"/>
      <c r="B4612" s="180"/>
      <c r="C4612" s="35"/>
      <c r="D4612" s="36"/>
      <c r="E4612" s="36"/>
    </row>
    <row r="4613" spans="1:5" x14ac:dyDescent="0.25">
      <c r="A4613" s="28"/>
      <c r="B4613" s="180"/>
      <c r="C4613" s="35"/>
      <c r="D4613" s="36"/>
      <c r="E4613" s="36"/>
    </row>
    <row r="4614" spans="1:5" x14ac:dyDescent="0.25">
      <c r="A4614" s="28"/>
      <c r="B4614" s="180"/>
      <c r="C4614" s="35"/>
      <c r="D4614" s="36"/>
      <c r="E4614" s="36"/>
    </row>
    <row r="4615" spans="1:5" x14ac:dyDescent="0.25">
      <c r="A4615" s="28"/>
      <c r="B4615" s="180"/>
      <c r="C4615" s="35"/>
      <c r="D4615" s="36"/>
      <c r="E4615" s="36"/>
    </row>
    <row r="4616" spans="1:5" x14ac:dyDescent="0.25">
      <c r="A4616" s="28"/>
      <c r="B4616" s="180"/>
      <c r="C4616" s="35"/>
      <c r="D4616" s="36"/>
      <c r="E4616" s="36"/>
    </row>
    <row r="4617" spans="1:5" x14ac:dyDescent="0.25">
      <c r="A4617" s="28"/>
      <c r="B4617" s="180"/>
      <c r="C4617" s="35"/>
      <c r="D4617" s="36"/>
      <c r="E4617" s="36"/>
    </row>
    <row r="4618" spans="1:5" x14ac:dyDescent="0.25">
      <c r="A4618" s="28"/>
      <c r="B4618" s="180"/>
      <c r="C4618" s="35"/>
      <c r="D4618" s="36"/>
      <c r="E4618" s="36"/>
    </row>
    <row r="4619" spans="1:5" x14ac:dyDescent="0.25">
      <c r="A4619" s="28"/>
      <c r="B4619" s="180"/>
      <c r="C4619" s="35"/>
      <c r="D4619" s="36"/>
      <c r="E4619" s="36"/>
    </row>
    <row r="4620" spans="1:5" x14ac:dyDescent="0.25">
      <c r="A4620" s="28"/>
      <c r="B4620" s="180"/>
      <c r="C4620" s="35"/>
      <c r="D4620" s="36"/>
      <c r="E4620" s="36"/>
    </row>
    <row r="4621" spans="1:5" x14ac:dyDescent="0.25">
      <c r="A4621" s="28"/>
      <c r="B4621" s="180"/>
      <c r="C4621" s="35"/>
      <c r="D4621" s="36"/>
      <c r="E4621" s="36"/>
    </row>
    <row r="4622" spans="1:5" x14ac:dyDescent="0.25">
      <c r="A4622" s="28"/>
      <c r="B4622" s="180"/>
      <c r="C4622" s="35"/>
      <c r="D4622" s="36"/>
      <c r="E4622" s="36"/>
    </row>
    <row r="4623" spans="1:5" x14ac:dyDescent="0.25">
      <c r="A4623" s="28"/>
      <c r="B4623" s="180"/>
      <c r="C4623" s="35"/>
      <c r="D4623" s="36"/>
      <c r="E4623" s="36"/>
    </row>
    <row r="4624" spans="1:5" x14ac:dyDescent="0.25">
      <c r="A4624" s="28"/>
      <c r="B4624" s="180"/>
      <c r="C4624" s="35"/>
      <c r="D4624" s="36"/>
      <c r="E4624" s="36"/>
    </row>
    <row r="4625" spans="1:5" x14ac:dyDescent="0.25">
      <c r="A4625" s="28"/>
      <c r="B4625" s="180"/>
      <c r="C4625" s="35"/>
      <c r="D4625" s="36"/>
      <c r="E4625" s="36"/>
    </row>
    <row r="4626" spans="1:5" x14ac:dyDescent="0.25">
      <c r="A4626" s="28"/>
      <c r="B4626" s="180"/>
      <c r="C4626" s="35"/>
      <c r="D4626" s="36"/>
      <c r="E4626" s="36"/>
    </row>
    <row r="4627" spans="1:5" x14ac:dyDescent="0.25">
      <c r="A4627" s="28"/>
      <c r="B4627" s="180"/>
      <c r="C4627" s="35"/>
      <c r="D4627" s="36"/>
      <c r="E4627" s="36"/>
    </row>
    <row r="4628" spans="1:5" x14ac:dyDescent="0.25">
      <c r="A4628" s="28"/>
      <c r="B4628" s="180"/>
      <c r="C4628" s="35"/>
      <c r="D4628" s="36"/>
      <c r="E4628" s="36"/>
    </row>
    <row r="4629" spans="1:5" x14ac:dyDescent="0.25">
      <c r="A4629" s="28"/>
      <c r="B4629" s="180"/>
      <c r="C4629" s="35"/>
      <c r="D4629" s="36"/>
      <c r="E4629" s="36"/>
    </row>
    <row r="4630" spans="1:5" x14ac:dyDescent="0.25">
      <c r="A4630" s="28"/>
      <c r="B4630" s="180"/>
      <c r="C4630" s="35"/>
      <c r="D4630" s="36"/>
      <c r="E4630" s="36"/>
    </row>
    <row r="4631" spans="1:5" x14ac:dyDescent="0.25">
      <c r="A4631" s="28"/>
      <c r="B4631" s="180"/>
      <c r="C4631" s="35"/>
      <c r="D4631" s="36"/>
      <c r="E4631" s="36"/>
    </row>
    <row r="4632" spans="1:5" x14ac:dyDescent="0.25">
      <c r="A4632" s="28"/>
      <c r="B4632" s="180"/>
      <c r="C4632" s="35"/>
      <c r="D4632" s="36"/>
      <c r="E4632" s="36"/>
    </row>
    <row r="4633" spans="1:5" x14ac:dyDescent="0.25">
      <c r="A4633" s="28"/>
      <c r="B4633" s="180"/>
      <c r="C4633" s="35"/>
      <c r="D4633" s="36"/>
      <c r="E4633" s="36"/>
    </row>
    <row r="4634" spans="1:5" x14ac:dyDescent="0.25">
      <c r="A4634" s="28"/>
      <c r="B4634" s="180"/>
      <c r="C4634" s="35"/>
      <c r="D4634" s="36"/>
      <c r="E4634" s="36"/>
    </row>
    <row r="4635" spans="1:5" x14ac:dyDescent="0.25">
      <c r="A4635" s="28"/>
      <c r="B4635" s="180"/>
      <c r="C4635" s="35"/>
      <c r="D4635" s="36"/>
      <c r="E4635" s="36"/>
    </row>
    <row r="4636" spans="1:5" x14ac:dyDescent="0.25">
      <c r="A4636" s="28"/>
      <c r="B4636" s="180"/>
      <c r="C4636" s="35"/>
      <c r="D4636" s="36"/>
      <c r="E4636" s="36"/>
    </row>
    <row r="4637" spans="1:5" x14ac:dyDescent="0.25">
      <c r="A4637" s="28"/>
      <c r="B4637" s="180"/>
      <c r="C4637" s="35"/>
      <c r="D4637" s="36"/>
      <c r="E4637" s="36"/>
    </row>
    <row r="4638" spans="1:5" x14ac:dyDescent="0.25">
      <c r="A4638" s="28"/>
      <c r="B4638" s="180"/>
      <c r="C4638" s="35"/>
      <c r="D4638" s="36"/>
      <c r="E4638" s="36"/>
    </row>
    <row r="4639" spans="1:5" x14ac:dyDescent="0.25">
      <c r="A4639" s="28"/>
      <c r="B4639" s="180"/>
      <c r="C4639" s="35"/>
      <c r="D4639" s="36"/>
      <c r="E4639" s="36"/>
    </row>
    <row r="4640" spans="1:5" x14ac:dyDescent="0.25">
      <c r="A4640" s="28"/>
      <c r="B4640" s="180"/>
      <c r="C4640" s="35"/>
      <c r="D4640" s="36"/>
      <c r="E4640" s="36"/>
    </row>
    <row r="4641" spans="1:5" x14ac:dyDescent="0.25">
      <c r="A4641" s="28"/>
      <c r="B4641" s="180"/>
      <c r="C4641" s="35"/>
      <c r="D4641" s="36"/>
      <c r="E4641" s="36"/>
    </row>
    <row r="4642" spans="1:5" x14ac:dyDescent="0.25">
      <c r="A4642" s="28"/>
      <c r="B4642" s="180"/>
      <c r="C4642" s="35"/>
      <c r="D4642" s="36"/>
      <c r="E4642" s="36"/>
    </row>
    <row r="4643" spans="1:5" x14ac:dyDescent="0.25">
      <c r="A4643" s="28"/>
      <c r="B4643" s="180"/>
      <c r="C4643" s="35"/>
      <c r="D4643" s="36"/>
      <c r="E4643" s="36"/>
    </row>
    <row r="4644" spans="1:5" x14ac:dyDescent="0.25">
      <c r="A4644" s="28"/>
      <c r="B4644" s="180"/>
      <c r="C4644" s="35"/>
      <c r="D4644" s="36"/>
      <c r="E4644" s="36"/>
    </row>
    <row r="4645" spans="1:5" x14ac:dyDescent="0.25">
      <c r="A4645" s="28"/>
      <c r="B4645" s="180"/>
      <c r="C4645" s="35"/>
      <c r="D4645" s="36"/>
      <c r="E4645" s="36"/>
    </row>
    <row r="4646" spans="1:5" x14ac:dyDescent="0.25">
      <c r="A4646" s="28"/>
      <c r="B4646" s="180"/>
      <c r="C4646" s="35"/>
      <c r="D4646" s="36"/>
      <c r="E4646" s="36"/>
    </row>
    <row r="4647" spans="1:5" x14ac:dyDescent="0.25">
      <c r="A4647" s="28"/>
      <c r="B4647" s="180"/>
      <c r="C4647" s="35"/>
      <c r="D4647" s="36"/>
      <c r="E4647" s="36"/>
    </row>
    <row r="4648" spans="1:5" x14ac:dyDescent="0.25">
      <c r="A4648" s="28"/>
      <c r="B4648" s="180"/>
      <c r="C4648" s="35"/>
      <c r="D4648" s="36"/>
      <c r="E4648" s="36"/>
    </row>
    <row r="4649" spans="1:5" x14ac:dyDescent="0.25">
      <c r="A4649" s="28"/>
      <c r="B4649" s="180"/>
      <c r="C4649" s="35"/>
      <c r="D4649" s="36"/>
      <c r="E4649" s="36"/>
    </row>
    <row r="4650" spans="1:5" x14ac:dyDescent="0.25">
      <c r="A4650" s="28"/>
      <c r="B4650" s="180"/>
      <c r="C4650" s="35"/>
      <c r="D4650" s="36"/>
      <c r="E4650" s="36"/>
    </row>
    <row r="4651" spans="1:5" x14ac:dyDescent="0.25">
      <c r="A4651" s="28"/>
      <c r="B4651" s="180"/>
      <c r="C4651" s="35"/>
      <c r="D4651" s="36"/>
      <c r="E4651" s="36"/>
    </row>
    <row r="4652" spans="1:5" x14ac:dyDescent="0.25">
      <c r="A4652" s="28"/>
      <c r="B4652" s="180"/>
      <c r="C4652" s="35"/>
      <c r="D4652" s="36"/>
      <c r="E4652" s="36"/>
    </row>
    <row r="4653" spans="1:5" x14ac:dyDescent="0.25">
      <c r="A4653" s="28"/>
      <c r="B4653" s="180"/>
      <c r="C4653" s="35"/>
      <c r="D4653" s="36"/>
      <c r="E4653" s="36"/>
    </row>
    <row r="4654" spans="1:5" x14ac:dyDescent="0.25">
      <c r="A4654" s="28"/>
      <c r="B4654" s="180"/>
      <c r="C4654" s="35"/>
      <c r="D4654" s="36"/>
      <c r="E4654" s="36"/>
    </row>
    <row r="4655" spans="1:5" x14ac:dyDescent="0.25">
      <c r="A4655" s="28"/>
      <c r="B4655" s="180"/>
      <c r="C4655" s="35"/>
      <c r="D4655" s="36"/>
      <c r="E4655" s="36"/>
    </row>
    <row r="4656" spans="1:5" x14ac:dyDescent="0.25">
      <c r="A4656" s="28"/>
      <c r="B4656" s="180"/>
      <c r="C4656" s="35"/>
      <c r="D4656" s="36"/>
      <c r="E4656" s="36"/>
    </row>
    <row r="4657" spans="1:5" x14ac:dyDescent="0.25">
      <c r="A4657" s="28"/>
      <c r="B4657" s="180"/>
      <c r="C4657" s="35"/>
      <c r="D4657" s="36"/>
      <c r="E4657" s="36"/>
    </row>
    <row r="4658" spans="1:5" x14ac:dyDescent="0.25">
      <c r="A4658" s="28"/>
      <c r="B4658" s="180"/>
      <c r="C4658" s="35"/>
      <c r="D4658" s="36"/>
      <c r="E4658" s="36"/>
    </row>
    <row r="4659" spans="1:5" x14ac:dyDescent="0.25">
      <c r="A4659" s="28"/>
      <c r="B4659" s="180"/>
      <c r="C4659" s="35"/>
      <c r="D4659" s="36"/>
      <c r="E4659" s="36"/>
    </row>
    <row r="4660" spans="1:5" x14ac:dyDescent="0.25">
      <c r="A4660" s="28"/>
      <c r="B4660" s="180"/>
      <c r="C4660" s="35"/>
      <c r="D4660" s="36"/>
      <c r="E4660" s="36"/>
    </row>
    <row r="4661" spans="1:5" x14ac:dyDescent="0.25">
      <c r="A4661" s="28"/>
      <c r="B4661" s="180"/>
      <c r="C4661" s="35"/>
      <c r="D4661" s="36"/>
      <c r="E4661" s="36"/>
    </row>
    <row r="4662" spans="1:5" x14ac:dyDescent="0.25">
      <c r="A4662" s="28"/>
      <c r="B4662" s="180"/>
      <c r="C4662" s="35"/>
      <c r="D4662" s="36"/>
      <c r="E4662" s="36"/>
    </row>
    <row r="4663" spans="1:5" x14ac:dyDescent="0.25">
      <c r="A4663" s="28"/>
      <c r="B4663" s="180"/>
      <c r="C4663" s="35"/>
      <c r="D4663" s="36"/>
      <c r="E4663" s="36"/>
    </row>
    <row r="4664" spans="1:5" x14ac:dyDescent="0.25">
      <c r="A4664" s="28"/>
      <c r="B4664" s="180"/>
      <c r="C4664" s="35"/>
      <c r="D4664" s="36"/>
      <c r="E4664" s="36"/>
    </row>
    <row r="4665" spans="1:5" x14ac:dyDescent="0.25">
      <c r="A4665" s="28"/>
      <c r="B4665" s="180"/>
      <c r="C4665" s="35"/>
      <c r="D4665" s="36"/>
      <c r="E4665" s="36"/>
    </row>
    <row r="4666" spans="1:5" x14ac:dyDescent="0.25">
      <c r="A4666" s="28"/>
      <c r="B4666" s="180"/>
      <c r="C4666" s="35"/>
      <c r="D4666" s="36"/>
      <c r="E4666" s="36"/>
    </row>
    <row r="4667" spans="1:5" x14ac:dyDescent="0.25">
      <c r="A4667" s="28"/>
      <c r="B4667" s="180"/>
      <c r="C4667" s="35"/>
      <c r="D4667" s="36"/>
      <c r="E4667" s="36"/>
    </row>
    <row r="4668" spans="1:5" x14ac:dyDescent="0.25">
      <c r="A4668" s="28"/>
      <c r="B4668" s="180"/>
      <c r="C4668" s="35"/>
      <c r="D4668" s="36"/>
      <c r="E4668" s="36"/>
    </row>
    <row r="4669" spans="1:5" x14ac:dyDescent="0.25">
      <c r="A4669" s="28"/>
      <c r="B4669" s="180"/>
      <c r="C4669" s="35"/>
      <c r="D4669" s="36"/>
      <c r="E4669" s="36"/>
    </row>
    <row r="4670" spans="1:5" x14ac:dyDescent="0.25">
      <c r="A4670" s="28"/>
      <c r="B4670" s="180"/>
      <c r="C4670" s="35"/>
      <c r="D4670" s="36"/>
      <c r="E4670" s="36"/>
    </row>
    <row r="4671" spans="1:5" x14ac:dyDescent="0.25">
      <c r="A4671" s="28"/>
      <c r="B4671" s="180"/>
      <c r="C4671" s="35"/>
      <c r="D4671" s="36"/>
      <c r="E4671" s="36"/>
    </row>
    <row r="4672" spans="1:5" x14ac:dyDescent="0.25">
      <c r="A4672" s="28"/>
      <c r="B4672" s="180"/>
      <c r="C4672" s="35"/>
      <c r="D4672" s="36"/>
      <c r="E4672" s="36"/>
    </row>
    <row r="4673" spans="1:5" x14ac:dyDescent="0.25">
      <c r="A4673" s="28"/>
      <c r="B4673" s="180"/>
      <c r="C4673" s="35"/>
      <c r="D4673" s="36"/>
      <c r="E4673" s="36"/>
    </row>
    <row r="4674" spans="1:5" x14ac:dyDescent="0.25">
      <c r="A4674" s="28"/>
      <c r="B4674" s="180"/>
      <c r="C4674" s="35"/>
      <c r="D4674" s="36"/>
      <c r="E4674" s="36"/>
    </row>
    <row r="4675" spans="1:5" x14ac:dyDescent="0.25">
      <c r="A4675" s="28"/>
      <c r="B4675" s="180"/>
      <c r="C4675" s="35"/>
      <c r="D4675" s="36"/>
      <c r="E4675" s="36"/>
    </row>
    <row r="4676" spans="1:5" x14ac:dyDescent="0.25">
      <c r="A4676" s="28"/>
      <c r="B4676" s="180"/>
      <c r="C4676" s="35"/>
      <c r="D4676" s="36"/>
      <c r="E4676" s="36"/>
    </row>
    <row r="4677" spans="1:5" x14ac:dyDescent="0.25">
      <c r="A4677" s="28"/>
      <c r="B4677" s="180"/>
      <c r="C4677" s="35"/>
      <c r="D4677" s="36"/>
      <c r="E4677" s="36"/>
    </row>
    <row r="4678" spans="1:5" x14ac:dyDescent="0.25">
      <c r="A4678" s="28"/>
      <c r="B4678" s="180"/>
      <c r="C4678" s="35"/>
      <c r="D4678" s="36"/>
      <c r="E4678" s="36"/>
    </row>
    <row r="4679" spans="1:5" x14ac:dyDescent="0.25">
      <c r="A4679" s="28"/>
      <c r="B4679" s="180"/>
      <c r="C4679" s="35"/>
      <c r="D4679" s="36"/>
      <c r="E4679" s="36"/>
    </row>
    <row r="4680" spans="1:5" x14ac:dyDescent="0.25">
      <c r="A4680" s="28"/>
      <c r="B4680" s="180"/>
      <c r="C4680" s="35"/>
      <c r="D4680" s="36"/>
      <c r="E4680" s="36"/>
    </row>
    <row r="4681" spans="1:5" x14ac:dyDescent="0.25">
      <c r="A4681" s="28"/>
      <c r="B4681" s="180"/>
      <c r="C4681" s="35"/>
      <c r="D4681" s="36"/>
      <c r="E4681" s="36"/>
    </row>
    <row r="4682" spans="1:5" x14ac:dyDescent="0.25">
      <c r="A4682" s="28"/>
      <c r="B4682" s="180"/>
      <c r="C4682" s="35"/>
      <c r="D4682" s="36"/>
      <c r="E4682" s="36"/>
    </row>
    <row r="4683" spans="1:5" x14ac:dyDescent="0.25">
      <c r="A4683" s="28"/>
      <c r="B4683" s="180"/>
      <c r="C4683" s="35"/>
      <c r="D4683" s="36"/>
      <c r="E4683" s="36"/>
    </row>
    <row r="4684" spans="1:5" x14ac:dyDescent="0.25">
      <c r="A4684" s="28"/>
      <c r="B4684" s="180"/>
      <c r="C4684" s="35"/>
      <c r="D4684" s="36"/>
      <c r="E4684" s="36"/>
    </row>
    <row r="4685" spans="1:5" x14ac:dyDescent="0.25">
      <c r="A4685" s="28"/>
      <c r="B4685" s="180"/>
      <c r="C4685" s="35"/>
      <c r="D4685" s="36"/>
      <c r="E4685" s="36"/>
    </row>
    <row r="4686" spans="1:5" x14ac:dyDescent="0.25">
      <c r="A4686" s="28"/>
      <c r="B4686" s="180"/>
      <c r="C4686" s="35"/>
      <c r="D4686" s="36"/>
      <c r="E4686" s="36"/>
    </row>
    <row r="4687" spans="1:5" x14ac:dyDescent="0.25">
      <c r="A4687" s="28"/>
      <c r="B4687" s="180"/>
      <c r="C4687" s="35"/>
      <c r="D4687" s="36"/>
      <c r="E4687" s="36"/>
    </row>
    <row r="4688" spans="1:5" x14ac:dyDescent="0.25">
      <c r="A4688" s="28"/>
      <c r="B4688" s="180"/>
      <c r="C4688" s="35"/>
      <c r="D4688" s="36"/>
      <c r="E4688" s="36"/>
    </row>
    <row r="4689" spans="1:5" x14ac:dyDescent="0.25">
      <c r="A4689" s="28"/>
      <c r="B4689" s="180"/>
      <c r="C4689" s="35"/>
      <c r="D4689" s="36"/>
      <c r="E4689" s="36"/>
    </row>
    <row r="4690" spans="1:5" x14ac:dyDescent="0.25">
      <c r="A4690" s="28"/>
      <c r="B4690" s="180"/>
      <c r="C4690" s="35"/>
      <c r="D4690" s="36"/>
      <c r="E4690" s="36"/>
    </row>
    <row r="4691" spans="1:5" x14ac:dyDescent="0.25">
      <c r="A4691" s="28"/>
      <c r="B4691" s="180"/>
      <c r="C4691" s="35"/>
      <c r="D4691" s="36"/>
      <c r="E4691" s="36"/>
    </row>
    <row r="4692" spans="1:5" x14ac:dyDescent="0.25">
      <c r="A4692" s="28"/>
      <c r="B4692" s="180"/>
      <c r="C4692" s="35"/>
      <c r="D4692" s="36"/>
      <c r="E4692" s="36"/>
    </row>
    <row r="4693" spans="1:5" x14ac:dyDescent="0.25">
      <c r="A4693" s="28"/>
      <c r="B4693" s="180"/>
      <c r="C4693" s="35"/>
      <c r="D4693" s="36"/>
      <c r="E4693" s="36"/>
    </row>
    <row r="4694" spans="1:5" x14ac:dyDescent="0.25">
      <c r="A4694" s="28"/>
      <c r="B4694" s="180"/>
      <c r="C4694" s="35"/>
      <c r="D4694" s="36"/>
      <c r="E4694" s="36"/>
    </row>
    <row r="4695" spans="1:5" x14ac:dyDescent="0.25">
      <c r="A4695" s="28"/>
      <c r="B4695" s="180"/>
      <c r="C4695" s="35"/>
      <c r="D4695" s="36"/>
      <c r="E4695" s="36"/>
    </row>
    <row r="4696" spans="1:5" x14ac:dyDescent="0.25">
      <c r="A4696" s="28"/>
      <c r="B4696" s="180"/>
      <c r="C4696" s="35"/>
      <c r="D4696" s="36"/>
      <c r="E4696" s="36"/>
    </row>
    <row r="4697" spans="1:5" x14ac:dyDescent="0.25">
      <c r="A4697" s="28"/>
      <c r="B4697" s="180"/>
      <c r="C4697" s="35"/>
      <c r="D4697" s="36"/>
      <c r="E4697" s="36"/>
    </row>
    <row r="4698" spans="1:5" x14ac:dyDescent="0.25">
      <c r="A4698" s="28"/>
      <c r="B4698" s="180"/>
      <c r="C4698" s="35"/>
      <c r="D4698" s="36"/>
      <c r="E4698" s="36"/>
    </row>
    <row r="4699" spans="1:5" x14ac:dyDescent="0.25">
      <c r="A4699" s="28"/>
      <c r="B4699" s="180"/>
      <c r="C4699" s="35"/>
      <c r="D4699" s="36"/>
      <c r="E4699" s="36"/>
    </row>
    <row r="4700" spans="1:5" x14ac:dyDescent="0.25">
      <c r="A4700" s="28"/>
      <c r="B4700" s="180"/>
      <c r="C4700" s="35"/>
      <c r="D4700" s="36"/>
      <c r="E4700" s="36"/>
    </row>
    <row r="4701" spans="1:5" x14ac:dyDescent="0.25">
      <c r="A4701" s="28"/>
      <c r="B4701" s="180"/>
      <c r="C4701" s="35"/>
      <c r="D4701" s="36"/>
      <c r="E4701" s="36"/>
    </row>
    <row r="4702" spans="1:5" x14ac:dyDescent="0.25">
      <c r="A4702" s="28"/>
      <c r="B4702" s="180"/>
      <c r="C4702" s="35"/>
      <c r="D4702" s="36"/>
      <c r="E4702" s="36"/>
    </row>
    <row r="4703" spans="1:5" x14ac:dyDescent="0.25">
      <c r="A4703" s="28"/>
      <c r="B4703" s="180"/>
      <c r="C4703" s="35"/>
      <c r="D4703" s="36"/>
      <c r="E4703" s="36"/>
    </row>
    <row r="4704" spans="1:5" x14ac:dyDescent="0.25">
      <c r="A4704" s="28"/>
      <c r="B4704" s="180"/>
      <c r="C4704" s="35"/>
      <c r="D4704" s="36"/>
      <c r="E4704" s="36"/>
    </row>
    <row r="4705" spans="1:5" x14ac:dyDescent="0.25">
      <c r="A4705" s="28"/>
      <c r="B4705" s="180"/>
      <c r="C4705" s="35"/>
      <c r="D4705" s="36"/>
      <c r="E4705" s="36"/>
    </row>
    <row r="4706" spans="1:5" x14ac:dyDescent="0.25">
      <c r="A4706" s="28"/>
      <c r="B4706" s="180"/>
      <c r="C4706" s="35"/>
      <c r="D4706" s="36"/>
      <c r="E4706" s="36"/>
    </row>
    <row r="4707" spans="1:5" x14ac:dyDescent="0.25">
      <c r="A4707" s="28"/>
      <c r="B4707" s="180"/>
      <c r="C4707" s="35"/>
      <c r="D4707" s="36"/>
      <c r="E4707" s="36"/>
    </row>
    <row r="4708" spans="1:5" x14ac:dyDescent="0.25">
      <c r="A4708" s="28"/>
      <c r="B4708" s="180"/>
      <c r="C4708" s="35"/>
      <c r="D4708" s="36"/>
      <c r="E4708" s="36"/>
    </row>
    <row r="4709" spans="1:5" x14ac:dyDescent="0.25">
      <c r="A4709" s="28"/>
      <c r="B4709" s="180"/>
      <c r="C4709" s="35"/>
      <c r="D4709" s="36"/>
      <c r="E4709" s="36"/>
    </row>
    <row r="4710" spans="1:5" x14ac:dyDescent="0.25">
      <c r="A4710" s="28"/>
      <c r="B4710" s="180"/>
      <c r="C4710" s="35"/>
      <c r="D4710" s="36"/>
      <c r="E4710" s="36"/>
    </row>
    <row r="4711" spans="1:5" x14ac:dyDescent="0.25">
      <c r="A4711" s="28"/>
      <c r="B4711" s="180"/>
      <c r="C4711" s="35"/>
      <c r="D4711" s="36"/>
      <c r="E4711" s="36"/>
    </row>
    <row r="4712" spans="1:5" x14ac:dyDescent="0.25">
      <c r="A4712" s="28"/>
      <c r="B4712" s="180"/>
      <c r="C4712" s="35"/>
      <c r="D4712" s="36"/>
      <c r="E4712" s="36"/>
    </row>
    <row r="4713" spans="1:5" x14ac:dyDescent="0.25">
      <c r="A4713" s="28"/>
      <c r="B4713" s="180"/>
      <c r="C4713" s="35"/>
      <c r="D4713" s="36"/>
      <c r="E4713" s="36"/>
    </row>
    <row r="4714" spans="1:5" x14ac:dyDescent="0.25">
      <c r="A4714" s="28"/>
      <c r="B4714" s="180"/>
      <c r="C4714" s="35"/>
      <c r="D4714" s="36"/>
      <c r="E4714" s="36"/>
    </row>
    <row r="4715" spans="1:5" x14ac:dyDescent="0.25">
      <c r="A4715" s="28"/>
      <c r="B4715" s="180"/>
      <c r="C4715" s="35"/>
      <c r="D4715" s="36"/>
      <c r="E4715" s="36"/>
    </row>
    <row r="4716" spans="1:5" x14ac:dyDescent="0.25">
      <c r="A4716" s="28"/>
      <c r="B4716" s="180"/>
      <c r="C4716" s="35"/>
      <c r="D4716" s="36"/>
      <c r="E4716" s="36"/>
    </row>
    <row r="4717" spans="1:5" x14ac:dyDescent="0.25">
      <c r="A4717" s="28"/>
      <c r="B4717" s="180"/>
      <c r="C4717" s="35"/>
      <c r="D4717" s="36"/>
      <c r="E4717" s="36"/>
    </row>
    <row r="4718" spans="1:5" x14ac:dyDescent="0.25">
      <c r="A4718" s="28"/>
      <c r="B4718" s="180"/>
      <c r="C4718" s="35"/>
      <c r="D4718" s="36"/>
      <c r="E4718" s="36"/>
    </row>
    <row r="4719" spans="1:5" x14ac:dyDescent="0.25">
      <c r="A4719" s="28"/>
      <c r="B4719" s="180"/>
      <c r="C4719" s="35"/>
      <c r="D4719" s="36"/>
      <c r="E4719" s="36"/>
    </row>
    <row r="4720" spans="1:5" x14ac:dyDescent="0.25">
      <c r="A4720" s="28"/>
      <c r="B4720" s="180"/>
      <c r="C4720" s="35"/>
      <c r="D4720" s="36"/>
      <c r="E4720" s="36"/>
    </row>
    <row r="4721" spans="1:5" x14ac:dyDescent="0.25">
      <c r="A4721" s="28"/>
      <c r="B4721" s="180"/>
      <c r="C4721" s="35"/>
      <c r="D4721" s="36"/>
      <c r="E4721" s="36"/>
    </row>
    <row r="4722" spans="1:5" x14ac:dyDescent="0.25">
      <c r="A4722" s="28"/>
      <c r="B4722" s="180"/>
      <c r="C4722" s="35"/>
      <c r="D4722" s="36"/>
      <c r="E4722" s="36"/>
    </row>
    <row r="4723" spans="1:5" x14ac:dyDescent="0.25">
      <c r="A4723" s="28"/>
      <c r="B4723" s="180"/>
      <c r="C4723" s="35"/>
      <c r="D4723" s="36"/>
      <c r="E4723" s="36"/>
    </row>
    <row r="4724" spans="1:5" x14ac:dyDescent="0.25">
      <c r="A4724" s="28"/>
      <c r="B4724" s="180"/>
      <c r="C4724" s="35"/>
      <c r="D4724" s="36"/>
      <c r="E4724" s="36"/>
    </row>
    <row r="4725" spans="1:5" x14ac:dyDescent="0.25">
      <c r="A4725" s="28"/>
      <c r="B4725" s="180"/>
      <c r="C4725" s="35"/>
      <c r="D4725" s="36"/>
      <c r="E4725" s="36"/>
    </row>
    <row r="4726" spans="1:5" x14ac:dyDescent="0.25">
      <c r="A4726" s="28"/>
      <c r="B4726" s="180"/>
      <c r="C4726" s="35"/>
      <c r="D4726" s="36"/>
      <c r="E4726" s="36"/>
    </row>
    <row r="4727" spans="1:5" x14ac:dyDescent="0.25">
      <c r="A4727" s="28"/>
      <c r="B4727" s="180"/>
      <c r="C4727" s="35"/>
      <c r="D4727" s="36"/>
      <c r="E4727" s="36"/>
    </row>
    <row r="4728" spans="1:5" x14ac:dyDescent="0.25">
      <c r="A4728" s="28"/>
      <c r="B4728" s="180"/>
      <c r="C4728" s="35"/>
      <c r="D4728" s="36"/>
      <c r="E4728" s="36"/>
    </row>
    <row r="4729" spans="1:5" x14ac:dyDescent="0.25">
      <c r="A4729" s="28"/>
      <c r="B4729" s="180"/>
      <c r="C4729" s="35"/>
      <c r="D4729" s="36"/>
      <c r="E4729" s="36"/>
    </row>
    <row r="4730" spans="1:5" x14ac:dyDescent="0.25">
      <c r="A4730" s="28"/>
      <c r="B4730" s="180"/>
      <c r="C4730" s="35"/>
      <c r="D4730" s="36"/>
      <c r="E4730" s="36"/>
    </row>
    <row r="4731" spans="1:5" x14ac:dyDescent="0.25">
      <c r="A4731" s="28"/>
      <c r="B4731" s="180"/>
      <c r="C4731" s="35"/>
      <c r="D4731" s="36"/>
      <c r="E4731" s="36"/>
    </row>
    <row r="4732" spans="1:5" x14ac:dyDescent="0.25">
      <c r="A4732" s="28"/>
      <c r="B4732" s="180"/>
      <c r="C4732" s="35"/>
      <c r="D4732" s="36"/>
      <c r="E4732" s="36"/>
    </row>
    <row r="4733" spans="1:5" x14ac:dyDescent="0.25">
      <c r="A4733" s="28"/>
      <c r="B4733" s="180"/>
      <c r="C4733" s="35"/>
      <c r="D4733" s="36"/>
      <c r="E4733" s="36"/>
    </row>
    <row r="4734" spans="1:5" x14ac:dyDescent="0.25">
      <c r="A4734" s="28"/>
      <c r="B4734" s="180"/>
      <c r="C4734" s="35"/>
      <c r="D4734" s="36"/>
      <c r="E4734" s="36"/>
    </row>
    <row r="4735" spans="1:5" x14ac:dyDescent="0.25">
      <c r="A4735" s="28"/>
      <c r="B4735" s="180"/>
      <c r="C4735" s="35"/>
      <c r="D4735" s="36"/>
      <c r="E4735" s="36"/>
    </row>
    <row r="4736" spans="1:5" x14ac:dyDescent="0.25">
      <c r="A4736" s="28"/>
      <c r="B4736" s="180"/>
      <c r="C4736" s="35"/>
      <c r="D4736" s="36"/>
      <c r="E4736" s="36"/>
    </row>
    <row r="4737" spans="1:5" x14ac:dyDescent="0.25">
      <c r="A4737" s="28"/>
      <c r="B4737" s="180"/>
      <c r="C4737" s="35"/>
      <c r="D4737" s="36"/>
      <c r="E4737" s="36"/>
    </row>
    <row r="4738" spans="1:5" x14ac:dyDescent="0.25">
      <c r="A4738" s="28"/>
      <c r="B4738" s="180"/>
      <c r="C4738" s="35"/>
      <c r="D4738" s="36"/>
      <c r="E4738" s="36"/>
    </row>
    <row r="4739" spans="1:5" x14ac:dyDescent="0.25">
      <c r="A4739" s="28"/>
      <c r="B4739" s="180"/>
      <c r="C4739" s="35"/>
      <c r="D4739" s="36"/>
      <c r="E4739" s="36"/>
    </row>
    <row r="4740" spans="1:5" x14ac:dyDescent="0.25">
      <c r="A4740" s="28"/>
      <c r="B4740" s="180"/>
      <c r="C4740" s="35"/>
      <c r="D4740" s="36"/>
      <c r="E4740" s="36"/>
    </row>
    <row r="4741" spans="1:5" x14ac:dyDescent="0.25">
      <c r="A4741" s="28"/>
      <c r="B4741" s="180"/>
      <c r="C4741" s="35"/>
      <c r="D4741" s="36"/>
      <c r="E4741" s="36"/>
    </row>
    <row r="4742" spans="1:5" x14ac:dyDescent="0.25">
      <c r="A4742" s="28"/>
      <c r="B4742" s="180"/>
      <c r="C4742" s="35"/>
      <c r="D4742" s="36"/>
      <c r="E4742" s="36"/>
    </row>
    <row r="4743" spans="1:5" x14ac:dyDescent="0.25">
      <c r="A4743" s="28"/>
      <c r="B4743" s="180"/>
      <c r="C4743" s="35"/>
      <c r="D4743" s="36"/>
      <c r="E4743" s="36"/>
    </row>
    <row r="4744" spans="1:5" x14ac:dyDescent="0.25">
      <c r="A4744" s="28"/>
      <c r="B4744" s="180"/>
      <c r="C4744" s="35"/>
      <c r="D4744" s="36"/>
      <c r="E4744" s="36"/>
    </row>
    <row r="4745" spans="1:5" x14ac:dyDescent="0.25">
      <c r="A4745" s="28"/>
      <c r="B4745" s="180"/>
      <c r="C4745" s="35"/>
      <c r="D4745" s="36"/>
      <c r="E4745" s="36"/>
    </row>
    <row r="4746" spans="1:5" x14ac:dyDescent="0.25">
      <c r="A4746" s="28"/>
      <c r="B4746" s="180"/>
      <c r="C4746" s="35"/>
      <c r="D4746" s="36"/>
      <c r="E4746" s="36"/>
    </row>
    <row r="4747" spans="1:5" x14ac:dyDescent="0.25">
      <c r="A4747" s="28"/>
      <c r="B4747" s="180"/>
      <c r="C4747" s="35"/>
      <c r="D4747" s="36"/>
      <c r="E4747" s="36"/>
    </row>
    <row r="4748" spans="1:5" x14ac:dyDescent="0.25">
      <c r="A4748" s="28"/>
      <c r="B4748" s="180"/>
      <c r="C4748" s="35"/>
      <c r="D4748" s="36"/>
      <c r="E4748" s="36"/>
    </row>
    <row r="4749" spans="1:5" x14ac:dyDescent="0.25">
      <c r="A4749" s="28"/>
      <c r="B4749" s="180"/>
      <c r="C4749" s="35"/>
      <c r="D4749" s="36"/>
      <c r="E4749" s="36"/>
    </row>
    <row r="4750" spans="1:5" x14ac:dyDescent="0.25">
      <c r="A4750" s="28"/>
      <c r="B4750" s="180"/>
      <c r="C4750" s="35"/>
      <c r="D4750" s="36"/>
      <c r="E4750" s="36"/>
    </row>
    <row r="4751" spans="1:5" x14ac:dyDescent="0.25">
      <c r="A4751" s="28"/>
      <c r="B4751" s="180"/>
      <c r="C4751" s="35"/>
      <c r="D4751" s="36"/>
      <c r="E4751" s="36"/>
    </row>
    <row r="4752" spans="1:5" x14ac:dyDescent="0.25">
      <c r="A4752" s="28"/>
      <c r="B4752" s="180"/>
      <c r="C4752" s="35"/>
      <c r="D4752" s="36"/>
      <c r="E4752" s="36"/>
    </row>
    <row r="4753" spans="1:5" x14ac:dyDescent="0.25">
      <c r="A4753" s="28"/>
      <c r="B4753" s="180"/>
      <c r="C4753" s="35"/>
      <c r="D4753" s="36"/>
      <c r="E4753" s="36"/>
    </row>
    <row r="4754" spans="1:5" x14ac:dyDescent="0.25">
      <c r="A4754" s="28"/>
      <c r="B4754" s="180"/>
      <c r="C4754" s="35"/>
      <c r="D4754" s="36"/>
      <c r="E4754" s="36"/>
    </row>
    <row r="4755" spans="1:5" x14ac:dyDescent="0.25">
      <c r="A4755" s="28"/>
      <c r="B4755" s="180"/>
      <c r="C4755" s="35"/>
      <c r="D4755" s="36"/>
      <c r="E4755" s="36"/>
    </row>
    <row r="4756" spans="1:5" x14ac:dyDescent="0.25">
      <c r="A4756" s="28"/>
      <c r="B4756" s="180"/>
      <c r="C4756" s="35"/>
      <c r="D4756" s="36"/>
      <c r="E4756" s="36"/>
    </row>
    <row r="4757" spans="1:5" x14ac:dyDescent="0.25">
      <c r="A4757" s="28"/>
      <c r="B4757" s="180"/>
      <c r="C4757" s="35"/>
      <c r="D4757" s="36"/>
      <c r="E4757" s="36"/>
    </row>
    <row r="4758" spans="1:5" x14ac:dyDescent="0.25">
      <c r="A4758" s="28"/>
      <c r="B4758" s="180"/>
      <c r="C4758" s="35"/>
      <c r="D4758" s="36"/>
      <c r="E4758" s="36"/>
    </row>
    <row r="4759" spans="1:5" x14ac:dyDescent="0.25">
      <c r="A4759" s="28"/>
      <c r="B4759" s="180"/>
      <c r="C4759" s="35"/>
      <c r="D4759" s="36"/>
      <c r="E4759" s="36"/>
    </row>
    <row r="4760" spans="1:5" x14ac:dyDescent="0.25">
      <c r="A4760" s="28"/>
      <c r="B4760" s="180"/>
      <c r="C4760" s="35"/>
      <c r="D4760" s="36"/>
      <c r="E4760" s="36"/>
    </row>
    <row r="4761" spans="1:5" x14ac:dyDescent="0.25">
      <c r="A4761" s="28"/>
      <c r="B4761" s="180"/>
      <c r="C4761" s="35"/>
      <c r="D4761" s="36"/>
      <c r="E4761" s="36"/>
    </row>
    <row r="4762" spans="1:5" x14ac:dyDescent="0.25">
      <c r="A4762" s="28"/>
      <c r="B4762" s="180"/>
      <c r="C4762" s="35"/>
      <c r="D4762" s="36"/>
      <c r="E4762" s="36"/>
    </row>
    <row r="4763" spans="1:5" x14ac:dyDescent="0.25">
      <c r="A4763" s="28"/>
      <c r="B4763" s="180"/>
      <c r="C4763" s="35"/>
      <c r="D4763" s="36"/>
      <c r="E4763" s="36"/>
    </row>
    <row r="4764" spans="1:5" x14ac:dyDescent="0.25">
      <c r="A4764" s="28"/>
      <c r="B4764" s="180"/>
      <c r="C4764" s="35"/>
      <c r="D4764" s="36"/>
      <c r="E4764" s="36"/>
    </row>
    <row r="4765" spans="1:5" x14ac:dyDescent="0.25">
      <c r="A4765" s="28"/>
      <c r="B4765" s="180"/>
      <c r="C4765" s="35"/>
      <c r="D4765" s="36"/>
      <c r="E4765" s="36"/>
    </row>
    <row r="4766" spans="1:5" x14ac:dyDescent="0.25">
      <c r="A4766" s="28"/>
      <c r="B4766" s="180"/>
      <c r="C4766" s="35"/>
      <c r="D4766" s="36"/>
      <c r="E4766" s="36"/>
    </row>
    <row r="4767" spans="1:5" x14ac:dyDescent="0.25">
      <c r="A4767" s="28"/>
      <c r="B4767" s="180"/>
      <c r="C4767" s="35"/>
      <c r="D4767" s="36"/>
      <c r="E4767" s="36"/>
    </row>
    <row r="4768" spans="1:5" x14ac:dyDescent="0.25">
      <c r="A4768" s="28"/>
      <c r="B4768" s="180"/>
      <c r="C4768" s="35"/>
      <c r="D4768" s="36"/>
      <c r="E4768" s="36"/>
    </row>
    <row r="4769" spans="1:5" x14ac:dyDescent="0.25">
      <c r="A4769" s="28"/>
      <c r="B4769" s="180"/>
      <c r="C4769" s="35"/>
      <c r="D4769" s="36"/>
      <c r="E4769" s="36"/>
    </row>
    <row r="4770" spans="1:5" x14ac:dyDescent="0.25">
      <c r="A4770" s="28"/>
      <c r="B4770" s="180"/>
      <c r="C4770" s="35"/>
      <c r="D4770" s="36"/>
      <c r="E4770" s="36"/>
    </row>
    <row r="4771" spans="1:5" x14ac:dyDescent="0.25">
      <c r="A4771" s="28"/>
      <c r="B4771" s="180"/>
      <c r="C4771" s="35"/>
      <c r="D4771" s="36"/>
      <c r="E4771" s="36"/>
    </row>
    <row r="4772" spans="1:5" x14ac:dyDescent="0.25">
      <c r="A4772" s="28"/>
      <c r="B4772" s="180"/>
      <c r="C4772" s="35"/>
      <c r="D4772" s="36"/>
      <c r="E4772" s="36"/>
    </row>
    <row r="4773" spans="1:5" x14ac:dyDescent="0.25">
      <c r="A4773" s="28"/>
      <c r="B4773" s="180"/>
      <c r="C4773" s="35"/>
      <c r="D4773" s="36"/>
      <c r="E4773" s="36"/>
    </row>
    <row r="4774" spans="1:5" x14ac:dyDescent="0.25">
      <c r="A4774" s="28"/>
      <c r="B4774" s="180"/>
      <c r="C4774" s="35"/>
      <c r="D4774" s="36"/>
      <c r="E4774" s="36"/>
    </row>
    <row r="4775" spans="1:5" x14ac:dyDescent="0.25">
      <c r="A4775" s="28"/>
      <c r="B4775" s="180"/>
      <c r="C4775" s="35"/>
      <c r="D4775" s="36"/>
      <c r="E4775" s="36"/>
    </row>
    <row r="4776" spans="1:5" x14ac:dyDescent="0.25">
      <c r="A4776" s="28"/>
      <c r="B4776" s="180"/>
      <c r="C4776" s="35"/>
      <c r="D4776" s="36"/>
      <c r="E4776" s="36"/>
    </row>
    <row r="4777" spans="1:5" x14ac:dyDescent="0.25">
      <c r="A4777" s="28"/>
      <c r="B4777" s="180"/>
      <c r="C4777" s="35"/>
      <c r="D4777" s="36"/>
      <c r="E4777" s="36"/>
    </row>
    <row r="4778" spans="1:5" x14ac:dyDescent="0.25">
      <c r="A4778" s="28"/>
      <c r="B4778" s="180"/>
      <c r="C4778" s="35"/>
      <c r="D4778" s="36"/>
      <c r="E4778" s="36"/>
    </row>
    <row r="4779" spans="1:5" x14ac:dyDescent="0.25">
      <c r="A4779" s="28"/>
      <c r="B4779" s="180"/>
      <c r="C4779" s="35"/>
      <c r="D4779" s="36"/>
      <c r="E4779" s="36"/>
    </row>
    <row r="4780" spans="1:5" x14ac:dyDescent="0.25">
      <c r="A4780" s="28"/>
      <c r="B4780" s="180"/>
      <c r="C4780" s="35"/>
      <c r="D4780" s="36"/>
      <c r="E4780" s="36"/>
    </row>
    <row r="4781" spans="1:5" x14ac:dyDescent="0.25">
      <c r="A4781" s="28"/>
      <c r="B4781" s="180"/>
      <c r="C4781" s="35"/>
      <c r="D4781" s="36"/>
      <c r="E4781" s="36"/>
    </row>
    <row r="4782" spans="1:5" x14ac:dyDescent="0.25">
      <c r="A4782" s="28"/>
      <c r="B4782" s="180"/>
      <c r="C4782" s="35"/>
      <c r="D4782" s="36"/>
      <c r="E4782" s="36"/>
    </row>
    <row r="4783" spans="1:5" x14ac:dyDescent="0.25">
      <c r="A4783" s="28"/>
      <c r="B4783" s="180"/>
      <c r="C4783" s="35"/>
      <c r="D4783" s="36"/>
      <c r="E4783" s="36"/>
    </row>
    <row r="4784" spans="1:5" x14ac:dyDescent="0.25">
      <c r="A4784" s="28"/>
      <c r="B4784" s="180"/>
      <c r="C4784" s="35"/>
      <c r="D4784" s="36"/>
      <c r="E4784" s="36"/>
    </row>
    <row r="4785" spans="1:5" x14ac:dyDescent="0.25">
      <c r="A4785" s="28"/>
      <c r="B4785" s="180"/>
      <c r="C4785" s="35"/>
      <c r="D4785" s="36"/>
      <c r="E4785" s="36"/>
    </row>
    <row r="4786" spans="1:5" x14ac:dyDescent="0.25">
      <c r="A4786" s="28"/>
      <c r="B4786" s="180"/>
      <c r="C4786" s="35"/>
      <c r="D4786" s="36"/>
      <c r="E4786" s="36"/>
    </row>
    <row r="4787" spans="1:5" x14ac:dyDescent="0.25">
      <c r="A4787" s="28"/>
      <c r="B4787" s="180"/>
      <c r="C4787" s="35"/>
      <c r="D4787" s="36"/>
      <c r="E4787" s="36"/>
    </row>
    <row r="4788" spans="1:5" x14ac:dyDescent="0.25">
      <c r="A4788" s="28"/>
      <c r="B4788" s="180"/>
      <c r="C4788" s="35"/>
      <c r="D4788" s="36"/>
      <c r="E4788" s="36"/>
    </row>
    <row r="4789" spans="1:5" x14ac:dyDescent="0.25">
      <c r="A4789" s="28"/>
      <c r="B4789" s="180"/>
      <c r="C4789" s="35"/>
      <c r="D4789" s="36"/>
      <c r="E4789" s="36"/>
    </row>
    <row r="4790" spans="1:5" x14ac:dyDescent="0.25">
      <c r="A4790" s="28"/>
      <c r="B4790" s="180"/>
      <c r="C4790" s="35"/>
      <c r="D4790" s="36"/>
      <c r="E4790" s="36"/>
    </row>
    <row r="4791" spans="1:5" x14ac:dyDescent="0.25">
      <c r="A4791" s="28"/>
      <c r="B4791" s="180"/>
      <c r="C4791" s="35"/>
      <c r="D4791" s="36"/>
      <c r="E4791" s="36"/>
    </row>
    <row r="4792" spans="1:5" x14ac:dyDescent="0.25">
      <c r="A4792" s="28"/>
      <c r="B4792" s="180"/>
      <c r="C4792" s="35"/>
      <c r="D4792" s="36"/>
      <c r="E4792" s="36"/>
    </row>
    <row r="4793" spans="1:5" x14ac:dyDescent="0.25">
      <c r="A4793" s="28"/>
      <c r="B4793" s="180"/>
      <c r="C4793" s="35"/>
      <c r="D4793" s="36"/>
      <c r="E4793" s="36"/>
    </row>
    <row r="4794" spans="1:5" x14ac:dyDescent="0.25">
      <c r="A4794" s="28"/>
      <c r="B4794" s="180"/>
      <c r="C4794" s="35"/>
      <c r="D4794" s="36"/>
      <c r="E4794" s="36"/>
    </row>
    <row r="4795" spans="1:5" x14ac:dyDescent="0.25">
      <c r="A4795" s="28"/>
      <c r="B4795" s="180"/>
      <c r="C4795" s="35"/>
      <c r="D4795" s="36"/>
      <c r="E4795" s="36"/>
    </row>
    <row r="4796" spans="1:5" x14ac:dyDescent="0.25">
      <c r="A4796" s="28"/>
      <c r="B4796" s="180"/>
      <c r="C4796" s="35"/>
      <c r="D4796" s="36"/>
      <c r="E4796" s="36"/>
    </row>
    <row r="4797" spans="1:5" x14ac:dyDescent="0.25">
      <c r="A4797" s="28"/>
      <c r="B4797" s="180"/>
      <c r="C4797" s="35"/>
      <c r="D4797" s="36"/>
      <c r="E4797" s="36"/>
    </row>
    <row r="4798" spans="1:5" x14ac:dyDescent="0.25">
      <c r="A4798" s="28"/>
      <c r="B4798" s="180"/>
      <c r="C4798" s="35"/>
      <c r="D4798" s="36"/>
      <c r="E4798" s="36"/>
    </row>
    <row r="4799" spans="1:5" x14ac:dyDescent="0.25">
      <c r="A4799" s="28"/>
      <c r="B4799" s="180"/>
      <c r="C4799" s="35"/>
      <c r="D4799" s="36"/>
      <c r="E4799" s="36"/>
    </row>
    <row r="4800" spans="1:5" x14ac:dyDescent="0.25">
      <c r="A4800" s="28"/>
      <c r="B4800" s="180"/>
      <c r="C4800" s="35"/>
      <c r="D4800" s="36"/>
      <c r="E4800" s="36"/>
    </row>
    <row r="4801" spans="1:5" x14ac:dyDescent="0.25">
      <c r="A4801" s="28"/>
      <c r="B4801" s="180"/>
      <c r="C4801" s="35"/>
      <c r="D4801" s="36"/>
      <c r="E4801" s="36"/>
    </row>
    <row r="4802" spans="1:5" x14ac:dyDescent="0.25">
      <c r="A4802" s="28"/>
      <c r="B4802" s="180"/>
      <c r="C4802" s="35"/>
      <c r="D4802" s="36"/>
      <c r="E4802" s="36"/>
    </row>
    <row r="4803" spans="1:5" x14ac:dyDescent="0.25">
      <c r="A4803" s="28"/>
      <c r="B4803" s="180"/>
      <c r="C4803" s="35"/>
      <c r="D4803" s="36"/>
      <c r="E4803" s="36"/>
    </row>
    <row r="4804" spans="1:5" x14ac:dyDescent="0.25">
      <c r="A4804" s="28"/>
      <c r="B4804" s="180"/>
      <c r="C4804" s="35"/>
      <c r="D4804" s="36"/>
      <c r="E4804" s="36"/>
    </row>
    <row r="4805" spans="1:5" x14ac:dyDescent="0.25">
      <c r="A4805" s="28"/>
      <c r="B4805" s="180"/>
      <c r="C4805" s="35"/>
      <c r="D4805" s="36"/>
      <c r="E4805" s="36"/>
    </row>
    <row r="4806" spans="1:5" x14ac:dyDescent="0.25">
      <c r="A4806" s="28"/>
      <c r="B4806" s="180"/>
      <c r="C4806" s="35"/>
      <c r="D4806" s="36"/>
      <c r="E4806" s="36"/>
    </row>
    <row r="4807" spans="1:5" x14ac:dyDescent="0.25">
      <c r="A4807" s="28"/>
      <c r="B4807" s="180"/>
      <c r="C4807" s="35"/>
      <c r="D4807" s="36"/>
      <c r="E4807" s="36"/>
    </row>
    <row r="4808" spans="1:5" x14ac:dyDescent="0.25">
      <c r="A4808" s="28"/>
      <c r="B4808" s="180"/>
      <c r="C4808" s="35"/>
      <c r="D4808" s="36"/>
      <c r="E4808" s="36"/>
    </row>
    <row r="4809" spans="1:5" x14ac:dyDescent="0.25">
      <c r="A4809" s="28"/>
      <c r="B4809" s="180"/>
      <c r="C4809" s="35"/>
      <c r="D4809" s="36"/>
      <c r="E4809" s="36"/>
    </row>
    <row r="4810" spans="1:5" x14ac:dyDescent="0.25">
      <c r="A4810" s="28"/>
      <c r="B4810" s="180"/>
      <c r="C4810" s="35"/>
      <c r="D4810" s="36"/>
      <c r="E4810" s="36"/>
    </row>
    <row r="4811" spans="1:5" x14ac:dyDescent="0.25">
      <c r="A4811" s="28"/>
      <c r="B4811" s="180"/>
      <c r="C4811" s="35"/>
      <c r="D4811" s="36"/>
      <c r="E4811" s="36"/>
    </row>
    <row r="4812" spans="1:5" x14ac:dyDescent="0.25">
      <c r="A4812" s="28"/>
      <c r="B4812" s="180"/>
      <c r="C4812" s="35"/>
      <c r="D4812" s="36"/>
      <c r="E4812" s="36"/>
    </row>
    <row r="4813" spans="1:5" x14ac:dyDescent="0.25">
      <c r="A4813" s="28"/>
      <c r="B4813" s="180"/>
      <c r="C4813" s="35"/>
      <c r="D4813" s="36"/>
      <c r="E4813" s="36"/>
    </row>
    <row r="4814" spans="1:5" x14ac:dyDescent="0.25">
      <c r="A4814" s="28"/>
      <c r="B4814" s="180"/>
      <c r="C4814" s="35"/>
      <c r="D4814" s="36"/>
      <c r="E4814" s="36"/>
    </row>
    <row r="4815" spans="1:5" x14ac:dyDescent="0.25">
      <c r="A4815" s="28"/>
      <c r="B4815" s="180"/>
      <c r="C4815" s="35"/>
      <c r="D4815" s="36"/>
      <c r="E4815" s="36"/>
    </row>
    <row r="4816" spans="1:5" x14ac:dyDescent="0.25">
      <c r="A4816" s="28"/>
      <c r="B4816" s="180"/>
      <c r="C4816" s="35"/>
      <c r="D4816" s="36"/>
      <c r="E4816" s="36"/>
    </row>
    <row r="4817" spans="1:5" x14ac:dyDescent="0.25">
      <c r="A4817" s="28"/>
      <c r="B4817" s="180"/>
      <c r="C4817" s="35"/>
      <c r="D4817" s="36"/>
      <c r="E4817" s="36"/>
    </row>
    <row r="4818" spans="1:5" x14ac:dyDescent="0.25">
      <c r="A4818" s="28"/>
      <c r="B4818" s="180"/>
      <c r="C4818" s="35"/>
      <c r="D4818" s="36"/>
      <c r="E4818" s="36"/>
    </row>
    <row r="4819" spans="1:5" x14ac:dyDescent="0.25">
      <c r="A4819" s="28"/>
      <c r="B4819" s="180"/>
      <c r="C4819" s="35"/>
      <c r="D4819" s="36"/>
      <c r="E4819" s="36"/>
    </row>
    <row r="4820" spans="1:5" x14ac:dyDescent="0.25">
      <c r="A4820" s="28"/>
      <c r="B4820" s="180"/>
      <c r="C4820" s="35"/>
      <c r="D4820" s="36"/>
      <c r="E4820" s="36"/>
    </row>
    <row r="4821" spans="1:5" x14ac:dyDescent="0.25">
      <c r="A4821" s="28"/>
      <c r="B4821" s="180"/>
      <c r="C4821" s="35"/>
      <c r="D4821" s="36"/>
      <c r="E4821" s="36"/>
    </row>
    <row r="4822" spans="1:5" x14ac:dyDescent="0.25">
      <c r="A4822" s="28"/>
      <c r="B4822" s="180"/>
      <c r="C4822" s="35"/>
      <c r="D4822" s="36"/>
      <c r="E4822" s="36"/>
    </row>
    <row r="4823" spans="1:5" x14ac:dyDescent="0.25">
      <c r="A4823" s="28"/>
      <c r="B4823" s="180"/>
      <c r="C4823" s="35"/>
      <c r="D4823" s="36"/>
      <c r="E4823" s="36"/>
    </row>
    <row r="4824" spans="1:5" x14ac:dyDescent="0.25">
      <c r="A4824" s="28"/>
      <c r="B4824" s="180"/>
      <c r="C4824" s="35"/>
      <c r="D4824" s="36"/>
      <c r="E4824" s="36"/>
    </row>
    <row r="4825" spans="1:5" x14ac:dyDescent="0.25">
      <c r="A4825" s="28"/>
      <c r="B4825" s="180"/>
      <c r="C4825" s="35"/>
      <c r="D4825" s="36"/>
      <c r="E4825" s="36"/>
    </row>
    <row r="4826" spans="1:5" x14ac:dyDescent="0.25">
      <c r="A4826" s="28"/>
      <c r="B4826" s="180"/>
      <c r="C4826" s="35"/>
      <c r="D4826" s="36"/>
      <c r="E4826" s="36"/>
    </row>
    <row r="4827" spans="1:5" x14ac:dyDescent="0.25">
      <c r="A4827" s="28"/>
      <c r="B4827" s="180"/>
      <c r="C4827" s="35"/>
      <c r="D4827" s="36"/>
      <c r="E4827" s="36"/>
    </row>
    <row r="4828" spans="1:5" x14ac:dyDescent="0.25">
      <c r="A4828" s="28"/>
      <c r="B4828" s="180"/>
      <c r="C4828" s="35"/>
      <c r="D4828" s="36"/>
      <c r="E4828" s="36"/>
    </row>
    <row r="4829" spans="1:5" x14ac:dyDescent="0.25">
      <c r="A4829" s="28"/>
      <c r="B4829" s="180"/>
      <c r="C4829" s="35"/>
      <c r="D4829" s="36"/>
      <c r="E4829" s="36"/>
    </row>
    <row r="4830" spans="1:5" x14ac:dyDescent="0.25">
      <c r="A4830" s="28"/>
      <c r="B4830" s="180"/>
      <c r="C4830" s="35"/>
      <c r="D4830" s="36"/>
      <c r="E4830" s="36"/>
    </row>
    <row r="4831" spans="1:5" x14ac:dyDescent="0.25">
      <c r="A4831" s="28"/>
      <c r="B4831" s="180"/>
      <c r="C4831" s="35"/>
      <c r="D4831" s="36"/>
      <c r="E4831" s="36"/>
    </row>
    <row r="4832" spans="1:5" x14ac:dyDescent="0.25">
      <c r="A4832" s="28"/>
      <c r="B4832" s="180"/>
      <c r="C4832" s="35"/>
      <c r="D4832" s="36"/>
      <c r="E4832" s="36"/>
    </row>
    <row r="4833" spans="1:5" x14ac:dyDescent="0.25">
      <c r="A4833" s="28"/>
      <c r="B4833" s="180"/>
      <c r="C4833" s="35"/>
      <c r="D4833" s="36"/>
      <c r="E4833" s="36"/>
    </row>
    <row r="4834" spans="1:5" x14ac:dyDescent="0.25">
      <c r="A4834" s="28"/>
      <c r="B4834" s="180"/>
      <c r="C4834" s="35"/>
      <c r="D4834" s="36"/>
      <c r="E4834" s="36"/>
    </row>
    <row r="4835" spans="1:5" x14ac:dyDescent="0.25">
      <c r="A4835" s="28"/>
      <c r="B4835" s="180"/>
      <c r="C4835" s="35"/>
      <c r="D4835" s="36"/>
      <c r="E4835" s="36"/>
    </row>
    <row r="4836" spans="1:5" x14ac:dyDescent="0.25">
      <c r="A4836" s="28"/>
      <c r="B4836" s="180"/>
      <c r="C4836" s="35"/>
      <c r="D4836" s="36"/>
      <c r="E4836" s="36"/>
    </row>
    <row r="4837" spans="1:5" x14ac:dyDescent="0.25">
      <c r="A4837" s="28"/>
      <c r="B4837" s="180"/>
      <c r="C4837" s="35"/>
      <c r="D4837" s="36"/>
      <c r="E4837" s="36"/>
    </row>
    <row r="4838" spans="1:5" x14ac:dyDescent="0.25">
      <c r="A4838" s="28"/>
      <c r="B4838" s="180"/>
      <c r="C4838" s="35"/>
      <c r="D4838" s="36"/>
      <c r="E4838" s="36"/>
    </row>
    <row r="4839" spans="1:5" x14ac:dyDescent="0.25">
      <c r="A4839" s="28"/>
      <c r="B4839" s="180"/>
      <c r="C4839" s="35"/>
      <c r="D4839" s="36"/>
      <c r="E4839" s="36"/>
    </row>
    <row r="4840" spans="1:5" x14ac:dyDescent="0.25">
      <c r="A4840" s="28"/>
      <c r="B4840" s="180"/>
      <c r="C4840" s="35"/>
      <c r="D4840" s="36"/>
      <c r="E4840" s="36"/>
    </row>
    <row r="4841" spans="1:5" x14ac:dyDescent="0.25">
      <c r="A4841" s="28"/>
      <c r="B4841" s="180"/>
      <c r="C4841" s="35"/>
      <c r="D4841" s="36"/>
      <c r="E4841" s="36"/>
    </row>
    <row r="4842" spans="1:5" x14ac:dyDescent="0.25">
      <c r="A4842" s="28"/>
      <c r="B4842" s="180"/>
      <c r="C4842" s="35"/>
      <c r="D4842" s="36"/>
      <c r="E4842" s="36"/>
    </row>
    <row r="4843" spans="1:5" x14ac:dyDescent="0.25">
      <c r="A4843" s="28"/>
      <c r="B4843" s="180"/>
      <c r="C4843" s="35"/>
      <c r="D4843" s="36"/>
      <c r="E4843" s="36"/>
    </row>
    <row r="4844" spans="1:5" x14ac:dyDescent="0.25">
      <c r="A4844" s="28"/>
      <c r="B4844" s="180"/>
      <c r="C4844" s="35"/>
      <c r="D4844" s="36"/>
      <c r="E4844" s="36"/>
    </row>
    <row r="4845" spans="1:5" x14ac:dyDescent="0.25">
      <c r="A4845" s="28"/>
      <c r="B4845" s="180"/>
      <c r="C4845" s="35"/>
      <c r="D4845" s="36"/>
      <c r="E4845" s="36"/>
    </row>
    <row r="4846" spans="1:5" x14ac:dyDescent="0.25">
      <c r="A4846" s="28"/>
      <c r="B4846" s="180"/>
      <c r="C4846" s="35"/>
      <c r="D4846" s="36"/>
      <c r="E4846" s="36"/>
    </row>
    <row r="4847" spans="1:5" x14ac:dyDescent="0.25">
      <c r="A4847" s="28"/>
      <c r="B4847" s="180"/>
      <c r="C4847" s="35"/>
      <c r="D4847" s="36"/>
      <c r="E4847" s="36"/>
    </row>
    <row r="4848" spans="1:5" x14ac:dyDescent="0.25">
      <c r="A4848" s="28"/>
      <c r="B4848" s="180"/>
      <c r="C4848" s="35"/>
      <c r="D4848" s="36"/>
      <c r="E4848" s="36"/>
    </row>
    <row r="4849" spans="1:5" x14ac:dyDescent="0.25">
      <c r="A4849" s="28"/>
      <c r="B4849" s="180"/>
      <c r="C4849" s="35"/>
      <c r="D4849" s="36"/>
      <c r="E4849" s="36"/>
    </row>
    <row r="4850" spans="1:5" x14ac:dyDescent="0.25">
      <c r="A4850" s="28"/>
      <c r="B4850" s="180"/>
      <c r="C4850" s="35"/>
      <c r="D4850" s="36"/>
      <c r="E4850" s="36"/>
    </row>
    <row r="4851" spans="1:5" x14ac:dyDescent="0.25">
      <c r="A4851" s="28"/>
      <c r="B4851" s="180"/>
      <c r="C4851" s="35"/>
      <c r="D4851" s="36"/>
      <c r="E4851" s="36"/>
    </row>
    <row r="4852" spans="1:5" x14ac:dyDescent="0.25">
      <c r="A4852" s="28"/>
      <c r="B4852" s="180"/>
      <c r="C4852" s="35"/>
      <c r="D4852" s="36"/>
      <c r="E4852" s="36"/>
    </row>
    <row r="4853" spans="1:5" x14ac:dyDescent="0.25">
      <c r="A4853" s="28"/>
      <c r="B4853" s="180"/>
      <c r="C4853" s="35"/>
      <c r="D4853" s="36"/>
      <c r="E4853" s="36"/>
    </row>
    <row r="4854" spans="1:5" x14ac:dyDescent="0.25">
      <c r="A4854" s="28"/>
      <c r="B4854" s="180"/>
      <c r="C4854" s="35"/>
      <c r="D4854" s="36"/>
      <c r="E4854" s="36"/>
    </row>
    <row r="4855" spans="1:5" x14ac:dyDescent="0.25">
      <c r="A4855" s="28"/>
      <c r="B4855" s="180"/>
      <c r="C4855" s="35"/>
      <c r="D4855" s="36"/>
      <c r="E4855" s="36"/>
    </row>
    <row r="4856" spans="1:5" x14ac:dyDescent="0.25">
      <c r="A4856" s="28"/>
      <c r="B4856" s="180"/>
      <c r="C4856" s="35"/>
      <c r="D4856" s="36"/>
      <c r="E4856" s="36"/>
    </row>
    <row r="4857" spans="1:5" x14ac:dyDescent="0.25">
      <c r="A4857" s="28"/>
      <c r="B4857" s="180"/>
      <c r="C4857" s="35"/>
      <c r="D4857" s="36"/>
      <c r="E4857" s="36"/>
    </row>
    <row r="4858" spans="1:5" x14ac:dyDescent="0.25">
      <c r="A4858" s="28"/>
      <c r="B4858" s="180"/>
      <c r="C4858" s="35"/>
      <c r="D4858" s="36"/>
      <c r="E4858" s="36"/>
    </row>
    <row r="4859" spans="1:5" x14ac:dyDescent="0.25">
      <c r="A4859" s="28"/>
      <c r="B4859" s="180"/>
      <c r="C4859" s="35"/>
      <c r="D4859" s="36"/>
      <c r="E4859" s="36"/>
    </row>
    <row r="4860" spans="1:5" x14ac:dyDescent="0.25">
      <c r="A4860" s="28"/>
      <c r="B4860" s="180"/>
      <c r="C4860" s="35"/>
      <c r="D4860" s="36"/>
      <c r="E4860" s="36"/>
    </row>
    <row r="4861" spans="1:5" x14ac:dyDescent="0.25">
      <c r="A4861" s="28"/>
      <c r="B4861" s="180"/>
      <c r="C4861" s="35"/>
      <c r="D4861" s="36"/>
      <c r="E4861" s="36"/>
    </row>
    <row r="4862" spans="1:5" x14ac:dyDescent="0.25">
      <c r="A4862" s="28"/>
      <c r="B4862" s="180"/>
      <c r="C4862" s="35"/>
      <c r="D4862" s="36"/>
      <c r="E4862" s="36"/>
    </row>
    <row r="4863" spans="1:5" x14ac:dyDescent="0.25">
      <c r="A4863" s="28"/>
      <c r="B4863" s="180"/>
      <c r="C4863" s="35"/>
      <c r="D4863" s="36"/>
      <c r="E4863" s="36"/>
    </row>
    <row r="4864" spans="1:5" x14ac:dyDescent="0.25">
      <c r="A4864" s="28"/>
      <c r="B4864" s="180"/>
      <c r="C4864" s="35"/>
      <c r="D4864" s="36"/>
      <c r="E4864" s="36"/>
    </row>
    <row r="4865" spans="1:5" x14ac:dyDescent="0.25">
      <c r="A4865" s="28"/>
      <c r="B4865" s="180"/>
      <c r="C4865" s="35"/>
      <c r="D4865" s="36"/>
      <c r="E4865" s="36"/>
    </row>
    <row r="4866" spans="1:5" x14ac:dyDescent="0.25">
      <c r="A4866" s="28"/>
      <c r="B4866" s="180"/>
      <c r="C4866" s="35"/>
      <c r="D4866" s="36"/>
      <c r="E4866" s="36"/>
    </row>
    <row r="4867" spans="1:5" x14ac:dyDescent="0.25">
      <c r="A4867" s="28"/>
      <c r="B4867" s="180"/>
      <c r="C4867" s="35"/>
      <c r="D4867" s="36"/>
      <c r="E4867" s="36"/>
    </row>
    <row r="4868" spans="1:5" x14ac:dyDescent="0.25">
      <c r="A4868" s="28"/>
      <c r="B4868" s="180"/>
      <c r="C4868" s="35"/>
      <c r="D4868" s="36"/>
      <c r="E4868" s="36"/>
    </row>
    <row r="4869" spans="1:5" x14ac:dyDescent="0.25">
      <c r="A4869" s="28"/>
      <c r="B4869" s="180"/>
      <c r="C4869" s="35"/>
      <c r="D4869" s="36"/>
      <c r="E4869" s="36"/>
    </row>
    <row r="4870" spans="1:5" x14ac:dyDescent="0.25">
      <c r="A4870" s="28"/>
      <c r="B4870" s="180"/>
      <c r="C4870" s="35"/>
      <c r="D4870" s="36"/>
      <c r="E4870" s="36"/>
    </row>
    <row r="4871" spans="1:5" x14ac:dyDescent="0.25">
      <c r="A4871" s="28"/>
      <c r="B4871" s="180"/>
      <c r="C4871" s="35"/>
      <c r="D4871" s="36"/>
      <c r="E4871" s="36"/>
    </row>
    <row r="4872" spans="1:5" x14ac:dyDescent="0.25">
      <c r="A4872" s="28"/>
      <c r="B4872" s="180"/>
      <c r="C4872" s="35"/>
      <c r="D4872" s="36"/>
      <c r="E4872" s="36"/>
    </row>
    <row r="4873" spans="1:5" x14ac:dyDescent="0.25">
      <c r="A4873" s="28"/>
      <c r="B4873" s="180"/>
      <c r="C4873" s="35"/>
      <c r="D4873" s="36"/>
      <c r="E4873" s="36"/>
    </row>
    <row r="4874" spans="1:5" x14ac:dyDescent="0.25">
      <c r="A4874" s="28"/>
      <c r="B4874" s="180"/>
      <c r="C4874" s="35"/>
      <c r="D4874" s="36"/>
      <c r="E4874" s="36"/>
    </row>
    <row r="4875" spans="1:5" x14ac:dyDescent="0.25">
      <c r="A4875" s="28"/>
      <c r="B4875" s="180"/>
      <c r="C4875" s="35"/>
      <c r="D4875" s="36"/>
      <c r="E4875" s="36"/>
    </row>
    <row r="4876" spans="1:5" x14ac:dyDescent="0.25">
      <c r="A4876" s="28"/>
      <c r="B4876" s="180"/>
      <c r="C4876" s="35"/>
      <c r="D4876" s="36"/>
      <c r="E4876" s="36"/>
    </row>
    <row r="4877" spans="1:5" x14ac:dyDescent="0.25">
      <c r="A4877" s="28"/>
      <c r="B4877" s="180"/>
      <c r="C4877" s="35"/>
      <c r="D4877" s="36"/>
      <c r="E4877" s="36"/>
    </row>
    <row r="4878" spans="1:5" x14ac:dyDescent="0.25">
      <c r="A4878" s="28"/>
      <c r="B4878" s="180"/>
      <c r="C4878" s="35"/>
      <c r="D4878" s="36"/>
      <c r="E4878" s="36"/>
    </row>
    <row r="4879" spans="1:5" x14ac:dyDescent="0.25">
      <c r="A4879" s="28"/>
      <c r="B4879" s="180"/>
      <c r="C4879" s="35"/>
      <c r="D4879" s="36"/>
      <c r="E4879" s="36"/>
    </row>
    <row r="4880" spans="1:5" x14ac:dyDescent="0.25">
      <c r="A4880" s="28"/>
      <c r="B4880" s="180"/>
      <c r="C4880" s="35"/>
      <c r="D4880" s="36"/>
      <c r="E4880" s="36"/>
    </row>
    <row r="4881" spans="1:5" x14ac:dyDescent="0.25">
      <c r="A4881" s="28"/>
      <c r="B4881" s="180"/>
      <c r="C4881" s="35"/>
      <c r="D4881" s="36"/>
      <c r="E4881" s="36"/>
    </row>
    <row r="4882" spans="1:5" x14ac:dyDescent="0.25">
      <c r="A4882" s="28"/>
      <c r="B4882" s="180"/>
      <c r="C4882" s="35"/>
      <c r="D4882" s="36"/>
      <c r="E4882" s="36"/>
    </row>
    <row r="4883" spans="1:5" x14ac:dyDescent="0.25">
      <c r="A4883" s="28"/>
      <c r="B4883" s="180"/>
      <c r="C4883" s="35"/>
      <c r="D4883" s="36"/>
      <c r="E4883" s="36"/>
    </row>
    <row r="4884" spans="1:5" x14ac:dyDescent="0.25">
      <c r="A4884" s="28"/>
      <c r="B4884" s="180"/>
      <c r="C4884" s="35"/>
      <c r="D4884" s="36"/>
      <c r="E4884" s="36"/>
    </row>
    <row r="4885" spans="1:5" x14ac:dyDescent="0.25">
      <c r="A4885" s="28"/>
      <c r="B4885" s="180"/>
      <c r="C4885" s="35"/>
      <c r="D4885" s="36"/>
      <c r="E4885" s="36"/>
    </row>
    <row r="4886" spans="1:5" x14ac:dyDescent="0.25">
      <c r="A4886" s="28"/>
      <c r="B4886" s="180"/>
      <c r="C4886" s="35"/>
      <c r="D4886" s="36"/>
      <c r="E4886" s="36"/>
    </row>
    <row r="4887" spans="1:5" x14ac:dyDescent="0.25">
      <c r="A4887" s="28"/>
      <c r="B4887" s="180"/>
      <c r="C4887" s="35"/>
      <c r="D4887" s="36"/>
      <c r="E4887" s="36"/>
    </row>
    <row r="4888" spans="1:5" x14ac:dyDescent="0.25">
      <c r="A4888" s="28"/>
      <c r="B4888" s="180"/>
      <c r="C4888" s="35"/>
      <c r="D4888" s="36"/>
      <c r="E4888" s="36"/>
    </row>
    <row r="4889" spans="1:5" x14ac:dyDescent="0.25">
      <c r="A4889" s="28"/>
      <c r="B4889" s="180"/>
      <c r="C4889" s="35"/>
      <c r="D4889" s="36"/>
      <c r="E4889" s="36"/>
    </row>
    <row r="4890" spans="1:5" x14ac:dyDescent="0.25">
      <c r="A4890" s="28"/>
      <c r="B4890" s="180"/>
      <c r="C4890" s="35"/>
      <c r="D4890" s="36"/>
      <c r="E4890" s="36"/>
    </row>
    <row r="4891" spans="1:5" x14ac:dyDescent="0.25">
      <c r="A4891" s="28"/>
      <c r="B4891" s="180"/>
      <c r="C4891" s="35"/>
      <c r="D4891" s="36"/>
      <c r="E4891" s="36"/>
    </row>
    <row r="4892" spans="1:5" x14ac:dyDescent="0.25">
      <c r="A4892" s="28"/>
      <c r="B4892" s="180"/>
      <c r="C4892" s="35"/>
      <c r="D4892" s="36"/>
      <c r="E4892" s="36"/>
    </row>
    <row r="4893" spans="1:5" x14ac:dyDescent="0.25">
      <c r="A4893" s="28"/>
      <c r="B4893" s="180"/>
      <c r="C4893" s="35"/>
      <c r="D4893" s="36"/>
      <c r="E4893" s="36"/>
    </row>
    <row r="4894" spans="1:5" x14ac:dyDescent="0.25">
      <c r="A4894" s="28"/>
      <c r="B4894" s="180"/>
      <c r="C4894" s="35"/>
      <c r="D4894" s="36"/>
      <c r="E4894" s="36"/>
    </row>
    <row r="4895" spans="1:5" x14ac:dyDescent="0.25">
      <c r="A4895" s="28"/>
      <c r="B4895" s="180"/>
      <c r="C4895" s="35"/>
      <c r="D4895" s="36"/>
      <c r="E4895" s="36"/>
    </row>
    <row r="4896" spans="1:5" x14ac:dyDescent="0.25">
      <c r="A4896" s="28"/>
      <c r="B4896" s="180"/>
      <c r="C4896" s="35"/>
      <c r="D4896" s="36"/>
      <c r="E4896" s="36"/>
    </row>
    <row r="4897" spans="1:5" x14ac:dyDescent="0.25">
      <c r="A4897" s="28"/>
      <c r="B4897" s="180"/>
      <c r="C4897" s="35"/>
      <c r="D4897" s="36"/>
      <c r="E4897" s="36"/>
    </row>
    <row r="4898" spans="1:5" x14ac:dyDescent="0.25">
      <c r="A4898" s="28"/>
      <c r="B4898" s="180"/>
      <c r="C4898" s="35"/>
      <c r="D4898" s="36"/>
      <c r="E4898" s="36"/>
    </row>
    <row r="4899" spans="1:5" x14ac:dyDescent="0.25">
      <c r="A4899" s="28"/>
      <c r="B4899" s="180"/>
      <c r="C4899" s="35"/>
      <c r="D4899" s="36"/>
      <c r="E4899" s="36"/>
    </row>
    <row r="4900" spans="1:5" x14ac:dyDescent="0.25">
      <c r="A4900" s="28"/>
      <c r="B4900" s="180"/>
      <c r="C4900" s="35"/>
      <c r="D4900" s="36"/>
      <c r="E4900" s="36"/>
    </row>
    <row r="4901" spans="1:5" x14ac:dyDescent="0.25">
      <c r="A4901" s="28"/>
      <c r="B4901" s="180"/>
      <c r="C4901" s="35"/>
      <c r="D4901" s="36"/>
      <c r="E4901" s="36"/>
    </row>
    <row r="4902" spans="1:5" x14ac:dyDescent="0.25">
      <c r="A4902" s="28"/>
      <c r="B4902" s="180"/>
      <c r="C4902" s="35"/>
      <c r="D4902" s="36"/>
      <c r="E4902" s="36"/>
    </row>
    <row r="4903" spans="1:5" x14ac:dyDescent="0.25">
      <c r="A4903" s="28"/>
      <c r="B4903" s="180"/>
      <c r="C4903" s="35"/>
      <c r="D4903" s="36"/>
      <c r="E4903" s="36"/>
    </row>
    <row r="4904" spans="1:5" x14ac:dyDescent="0.25">
      <c r="A4904" s="28"/>
      <c r="B4904" s="180"/>
      <c r="C4904" s="35"/>
      <c r="D4904" s="36"/>
      <c r="E4904" s="36"/>
    </row>
    <row r="4905" spans="1:5" x14ac:dyDescent="0.25">
      <c r="A4905" s="28"/>
      <c r="B4905" s="180"/>
      <c r="C4905" s="35"/>
      <c r="D4905" s="36"/>
      <c r="E4905" s="36"/>
    </row>
    <row r="4906" spans="1:5" x14ac:dyDescent="0.25">
      <c r="A4906" s="28"/>
      <c r="B4906" s="180"/>
      <c r="C4906" s="35"/>
      <c r="D4906" s="36"/>
      <c r="E4906" s="36"/>
    </row>
    <row r="4907" spans="1:5" x14ac:dyDescent="0.25">
      <c r="A4907" s="28"/>
      <c r="B4907" s="180"/>
      <c r="C4907" s="35"/>
      <c r="D4907" s="36"/>
      <c r="E4907" s="36"/>
    </row>
    <row r="4908" spans="1:5" x14ac:dyDescent="0.25">
      <c r="A4908" s="28"/>
      <c r="B4908" s="180"/>
      <c r="C4908" s="35"/>
      <c r="D4908" s="36"/>
      <c r="E4908" s="36"/>
    </row>
    <row r="4909" spans="1:5" x14ac:dyDescent="0.25">
      <c r="A4909" s="28"/>
      <c r="B4909" s="180"/>
      <c r="C4909" s="35"/>
      <c r="D4909" s="36"/>
      <c r="E4909" s="36"/>
    </row>
    <row r="4910" spans="1:5" x14ac:dyDescent="0.25">
      <c r="A4910" s="28"/>
      <c r="B4910" s="180"/>
      <c r="C4910" s="35"/>
      <c r="D4910" s="36"/>
      <c r="E4910" s="36"/>
    </row>
    <row r="4911" spans="1:5" x14ac:dyDescent="0.25">
      <c r="A4911" s="28"/>
      <c r="B4911" s="180"/>
      <c r="C4911" s="35"/>
      <c r="D4911" s="36"/>
      <c r="E4911" s="36"/>
    </row>
    <row r="4912" spans="1:5" x14ac:dyDescent="0.25">
      <c r="A4912" s="28"/>
      <c r="B4912" s="180"/>
      <c r="C4912" s="35"/>
      <c r="D4912" s="36"/>
      <c r="E4912" s="36"/>
    </row>
    <row r="4913" spans="1:5" x14ac:dyDescent="0.25">
      <c r="A4913" s="28"/>
      <c r="B4913" s="180"/>
      <c r="C4913" s="35"/>
      <c r="D4913" s="36"/>
      <c r="E4913" s="36"/>
    </row>
    <row r="4914" spans="1:5" x14ac:dyDescent="0.25">
      <c r="A4914" s="28"/>
      <c r="B4914" s="180"/>
      <c r="C4914" s="35"/>
      <c r="D4914" s="36"/>
      <c r="E4914" s="36"/>
    </row>
    <row r="4915" spans="1:5" x14ac:dyDescent="0.25">
      <c r="A4915" s="28"/>
      <c r="B4915" s="180"/>
      <c r="C4915" s="35"/>
      <c r="D4915" s="36"/>
      <c r="E4915" s="36"/>
    </row>
    <row r="4916" spans="1:5" x14ac:dyDescent="0.25">
      <c r="A4916" s="28"/>
      <c r="B4916" s="180"/>
      <c r="C4916" s="35"/>
      <c r="D4916" s="36"/>
      <c r="E4916" s="36"/>
    </row>
    <row r="4917" spans="1:5" x14ac:dyDescent="0.25">
      <c r="A4917" s="28"/>
      <c r="B4917" s="180"/>
      <c r="C4917" s="35"/>
      <c r="D4917" s="36"/>
      <c r="E4917" s="36"/>
    </row>
    <row r="4918" spans="1:5" x14ac:dyDescent="0.25">
      <c r="A4918" s="28"/>
      <c r="B4918" s="180"/>
      <c r="C4918" s="35"/>
      <c r="D4918" s="36"/>
      <c r="E4918" s="36"/>
    </row>
    <row r="4919" spans="1:5" x14ac:dyDescent="0.25">
      <c r="A4919" s="28"/>
      <c r="B4919" s="180"/>
      <c r="C4919" s="35"/>
      <c r="D4919" s="36"/>
      <c r="E4919" s="36"/>
    </row>
    <row r="4920" spans="1:5" x14ac:dyDescent="0.25">
      <c r="A4920" s="28"/>
      <c r="B4920" s="180"/>
      <c r="C4920" s="35"/>
      <c r="D4920" s="36"/>
      <c r="E4920" s="36"/>
    </row>
    <row r="4921" spans="1:5" x14ac:dyDescent="0.25">
      <c r="A4921" s="28"/>
      <c r="B4921" s="180"/>
      <c r="C4921" s="35"/>
      <c r="D4921" s="36"/>
      <c r="E4921" s="36"/>
    </row>
    <row r="4922" spans="1:5" x14ac:dyDescent="0.25">
      <c r="A4922" s="28"/>
      <c r="B4922" s="180"/>
      <c r="C4922" s="35"/>
      <c r="D4922" s="36"/>
      <c r="E4922" s="36"/>
    </row>
    <row r="4923" spans="1:5" x14ac:dyDescent="0.25">
      <c r="A4923" s="28"/>
      <c r="B4923" s="180"/>
      <c r="C4923" s="35"/>
      <c r="D4923" s="36"/>
      <c r="E4923" s="36"/>
    </row>
    <row r="4924" spans="1:5" x14ac:dyDescent="0.25">
      <c r="A4924" s="28"/>
      <c r="B4924" s="180"/>
      <c r="C4924" s="35"/>
      <c r="D4924" s="36"/>
      <c r="E4924" s="36"/>
    </row>
    <row r="4925" spans="1:5" x14ac:dyDescent="0.25">
      <c r="A4925" s="28"/>
      <c r="B4925" s="180"/>
      <c r="C4925" s="35"/>
      <c r="D4925" s="36"/>
      <c r="E4925" s="36"/>
    </row>
    <row r="4926" spans="1:5" x14ac:dyDescent="0.25">
      <c r="A4926" s="28"/>
      <c r="B4926" s="180"/>
      <c r="C4926" s="35"/>
      <c r="D4926" s="36"/>
      <c r="E4926" s="36"/>
    </row>
    <row r="4927" spans="1:5" x14ac:dyDescent="0.25">
      <c r="A4927" s="28"/>
      <c r="B4927" s="180"/>
      <c r="C4927" s="35"/>
      <c r="D4927" s="36"/>
      <c r="E4927" s="36"/>
    </row>
    <row r="4928" spans="1:5" x14ac:dyDescent="0.25">
      <c r="A4928" s="28"/>
      <c r="B4928" s="180"/>
      <c r="C4928" s="35"/>
      <c r="D4928" s="36"/>
      <c r="E4928" s="36"/>
    </row>
    <row r="4929" spans="1:5" x14ac:dyDescent="0.25">
      <c r="A4929" s="28"/>
      <c r="B4929" s="180"/>
      <c r="C4929" s="35"/>
      <c r="D4929" s="36"/>
      <c r="E4929" s="36"/>
    </row>
    <row r="4930" spans="1:5" x14ac:dyDescent="0.25">
      <c r="A4930" s="28"/>
      <c r="B4930" s="180"/>
      <c r="C4930" s="35"/>
      <c r="D4930" s="36"/>
      <c r="E4930" s="36"/>
    </row>
    <row r="4931" spans="1:5" x14ac:dyDescent="0.25">
      <c r="A4931" s="28"/>
      <c r="B4931" s="180"/>
      <c r="C4931" s="35"/>
      <c r="D4931" s="36"/>
      <c r="E4931" s="36"/>
    </row>
    <row r="4932" spans="1:5" x14ac:dyDescent="0.25">
      <c r="A4932" s="28"/>
      <c r="B4932" s="180"/>
      <c r="C4932" s="35"/>
      <c r="D4932" s="36"/>
      <c r="E4932" s="36"/>
    </row>
    <row r="4933" spans="1:5" x14ac:dyDescent="0.25">
      <c r="A4933" s="28"/>
      <c r="B4933" s="180"/>
      <c r="C4933" s="35"/>
      <c r="D4933" s="36"/>
      <c r="E4933" s="36"/>
    </row>
    <row r="4934" spans="1:5" x14ac:dyDescent="0.25">
      <c r="A4934" s="28"/>
      <c r="B4934" s="180"/>
      <c r="C4934" s="35"/>
      <c r="D4934" s="36"/>
      <c r="E4934" s="36"/>
    </row>
    <row r="4935" spans="1:5" x14ac:dyDescent="0.25">
      <c r="A4935" s="28"/>
      <c r="B4935" s="180"/>
      <c r="C4935" s="35"/>
      <c r="D4935" s="36"/>
      <c r="E4935" s="36"/>
    </row>
    <row r="4936" spans="1:5" x14ac:dyDescent="0.25">
      <c r="A4936" s="28"/>
      <c r="B4936" s="180"/>
      <c r="C4936" s="35"/>
      <c r="D4936" s="36"/>
      <c r="E4936" s="36"/>
    </row>
    <row r="4937" spans="1:5" x14ac:dyDescent="0.25">
      <c r="A4937" s="28"/>
      <c r="B4937" s="180"/>
      <c r="C4937" s="35"/>
      <c r="D4937" s="36"/>
      <c r="E4937" s="36"/>
    </row>
    <row r="4938" spans="1:5" x14ac:dyDescent="0.25">
      <c r="A4938" s="28"/>
      <c r="B4938" s="180"/>
      <c r="C4938" s="35"/>
      <c r="D4938" s="36"/>
      <c r="E4938" s="36"/>
    </row>
    <row r="4939" spans="1:5" x14ac:dyDescent="0.25">
      <c r="A4939" s="28"/>
      <c r="B4939" s="180"/>
      <c r="C4939" s="35"/>
      <c r="D4939" s="36"/>
      <c r="E4939" s="36"/>
    </row>
    <row r="4940" spans="1:5" x14ac:dyDescent="0.25">
      <c r="A4940" s="28"/>
      <c r="B4940" s="180"/>
      <c r="C4940" s="35"/>
      <c r="D4940" s="36"/>
      <c r="E4940" s="36"/>
    </row>
    <row r="4941" spans="1:5" x14ac:dyDescent="0.25">
      <c r="A4941" s="28"/>
      <c r="B4941" s="180"/>
      <c r="C4941" s="35"/>
      <c r="D4941" s="36"/>
      <c r="E4941" s="36"/>
    </row>
    <row r="4942" spans="1:5" x14ac:dyDescent="0.25">
      <c r="A4942" s="28"/>
      <c r="B4942" s="180"/>
      <c r="C4942" s="35"/>
      <c r="D4942" s="36"/>
      <c r="E4942" s="36"/>
    </row>
    <row r="4943" spans="1:5" x14ac:dyDescent="0.25">
      <c r="A4943" s="28"/>
      <c r="B4943" s="180"/>
      <c r="C4943" s="35"/>
      <c r="D4943" s="36"/>
      <c r="E4943" s="36"/>
    </row>
    <row r="4944" spans="1:5" x14ac:dyDescent="0.25">
      <c r="A4944" s="28"/>
      <c r="B4944" s="180"/>
      <c r="C4944" s="35"/>
      <c r="D4944" s="36"/>
      <c r="E4944" s="36"/>
    </row>
    <row r="4945" spans="1:5" x14ac:dyDescent="0.25">
      <c r="A4945" s="28"/>
      <c r="B4945" s="180"/>
      <c r="C4945" s="35"/>
      <c r="D4945" s="36"/>
      <c r="E4945" s="36"/>
    </row>
    <row r="4946" spans="1:5" x14ac:dyDescent="0.25">
      <c r="A4946" s="28"/>
      <c r="B4946" s="180"/>
      <c r="C4946" s="35"/>
      <c r="D4946" s="36"/>
      <c r="E4946" s="36"/>
    </row>
    <row r="4947" spans="1:5" x14ac:dyDescent="0.25">
      <c r="A4947" s="28"/>
      <c r="B4947" s="180"/>
      <c r="C4947" s="35"/>
      <c r="D4947" s="36"/>
      <c r="E4947" s="36"/>
    </row>
    <row r="4948" spans="1:5" x14ac:dyDescent="0.25">
      <c r="A4948" s="28"/>
      <c r="B4948" s="180"/>
      <c r="C4948" s="35"/>
      <c r="D4948" s="36"/>
      <c r="E4948" s="36"/>
    </row>
    <row r="4949" spans="1:5" x14ac:dyDescent="0.25">
      <c r="A4949" s="28"/>
      <c r="B4949" s="180"/>
      <c r="C4949" s="35"/>
      <c r="D4949" s="36"/>
      <c r="E4949" s="36"/>
    </row>
    <row r="4950" spans="1:5" x14ac:dyDescent="0.25">
      <c r="A4950" s="28"/>
      <c r="B4950" s="180"/>
      <c r="C4950" s="35"/>
      <c r="D4950" s="36"/>
      <c r="E4950" s="36"/>
    </row>
    <row r="4951" spans="1:5" x14ac:dyDescent="0.25">
      <c r="A4951" s="28"/>
      <c r="B4951" s="180"/>
      <c r="C4951" s="35"/>
      <c r="D4951" s="36"/>
      <c r="E4951" s="36"/>
    </row>
    <row r="4952" spans="1:5" x14ac:dyDescent="0.25">
      <c r="A4952" s="28"/>
      <c r="B4952" s="180"/>
      <c r="C4952" s="35"/>
      <c r="D4952" s="36"/>
      <c r="E4952" s="36"/>
    </row>
    <row r="4953" spans="1:5" x14ac:dyDescent="0.25">
      <c r="A4953" s="28"/>
      <c r="B4953" s="180"/>
      <c r="C4953" s="35"/>
      <c r="D4953" s="36"/>
      <c r="E4953" s="36"/>
    </row>
    <row r="4954" spans="1:5" x14ac:dyDescent="0.25">
      <c r="A4954" s="28"/>
      <c r="B4954" s="180"/>
      <c r="C4954" s="35"/>
      <c r="D4954" s="36"/>
      <c r="E4954" s="36"/>
    </row>
    <row r="4955" spans="1:5" x14ac:dyDescent="0.25">
      <c r="A4955" s="28"/>
      <c r="B4955" s="180"/>
      <c r="C4955" s="35"/>
      <c r="D4955" s="36"/>
      <c r="E4955" s="36"/>
    </row>
    <row r="4956" spans="1:5" x14ac:dyDescent="0.25">
      <c r="A4956" s="28"/>
      <c r="B4956" s="180"/>
      <c r="C4956" s="35"/>
      <c r="D4956" s="36"/>
      <c r="E4956" s="36"/>
    </row>
    <row r="4957" spans="1:5" x14ac:dyDescent="0.25">
      <c r="A4957" s="28"/>
      <c r="B4957" s="180"/>
      <c r="C4957" s="35"/>
      <c r="D4957" s="36"/>
      <c r="E4957" s="36"/>
    </row>
    <row r="4958" spans="1:5" x14ac:dyDescent="0.25">
      <c r="A4958" s="28"/>
      <c r="B4958" s="180"/>
      <c r="C4958" s="35"/>
      <c r="D4958" s="36"/>
      <c r="E4958" s="36"/>
    </row>
    <row r="4959" spans="1:5" x14ac:dyDescent="0.25">
      <c r="A4959" s="28"/>
      <c r="B4959" s="180"/>
      <c r="C4959" s="35"/>
      <c r="D4959" s="36"/>
      <c r="E4959" s="36"/>
    </row>
    <row r="4960" spans="1:5" x14ac:dyDescent="0.25">
      <c r="A4960" s="28"/>
      <c r="B4960" s="180"/>
      <c r="C4960" s="35"/>
      <c r="D4960" s="36"/>
      <c r="E4960" s="36"/>
    </row>
    <row r="4961" spans="1:5" x14ac:dyDescent="0.25">
      <c r="A4961" s="28"/>
      <c r="B4961" s="180"/>
      <c r="C4961" s="35"/>
      <c r="D4961" s="36"/>
      <c r="E4961" s="36"/>
    </row>
    <row r="4962" spans="1:5" x14ac:dyDescent="0.25">
      <c r="A4962" s="28"/>
      <c r="B4962" s="180"/>
      <c r="C4962" s="35"/>
      <c r="D4962" s="36"/>
      <c r="E4962" s="36"/>
    </row>
    <row r="4963" spans="1:5" x14ac:dyDescent="0.25">
      <c r="A4963" s="28"/>
      <c r="B4963" s="180"/>
      <c r="C4963" s="35"/>
      <c r="D4963" s="36"/>
      <c r="E4963" s="36"/>
    </row>
    <row r="4964" spans="1:5" x14ac:dyDescent="0.25">
      <c r="A4964" s="28"/>
      <c r="B4964" s="180"/>
      <c r="C4964" s="35"/>
      <c r="D4964" s="36"/>
      <c r="E4964" s="36"/>
    </row>
    <row r="4965" spans="1:5" x14ac:dyDescent="0.25">
      <c r="A4965" s="28"/>
      <c r="B4965" s="180"/>
      <c r="C4965" s="35"/>
      <c r="D4965" s="36"/>
      <c r="E4965" s="36"/>
    </row>
    <row r="4966" spans="1:5" x14ac:dyDescent="0.25">
      <c r="A4966" s="28"/>
      <c r="B4966" s="180"/>
      <c r="C4966" s="35"/>
      <c r="D4966" s="36"/>
      <c r="E4966" s="36"/>
    </row>
    <row r="4967" spans="1:5" x14ac:dyDescent="0.25">
      <c r="A4967" s="28"/>
      <c r="B4967" s="180"/>
      <c r="C4967" s="35"/>
      <c r="D4967" s="36"/>
      <c r="E4967" s="36"/>
    </row>
    <row r="4968" spans="1:5" x14ac:dyDescent="0.25">
      <c r="A4968" s="28"/>
      <c r="B4968" s="180"/>
      <c r="C4968" s="35"/>
      <c r="D4968" s="36"/>
      <c r="E4968" s="36"/>
    </row>
    <row r="4969" spans="1:5" x14ac:dyDescent="0.25">
      <c r="A4969" s="28"/>
      <c r="B4969" s="180"/>
      <c r="C4969" s="35"/>
      <c r="D4969" s="36"/>
      <c r="E4969" s="36"/>
    </row>
    <row r="4970" spans="1:5" x14ac:dyDescent="0.25">
      <c r="A4970" s="28"/>
      <c r="B4970" s="180"/>
      <c r="C4970" s="35"/>
      <c r="D4970" s="36"/>
      <c r="E4970" s="36"/>
    </row>
    <row r="4971" spans="1:5" x14ac:dyDescent="0.25">
      <c r="A4971" s="28"/>
      <c r="B4971" s="180"/>
      <c r="C4971" s="35"/>
      <c r="D4971" s="36"/>
      <c r="E4971" s="36"/>
    </row>
    <row r="4972" spans="1:5" x14ac:dyDescent="0.25">
      <c r="A4972" s="28"/>
      <c r="B4972" s="180"/>
      <c r="C4972" s="35"/>
      <c r="D4972" s="36"/>
      <c r="E4972" s="36"/>
    </row>
    <row r="4973" spans="1:5" x14ac:dyDescent="0.25">
      <c r="A4973" s="28"/>
      <c r="B4973" s="180"/>
      <c r="C4973" s="35"/>
      <c r="D4973" s="36"/>
      <c r="E4973" s="36"/>
    </row>
    <row r="4974" spans="1:5" x14ac:dyDescent="0.25">
      <c r="A4974" s="28"/>
      <c r="B4974" s="180"/>
      <c r="C4974" s="35"/>
      <c r="D4974" s="36"/>
      <c r="E4974" s="36"/>
    </row>
    <row r="4975" spans="1:5" x14ac:dyDescent="0.25">
      <c r="A4975" s="28"/>
      <c r="B4975" s="180"/>
      <c r="C4975" s="35"/>
      <c r="D4975" s="36"/>
      <c r="E4975" s="36"/>
    </row>
    <row r="4976" spans="1:5" x14ac:dyDescent="0.25">
      <c r="A4976" s="28"/>
      <c r="B4976" s="180"/>
      <c r="C4976" s="35"/>
      <c r="D4976" s="36"/>
      <c r="E4976" s="36"/>
    </row>
    <row r="4977" spans="1:5" x14ac:dyDescent="0.25">
      <c r="A4977" s="28"/>
      <c r="B4977" s="180"/>
      <c r="C4977" s="35"/>
      <c r="D4977" s="36"/>
      <c r="E4977" s="36"/>
    </row>
    <row r="4978" spans="1:5" x14ac:dyDescent="0.25">
      <c r="A4978" s="28"/>
      <c r="B4978" s="180"/>
      <c r="C4978" s="35"/>
      <c r="D4978" s="36"/>
      <c r="E4978" s="36"/>
    </row>
    <row r="4979" spans="1:5" x14ac:dyDescent="0.25">
      <c r="A4979" s="28"/>
      <c r="B4979" s="180"/>
      <c r="C4979" s="35"/>
      <c r="D4979" s="36"/>
      <c r="E4979" s="36"/>
    </row>
    <row r="4980" spans="1:5" x14ac:dyDescent="0.25">
      <c r="A4980" s="28"/>
      <c r="B4980" s="180"/>
      <c r="C4980" s="35"/>
      <c r="D4980" s="36"/>
      <c r="E4980" s="36"/>
    </row>
    <row r="4981" spans="1:5" x14ac:dyDescent="0.25">
      <c r="A4981" s="28"/>
      <c r="B4981" s="180"/>
      <c r="C4981" s="35"/>
      <c r="D4981" s="36"/>
      <c r="E4981" s="36"/>
    </row>
    <row r="4982" spans="1:5" x14ac:dyDescent="0.25">
      <c r="A4982" s="28"/>
      <c r="B4982" s="180"/>
      <c r="C4982" s="35"/>
      <c r="D4982" s="36"/>
      <c r="E4982" s="36"/>
    </row>
    <row r="4983" spans="1:5" x14ac:dyDescent="0.25">
      <c r="A4983" s="28"/>
      <c r="B4983" s="180"/>
      <c r="C4983" s="35"/>
      <c r="D4983" s="36"/>
      <c r="E4983" s="36"/>
    </row>
    <row r="4984" spans="1:5" x14ac:dyDescent="0.25">
      <c r="A4984" s="28"/>
      <c r="B4984" s="180"/>
      <c r="C4984" s="35"/>
      <c r="D4984" s="36"/>
      <c r="E4984" s="36"/>
    </row>
    <row r="4985" spans="1:5" x14ac:dyDescent="0.25">
      <c r="A4985" s="28"/>
      <c r="B4985" s="180"/>
      <c r="C4985" s="35"/>
      <c r="D4985" s="36"/>
      <c r="E4985" s="36"/>
    </row>
    <row r="4986" spans="1:5" x14ac:dyDescent="0.25">
      <c r="A4986" s="28"/>
      <c r="B4986" s="180"/>
      <c r="C4986" s="35"/>
      <c r="D4986" s="36"/>
      <c r="E4986" s="36"/>
    </row>
    <row r="4987" spans="1:5" x14ac:dyDescent="0.25">
      <c r="A4987" s="28"/>
      <c r="B4987" s="180"/>
      <c r="C4987" s="35"/>
      <c r="D4987" s="36"/>
      <c r="E4987" s="36"/>
    </row>
    <row r="4988" spans="1:5" x14ac:dyDescent="0.25">
      <c r="A4988" s="28"/>
      <c r="B4988" s="180"/>
      <c r="C4988" s="35"/>
      <c r="D4988" s="36"/>
      <c r="E4988" s="36"/>
    </row>
    <row r="4989" spans="1:5" x14ac:dyDescent="0.25">
      <c r="A4989" s="28"/>
      <c r="B4989" s="180"/>
      <c r="C4989" s="35"/>
      <c r="D4989" s="36"/>
      <c r="E4989" s="36"/>
    </row>
    <row r="4990" spans="1:5" x14ac:dyDescent="0.25">
      <c r="A4990" s="28"/>
      <c r="B4990" s="180"/>
      <c r="C4990" s="35"/>
      <c r="D4990" s="36"/>
      <c r="E4990" s="36"/>
    </row>
    <row r="4991" spans="1:5" x14ac:dyDescent="0.25">
      <c r="A4991" s="28"/>
      <c r="B4991" s="180"/>
      <c r="C4991" s="35"/>
      <c r="D4991" s="36"/>
      <c r="E4991" s="36"/>
    </row>
    <row r="4992" spans="1:5" x14ac:dyDescent="0.25">
      <c r="A4992" s="28"/>
      <c r="B4992" s="180"/>
      <c r="C4992" s="35"/>
      <c r="D4992" s="36"/>
      <c r="E4992" s="36"/>
    </row>
    <row r="4993" spans="1:5" x14ac:dyDescent="0.25">
      <c r="A4993" s="28"/>
      <c r="B4993" s="180"/>
      <c r="C4993" s="35"/>
      <c r="D4993" s="36"/>
      <c r="E4993" s="36"/>
    </row>
    <row r="4994" spans="1:5" x14ac:dyDescent="0.25">
      <c r="A4994" s="28"/>
      <c r="B4994" s="180"/>
      <c r="C4994" s="35"/>
      <c r="D4994" s="36"/>
      <c r="E4994" s="36"/>
    </row>
    <row r="4995" spans="1:5" x14ac:dyDescent="0.25">
      <c r="A4995" s="28"/>
      <c r="B4995" s="180"/>
      <c r="C4995" s="35"/>
      <c r="D4995" s="36"/>
      <c r="E4995" s="36"/>
    </row>
    <row r="4996" spans="1:5" x14ac:dyDescent="0.25">
      <c r="A4996" s="28"/>
      <c r="B4996" s="180"/>
      <c r="C4996" s="35"/>
      <c r="D4996" s="36"/>
      <c r="E4996" s="36"/>
    </row>
    <row r="4997" spans="1:5" x14ac:dyDescent="0.25">
      <c r="A4997" s="28"/>
      <c r="B4997" s="180"/>
      <c r="C4997" s="35"/>
      <c r="D4997" s="36"/>
      <c r="E4997" s="36"/>
    </row>
    <row r="4998" spans="1:5" x14ac:dyDescent="0.25">
      <c r="A4998" s="28"/>
      <c r="B4998" s="180"/>
      <c r="C4998" s="35"/>
      <c r="D4998" s="36"/>
      <c r="E4998" s="36"/>
    </row>
    <row r="4999" spans="1:5" x14ac:dyDescent="0.25">
      <c r="A4999" s="28"/>
      <c r="B4999" s="180"/>
      <c r="C4999" s="35"/>
      <c r="D4999" s="36"/>
      <c r="E4999" s="36"/>
    </row>
    <row r="5000" spans="1:5" x14ac:dyDescent="0.25">
      <c r="A5000" s="28"/>
      <c r="B5000" s="180"/>
      <c r="C5000" s="35"/>
      <c r="D5000" s="36"/>
      <c r="E5000" s="36"/>
    </row>
    <row r="5001" spans="1:5" x14ac:dyDescent="0.25">
      <c r="A5001" s="28"/>
      <c r="B5001" s="180"/>
      <c r="C5001" s="35"/>
      <c r="D5001" s="36"/>
      <c r="E5001" s="36"/>
    </row>
    <row r="5002" spans="1:5" x14ac:dyDescent="0.25">
      <c r="A5002" s="28"/>
      <c r="B5002" s="180"/>
      <c r="C5002" s="35"/>
      <c r="D5002" s="36"/>
      <c r="E5002" s="36"/>
    </row>
    <row r="5003" spans="1:5" x14ac:dyDescent="0.25">
      <c r="A5003" s="28"/>
      <c r="B5003" s="180"/>
      <c r="C5003" s="35"/>
      <c r="D5003" s="36"/>
      <c r="E5003" s="36"/>
    </row>
    <row r="5004" spans="1:5" x14ac:dyDescent="0.25">
      <c r="A5004" s="28"/>
      <c r="B5004" s="180"/>
      <c r="C5004" s="35"/>
      <c r="D5004" s="36"/>
      <c r="E5004" s="36"/>
    </row>
    <row r="5005" spans="1:5" x14ac:dyDescent="0.25">
      <c r="A5005" s="28"/>
      <c r="B5005" s="180"/>
      <c r="C5005" s="35"/>
      <c r="D5005" s="36"/>
      <c r="E5005" s="36"/>
    </row>
    <row r="5006" spans="1:5" x14ac:dyDescent="0.25">
      <c r="A5006" s="28"/>
      <c r="B5006" s="180"/>
      <c r="C5006" s="35"/>
      <c r="D5006" s="36"/>
      <c r="E5006" s="36"/>
    </row>
    <row r="5007" spans="1:5" x14ac:dyDescent="0.25">
      <c r="A5007" s="28"/>
      <c r="B5007" s="180"/>
      <c r="C5007" s="35"/>
      <c r="D5007" s="36"/>
      <c r="E5007" s="36"/>
    </row>
    <row r="5008" spans="1:5" x14ac:dyDescent="0.25">
      <c r="A5008" s="28"/>
      <c r="B5008" s="180"/>
      <c r="C5008" s="35"/>
      <c r="D5008" s="36"/>
      <c r="E5008" s="36"/>
    </row>
    <row r="5009" spans="1:5" x14ac:dyDescent="0.25">
      <c r="A5009" s="28"/>
      <c r="B5009" s="180"/>
      <c r="C5009" s="35"/>
      <c r="D5009" s="36"/>
      <c r="E5009" s="36"/>
    </row>
    <row r="5010" spans="1:5" x14ac:dyDescent="0.25">
      <c r="A5010" s="28"/>
      <c r="B5010" s="180"/>
      <c r="C5010" s="35"/>
      <c r="D5010" s="36"/>
      <c r="E5010" s="36"/>
    </row>
    <row r="5011" spans="1:5" x14ac:dyDescent="0.25">
      <c r="A5011" s="28"/>
      <c r="B5011" s="180"/>
      <c r="C5011" s="35"/>
      <c r="D5011" s="36"/>
      <c r="E5011" s="36"/>
    </row>
    <row r="5012" spans="1:5" x14ac:dyDescent="0.25">
      <c r="A5012" s="28"/>
      <c r="B5012" s="180"/>
      <c r="C5012" s="35"/>
      <c r="D5012" s="36"/>
      <c r="E5012" s="36"/>
    </row>
    <row r="5013" spans="1:5" x14ac:dyDescent="0.25">
      <c r="A5013" s="28"/>
      <c r="B5013" s="180"/>
      <c r="C5013" s="35"/>
      <c r="D5013" s="36"/>
      <c r="E5013" s="36"/>
    </row>
    <row r="5014" spans="1:5" x14ac:dyDescent="0.25">
      <c r="A5014" s="28"/>
      <c r="B5014" s="180"/>
      <c r="C5014" s="35"/>
      <c r="D5014" s="36"/>
      <c r="E5014" s="36"/>
    </row>
    <row r="5015" spans="1:5" x14ac:dyDescent="0.25">
      <c r="A5015" s="28"/>
      <c r="B5015" s="180"/>
      <c r="C5015" s="35"/>
      <c r="D5015" s="36"/>
      <c r="E5015" s="36"/>
    </row>
    <row r="5016" spans="1:5" x14ac:dyDescent="0.25">
      <c r="A5016" s="28"/>
      <c r="B5016" s="180"/>
      <c r="C5016" s="35"/>
      <c r="D5016" s="36"/>
      <c r="E5016" s="36"/>
    </row>
    <row r="5017" spans="1:5" x14ac:dyDescent="0.25">
      <c r="A5017" s="28"/>
      <c r="B5017" s="180"/>
      <c r="C5017" s="35"/>
      <c r="D5017" s="36"/>
      <c r="E5017" s="36"/>
    </row>
    <row r="5018" spans="1:5" x14ac:dyDescent="0.25">
      <c r="A5018" s="28"/>
      <c r="B5018" s="180"/>
      <c r="C5018" s="35"/>
      <c r="D5018" s="36"/>
      <c r="E5018" s="36"/>
    </row>
    <row r="5019" spans="1:5" x14ac:dyDescent="0.25">
      <c r="A5019" s="28"/>
      <c r="B5019" s="180"/>
      <c r="C5019" s="35"/>
      <c r="D5019" s="36"/>
      <c r="E5019" s="36"/>
    </row>
    <row r="5020" spans="1:5" x14ac:dyDescent="0.25">
      <c r="A5020" s="28"/>
      <c r="B5020" s="180"/>
      <c r="C5020" s="35"/>
      <c r="D5020" s="36"/>
      <c r="E5020" s="36"/>
    </row>
    <row r="5021" spans="1:5" x14ac:dyDescent="0.25">
      <c r="A5021" s="28"/>
      <c r="B5021" s="180"/>
      <c r="C5021" s="35"/>
      <c r="D5021" s="36"/>
      <c r="E5021" s="36"/>
    </row>
    <row r="5022" spans="1:5" x14ac:dyDescent="0.25">
      <c r="A5022" s="28"/>
      <c r="B5022" s="180"/>
      <c r="C5022" s="35"/>
      <c r="D5022" s="36"/>
      <c r="E5022" s="36"/>
    </row>
    <row r="5023" spans="1:5" x14ac:dyDescent="0.25">
      <c r="A5023" s="28"/>
      <c r="B5023" s="180"/>
      <c r="C5023" s="35"/>
      <c r="D5023" s="36"/>
      <c r="E5023" s="36"/>
    </row>
    <row r="5024" spans="1:5" x14ac:dyDescent="0.25">
      <c r="A5024" s="28"/>
      <c r="B5024" s="180"/>
      <c r="C5024" s="35"/>
      <c r="D5024" s="36"/>
      <c r="E5024" s="36"/>
    </row>
    <row r="5025" spans="1:5" x14ac:dyDescent="0.25">
      <c r="A5025" s="28"/>
      <c r="B5025" s="180"/>
      <c r="C5025" s="35"/>
      <c r="D5025" s="36"/>
      <c r="E5025" s="36"/>
    </row>
    <row r="5026" spans="1:5" x14ac:dyDescent="0.25">
      <c r="A5026" s="28"/>
      <c r="B5026" s="180"/>
      <c r="C5026" s="35"/>
      <c r="D5026" s="36"/>
      <c r="E5026" s="36"/>
    </row>
    <row r="5027" spans="1:5" x14ac:dyDescent="0.25">
      <c r="A5027" s="28"/>
      <c r="B5027" s="180"/>
      <c r="C5027" s="35"/>
      <c r="D5027" s="36"/>
      <c r="E5027" s="36"/>
    </row>
    <row r="5028" spans="1:5" x14ac:dyDescent="0.25">
      <c r="A5028" s="28"/>
      <c r="B5028" s="180"/>
      <c r="C5028" s="35"/>
      <c r="D5028" s="36"/>
      <c r="E5028" s="36"/>
    </row>
    <row r="5029" spans="1:5" x14ac:dyDescent="0.25">
      <c r="A5029" s="28"/>
      <c r="B5029" s="180"/>
      <c r="C5029" s="35"/>
      <c r="D5029" s="36"/>
      <c r="E5029" s="36"/>
    </row>
    <row r="5030" spans="1:5" x14ac:dyDescent="0.25">
      <c r="A5030" s="28"/>
      <c r="B5030" s="180"/>
      <c r="C5030" s="35"/>
      <c r="D5030" s="36"/>
      <c r="E5030" s="36"/>
    </row>
    <row r="5031" spans="1:5" x14ac:dyDescent="0.25">
      <c r="A5031" s="28"/>
      <c r="B5031" s="180"/>
      <c r="C5031" s="35"/>
      <c r="D5031" s="36"/>
      <c r="E5031" s="36"/>
    </row>
    <row r="5032" spans="1:5" x14ac:dyDescent="0.25">
      <c r="A5032" s="28"/>
      <c r="B5032" s="180"/>
      <c r="C5032" s="35"/>
      <c r="D5032" s="36"/>
      <c r="E5032" s="36"/>
    </row>
    <row r="5033" spans="1:5" x14ac:dyDescent="0.25">
      <c r="A5033" s="28"/>
      <c r="B5033" s="180"/>
      <c r="C5033" s="35"/>
      <c r="D5033" s="36"/>
      <c r="E5033" s="36"/>
    </row>
    <row r="5034" spans="1:5" x14ac:dyDescent="0.25">
      <c r="A5034" s="28"/>
      <c r="B5034" s="180"/>
      <c r="C5034" s="35"/>
      <c r="D5034" s="36"/>
      <c r="E5034" s="36"/>
    </row>
    <row r="5035" spans="1:5" x14ac:dyDescent="0.25">
      <c r="A5035" s="28"/>
      <c r="B5035" s="180"/>
      <c r="C5035" s="35"/>
      <c r="D5035" s="36"/>
      <c r="E5035" s="36"/>
    </row>
    <row r="5036" spans="1:5" x14ac:dyDescent="0.25">
      <c r="A5036" s="28"/>
      <c r="B5036" s="180"/>
      <c r="C5036" s="35"/>
      <c r="D5036" s="36"/>
      <c r="E5036" s="36"/>
    </row>
    <row r="5037" spans="1:5" x14ac:dyDescent="0.25">
      <c r="A5037" s="28"/>
      <c r="B5037" s="180"/>
      <c r="C5037" s="35"/>
      <c r="D5037" s="36"/>
      <c r="E5037" s="36"/>
    </row>
    <row r="5038" spans="1:5" x14ac:dyDescent="0.25">
      <c r="A5038" s="28"/>
      <c r="B5038" s="180"/>
      <c r="C5038" s="35"/>
      <c r="D5038" s="36"/>
      <c r="E5038" s="36"/>
    </row>
    <row r="5039" spans="1:5" x14ac:dyDescent="0.25">
      <c r="A5039" s="28"/>
      <c r="B5039" s="180"/>
      <c r="C5039" s="35"/>
      <c r="D5039" s="36"/>
      <c r="E5039" s="36"/>
    </row>
    <row r="5040" spans="1:5" x14ac:dyDescent="0.25">
      <c r="A5040" s="28"/>
      <c r="B5040" s="180"/>
      <c r="C5040" s="35"/>
      <c r="D5040" s="36"/>
      <c r="E5040" s="36"/>
    </row>
    <row r="5041" spans="1:5" x14ac:dyDescent="0.25">
      <c r="A5041" s="28"/>
      <c r="B5041" s="180"/>
      <c r="C5041" s="35"/>
      <c r="D5041" s="36"/>
      <c r="E5041" s="36"/>
    </row>
    <row r="5042" spans="1:5" x14ac:dyDescent="0.25">
      <c r="A5042" s="28"/>
      <c r="B5042" s="180"/>
      <c r="C5042" s="35"/>
      <c r="D5042" s="36"/>
      <c r="E5042" s="36"/>
    </row>
    <row r="5043" spans="1:5" x14ac:dyDescent="0.25">
      <c r="A5043" s="28"/>
      <c r="B5043" s="180"/>
      <c r="C5043" s="35"/>
      <c r="D5043" s="36"/>
      <c r="E5043" s="36"/>
    </row>
    <row r="5044" spans="1:5" x14ac:dyDescent="0.25">
      <c r="A5044" s="28"/>
      <c r="B5044" s="180"/>
      <c r="C5044" s="35"/>
      <c r="D5044" s="36"/>
      <c r="E5044" s="36"/>
    </row>
    <row r="5045" spans="1:5" x14ac:dyDescent="0.25">
      <c r="A5045" s="28"/>
      <c r="B5045" s="180"/>
      <c r="C5045" s="35"/>
      <c r="D5045" s="36"/>
      <c r="E5045" s="36"/>
    </row>
    <row r="5046" spans="1:5" x14ac:dyDescent="0.25">
      <c r="A5046" s="28"/>
      <c r="B5046" s="180"/>
      <c r="C5046" s="35"/>
      <c r="D5046" s="36"/>
      <c r="E5046" s="36"/>
    </row>
    <row r="5047" spans="1:5" x14ac:dyDescent="0.25">
      <c r="A5047" s="28"/>
      <c r="B5047" s="180"/>
      <c r="C5047" s="35"/>
      <c r="D5047" s="36"/>
      <c r="E5047" s="36"/>
    </row>
    <row r="5048" spans="1:5" x14ac:dyDescent="0.25">
      <c r="A5048" s="28"/>
      <c r="B5048" s="180"/>
      <c r="C5048" s="35"/>
      <c r="D5048" s="36"/>
      <c r="E5048" s="36"/>
    </row>
    <row r="5049" spans="1:5" x14ac:dyDescent="0.25">
      <c r="A5049" s="28"/>
      <c r="B5049" s="180"/>
      <c r="C5049" s="35"/>
      <c r="D5049" s="36"/>
      <c r="E5049" s="36"/>
    </row>
    <row r="5050" spans="1:5" x14ac:dyDescent="0.25">
      <c r="A5050" s="28"/>
      <c r="B5050" s="180"/>
      <c r="C5050" s="35"/>
      <c r="D5050" s="36"/>
      <c r="E5050" s="36"/>
    </row>
    <row r="5051" spans="1:5" x14ac:dyDescent="0.25">
      <c r="A5051" s="28"/>
      <c r="B5051" s="180"/>
      <c r="C5051" s="35"/>
      <c r="D5051" s="36"/>
      <c r="E5051" s="36"/>
    </row>
    <row r="5052" spans="1:5" x14ac:dyDescent="0.25">
      <c r="A5052" s="28"/>
      <c r="B5052" s="180"/>
      <c r="C5052" s="35"/>
      <c r="D5052" s="36"/>
      <c r="E5052" s="36"/>
    </row>
    <row r="5053" spans="1:5" x14ac:dyDescent="0.25">
      <c r="A5053" s="28"/>
      <c r="B5053" s="180"/>
      <c r="C5053" s="35"/>
      <c r="D5053" s="36"/>
      <c r="E5053" s="36"/>
    </row>
    <row r="5054" spans="1:5" x14ac:dyDescent="0.25">
      <c r="A5054" s="28"/>
      <c r="B5054" s="180"/>
      <c r="C5054" s="35"/>
      <c r="D5054" s="36"/>
      <c r="E5054" s="36"/>
    </row>
    <row r="5055" spans="1:5" x14ac:dyDescent="0.25">
      <c r="A5055" s="28"/>
      <c r="B5055" s="180"/>
      <c r="C5055" s="35"/>
      <c r="D5055" s="36"/>
      <c r="E5055" s="36"/>
    </row>
    <row r="5056" spans="1:5" x14ac:dyDescent="0.25">
      <c r="A5056" s="28"/>
      <c r="B5056" s="180"/>
      <c r="C5056" s="35"/>
      <c r="D5056" s="36"/>
      <c r="E5056" s="36"/>
    </row>
    <row r="5057" spans="1:5" x14ac:dyDescent="0.25">
      <c r="A5057" s="28"/>
      <c r="B5057" s="180"/>
      <c r="C5057" s="35"/>
      <c r="D5057" s="36"/>
      <c r="E5057" s="36"/>
    </row>
    <row r="5058" spans="1:5" x14ac:dyDescent="0.25">
      <c r="A5058" s="28"/>
      <c r="B5058" s="180"/>
      <c r="C5058" s="35"/>
      <c r="D5058" s="36"/>
      <c r="E5058" s="36"/>
    </row>
    <row r="5059" spans="1:5" x14ac:dyDescent="0.25">
      <c r="A5059" s="28"/>
      <c r="B5059" s="180"/>
      <c r="C5059" s="35"/>
      <c r="D5059" s="36"/>
      <c r="E5059" s="36"/>
    </row>
    <row r="5060" spans="1:5" x14ac:dyDescent="0.25">
      <c r="A5060" s="28"/>
      <c r="B5060" s="180"/>
      <c r="C5060" s="35"/>
      <c r="D5060" s="36"/>
      <c r="E5060" s="36"/>
    </row>
    <row r="5061" spans="1:5" x14ac:dyDescent="0.25">
      <c r="A5061" s="28"/>
      <c r="B5061" s="180"/>
      <c r="C5061" s="35"/>
      <c r="D5061" s="36"/>
      <c r="E5061" s="36"/>
    </row>
    <row r="5062" spans="1:5" x14ac:dyDescent="0.25">
      <c r="A5062" s="28"/>
      <c r="B5062" s="180"/>
      <c r="C5062" s="35"/>
      <c r="D5062" s="36"/>
      <c r="E5062" s="36"/>
    </row>
    <row r="5063" spans="1:5" x14ac:dyDescent="0.25">
      <c r="A5063" s="28"/>
      <c r="B5063" s="180"/>
      <c r="C5063" s="35"/>
      <c r="D5063" s="36"/>
      <c r="E5063" s="36"/>
    </row>
    <row r="5064" spans="1:5" x14ac:dyDescent="0.25">
      <c r="A5064" s="28"/>
      <c r="B5064" s="180"/>
      <c r="C5064" s="35"/>
      <c r="D5064" s="36"/>
      <c r="E5064" s="36"/>
    </row>
    <row r="5065" spans="1:5" x14ac:dyDescent="0.25">
      <c r="A5065" s="28"/>
      <c r="B5065" s="180"/>
      <c r="C5065" s="35"/>
      <c r="D5065" s="36"/>
      <c r="E5065" s="36"/>
    </row>
    <row r="5066" spans="1:5" x14ac:dyDescent="0.25">
      <c r="A5066" s="28"/>
      <c r="B5066" s="180"/>
      <c r="C5066" s="35"/>
      <c r="D5066" s="36"/>
      <c r="E5066" s="36"/>
    </row>
    <row r="5067" spans="1:5" x14ac:dyDescent="0.25">
      <c r="A5067" s="28"/>
      <c r="B5067" s="180"/>
      <c r="C5067" s="35"/>
      <c r="D5067" s="36"/>
      <c r="E5067" s="36"/>
    </row>
    <row r="5068" spans="1:5" x14ac:dyDescent="0.25">
      <c r="A5068" s="28"/>
      <c r="B5068" s="180"/>
      <c r="C5068" s="35"/>
      <c r="D5068" s="36"/>
      <c r="E5068" s="36"/>
    </row>
    <row r="5069" spans="1:5" x14ac:dyDescent="0.25">
      <c r="A5069" s="28"/>
      <c r="B5069" s="180"/>
      <c r="C5069" s="35"/>
      <c r="D5069" s="36"/>
      <c r="E5069" s="36"/>
    </row>
    <row r="5070" spans="1:5" x14ac:dyDescent="0.25">
      <c r="A5070" s="28"/>
      <c r="B5070" s="180"/>
      <c r="C5070" s="35"/>
      <c r="D5070" s="36"/>
      <c r="E5070" s="36"/>
    </row>
    <row r="5071" spans="1:5" x14ac:dyDescent="0.25">
      <c r="A5071" s="28"/>
      <c r="B5071" s="180"/>
      <c r="C5071" s="35"/>
      <c r="D5071" s="36"/>
      <c r="E5071" s="36"/>
    </row>
    <row r="5072" spans="1:5" x14ac:dyDescent="0.25">
      <c r="A5072" s="28"/>
      <c r="B5072" s="180"/>
      <c r="C5072" s="35"/>
      <c r="D5072" s="36"/>
      <c r="E5072" s="36"/>
    </row>
    <row r="5073" spans="1:5" x14ac:dyDescent="0.25">
      <c r="A5073" s="28"/>
      <c r="B5073" s="180"/>
      <c r="C5073" s="35"/>
      <c r="D5073" s="36"/>
      <c r="E5073" s="36"/>
    </row>
    <row r="5074" spans="1:5" x14ac:dyDescent="0.25">
      <c r="A5074" s="28"/>
      <c r="B5074" s="180"/>
      <c r="C5074" s="35"/>
      <c r="D5074" s="36"/>
      <c r="E5074" s="36"/>
    </row>
    <row r="5075" spans="1:5" x14ac:dyDescent="0.25">
      <c r="A5075" s="28"/>
      <c r="B5075" s="180"/>
      <c r="C5075" s="35"/>
      <c r="D5075" s="36"/>
      <c r="E5075" s="36"/>
    </row>
    <row r="5076" spans="1:5" x14ac:dyDescent="0.25">
      <c r="A5076" s="28"/>
      <c r="B5076" s="180"/>
      <c r="C5076" s="35"/>
      <c r="D5076" s="36"/>
      <c r="E5076" s="36"/>
    </row>
    <row r="5077" spans="1:5" x14ac:dyDescent="0.25">
      <c r="A5077" s="28"/>
      <c r="B5077" s="180"/>
      <c r="C5077" s="35"/>
      <c r="D5077" s="36"/>
      <c r="E5077" s="36"/>
    </row>
    <row r="5078" spans="1:5" x14ac:dyDescent="0.25">
      <c r="A5078" s="28"/>
      <c r="B5078" s="180"/>
      <c r="C5078" s="35"/>
      <c r="D5078" s="36"/>
      <c r="E5078" s="36"/>
    </row>
    <row r="5079" spans="1:5" x14ac:dyDescent="0.25">
      <c r="A5079" s="28"/>
      <c r="B5079" s="180"/>
      <c r="C5079" s="35"/>
      <c r="D5079" s="36"/>
      <c r="E5079" s="36"/>
    </row>
    <row r="5080" spans="1:5" x14ac:dyDescent="0.25">
      <c r="A5080" s="28"/>
      <c r="B5080" s="180"/>
      <c r="C5080" s="35"/>
      <c r="D5080" s="36"/>
      <c r="E5080" s="36"/>
    </row>
    <row r="5081" spans="1:5" x14ac:dyDescent="0.25">
      <c r="A5081" s="28"/>
      <c r="B5081" s="180"/>
      <c r="C5081" s="35"/>
      <c r="D5081" s="36"/>
      <c r="E5081" s="36"/>
    </row>
    <row r="5082" spans="1:5" x14ac:dyDescent="0.25">
      <c r="A5082" s="28"/>
      <c r="B5082" s="180"/>
      <c r="C5082" s="35"/>
      <c r="D5082" s="36"/>
      <c r="E5082" s="36"/>
    </row>
    <row r="5083" spans="1:5" x14ac:dyDescent="0.25">
      <c r="A5083" s="28"/>
      <c r="B5083" s="180"/>
      <c r="C5083" s="35"/>
      <c r="D5083" s="36"/>
      <c r="E5083" s="36"/>
    </row>
    <row r="5084" spans="1:5" x14ac:dyDescent="0.25">
      <c r="A5084" s="28"/>
      <c r="B5084" s="180"/>
      <c r="C5084" s="35"/>
      <c r="D5084" s="36"/>
      <c r="E5084" s="36"/>
    </row>
    <row r="5085" spans="1:5" x14ac:dyDescent="0.25">
      <c r="A5085" s="28"/>
      <c r="B5085" s="180"/>
      <c r="C5085" s="35"/>
      <c r="D5085" s="36"/>
      <c r="E5085" s="36"/>
    </row>
    <row r="5086" spans="1:5" x14ac:dyDescent="0.25">
      <c r="A5086" s="28"/>
      <c r="B5086" s="180"/>
      <c r="C5086" s="35"/>
      <c r="D5086" s="36"/>
      <c r="E5086" s="36"/>
    </row>
    <row r="5087" spans="1:5" x14ac:dyDescent="0.25">
      <c r="A5087" s="28"/>
      <c r="B5087" s="180"/>
      <c r="C5087" s="35"/>
      <c r="D5087" s="36"/>
      <c r="E5087" s="36"/>
    </row>
    <row r="5088" spans="1:5" x14ac:dyDescent="0.25">
      <c r="A5088" s="28"/>
      <c r="B5088" s="180"/>
      <c r="C5088" s="35"/>
      <c r="D5088" s="36"/>
      <c r="E5088" s="36"/>
    </row>
    <row r="5089" spans="1:5" x14ac:dyDescent="0.25">
      <c r="A5089" s="28"/>
      <c r="B5089" s="180"/>
      <c r="C5089" s="35"/>
      <c r="D5089" s="36"/>
      <c r="E5089" s="36"/>
    </row>
    <row r="5090" spans="1:5" x14ac:dyDescent="0.25">
      <c r="A5090" s="28"/>
      <c r="B5090" s="180"/>
      <c r="C5090" s="35"/>
      <c r="D5090" s="36"/>
      <c r="E5090" s="36"/>
    </row>
    <row r="5091" spans="1:5" x14ac:dyDescent="0.25">
      <c r="A5091" s="28"/>
      <c r="B5091" s="180"/>
      <c r="C5091" s="35"/>
      <c r="D5091" s="36"/>
      <c r="E5091" s="36"/>
    </row>
    <row r="5092" spans="1:5" x14ac:dyDescent="0.25">
      <c r="A5092" s="28"/>
      <c r="B5092" s="180"/>
      <c r="C5092" s="35"/>
      <c r="D5092" s="36"/>
      <c r="E5092" s="36"/>
    </row>
    <row r="5093" spans="1:5" x14ac:dyDescent="0.25">
      <c r="A5093" s="28"/>
      <c r="B5093" s="180"/>
      <c r="C5093" s="35"/>
      <c r="D5093" s="36"/>
      <c r="E5093" s="36"/>
    </row>
    <row r="5094" spans="1:5" x14ac:dyDescent="0.25">
      <c r="A5094" s="28"/>
      <c r="B5094" s="180"/>
      <c r="C5094" s="35"/>
      <c r="D5094" s="36"/>
      <c r="E5094" s="36"/>
    </row>
    <row r="5095" spans="1:5" x14ac:dyDescent="0.25">
      <c r="A5095" s="28"/>
      <c r="B5095" s="180"/>
      <c r="C5095" s="35"/>
      <c r="D5095" s="36"/>
      <c r="E5095" s="36"/>
    </row>
    <row r="5096" spans="1:5" x14ac:dyDescent="0.25">
      <c r="A5096" s="28"/>
      <c r="B5096" s="180"/>
      <c r="C5096" s="35"/>
      <c r="D5096" s="36"/>
      <c r="E5096" s="36"/>
    </row>
    <row r="5097" spans="1:5" x14ac:dyDescent="0.25">
      <c r="A5097" s="28"/>
      <c r="B5097" s="180"/>
      <c r="C5097" s="35"/>
      <c r="D5097" s="36"/>
      <c r="E5097" s="36"/>
    </row>
    <row r="5098" spans="1:5" x14ac:dyDescent="0.25">
      <c r="A5098" s="28"/>
      <c r="B5098" s="180"/>
      <c r="C5098" s="35"/>
      <c r="D5098" s="36"/>
      <c r="E5098" s="36"/>
    </row>
    <row r="5099" spans="1:5" x14ac:dyDescent="0.25">
      <c r="A5099" s="28"/>
      <c r="B5099" s="180"/>
      <c r="C5099" s="35"/>
      <c r="D5099" s="36"/>
      <c r="E5099" s="36"/>
    </row>
    <row r="5100" spans="1:5" x14ac:dyDescent="0.25">
      <c r="A5100" s="28"/>
      <c r="B5100" s="180"/>
      <c r="C5100" s="35"/>
      <c r="D5100" s="36"/>
      <c r="E5100" s="36"/>
    </row>
    <row r="5101" spans="1:5" x14ac:dyDescent="0.25">
      <c r="A5101" s="28"/>
      <c r="B5101" s="180"/>
      <c r="C5101" s="35"/>
      <c r="D5101" s="36"/>
      <c r="E5101" s="36"/>
    </row>
    <row r="5102" spans="1:5" x14ac:dyDescent="0.25">
      <c r="A5102" s="28"/>
      <c r="B5102" s="180"/>
      <c r="C5102" s="35"/>
      <c r="D5102" s="36"/>
      <c r="E5102" s="36"/>
    </row>
    <row r="5103" spans="1:5" x14ac:dyDescent="0.25">
      <c r="A5103" s="28"/>
      <c r="B5103" s="180"/>
      <c r="C5103" s="35"/>
      <c r="D5103" s="36"/>
      <c r="E5103" s="36"/>
    </row>
    <row r="5104" spans="1:5" x14ac:dyDescent="0.25">
      <c r="A5104" s="28"/>
      <c r="B5104" s="180"/>
      <c r="C5104" s="35"/>
      <c r="D5104" s="36"/>
      <c r="E5104" s="36"/>
    </row>
    <row r="5105" spans="1:5" x14ac:dyDescent="0.25">
      <c r="A5105" s="28"/>
      <c r="B5105" s="180"/>
      <c r="C5105" s="35"/>
      <c r="D5105" s="36"/>
      <c r="E5105" s="36"/>
    </row>
    <row r="5106" spans="1:5" x14ac:dyDescent="0.25">
      <c r="A5106" s="28"/>
      <c r="B5106" s="180"/>
      <c r="C5106" s="35"/>
      <c r="D5106" s="36"/>
      <c r="E5106" s="36"/>
    </row>
    <row r="5107" spans="1:5" x14ac:dyDescent="0.25">
      <c r="A5107" s="28"/>
      <c r="B5107" s="180"/>
      <c r="C5107" s="35"/>
      <c r="D5107" s="36"/>
      <c r="E5107" s="36"/>
    </row>
    <row r="5108" spans="1:5" x14ac:dyDescent="0.25">
      <c r="A5108" s="28"/>
      <c r="B5108" s="180"/>
      <c r="C5108" s="35"/>
      <c r="D5108" s="36"/>
      <c r="E5108" s="36"/>
    </row>
    <row r="5109" spans="1:5" x14ac:dyDescent="0.25">
      <c r="A5109" s="28"/>
      <c r="B5109" s="180"/>
      <c r="C5109" s="35"/>
      <c r="D5109" s="36"/>
      <c r="E5109" s="36"/>
    </row>
    <row r="5110" spans="1:5" x14ac:dyDescent="0.25">
      <c r="A5110" s="28"/>
      <c r="B5110" s="180"/>
      <c r="C5110" s="35"/>
      <c r="D5110" s="36"/>
      <c r="E5110" s="36"/>
    </row>
    <row r="5111" spans="1:5" x14ac:dyDescent="0.25">
      <c r="A5111" s="28"/>
      <c r="B5111" s="180"/>
      <c r="C5111" s="35"/>
      <c r="D5111" s="36"/>
      <c r="E5111" s="36"/>
    </row>
    <row r="5112" spans="1:5" x14ac:dyDescent="0.25">
      <c r="A5112" s="28"/>
      <c r="B5112" s="180"/>
      <c r="C5112" s="35"/>
      <c r="D5112" s="36"/>
      <c r="E5112" s="36"/>
    </row>
    <row r="5113" spans="1:5" x14ac:dyDescent="0.25">
      <c r="A5113" s="28"/>
      <c r="B5113" s="180"/>
      <c r="C5113" s="35"/>
      <c r="D5113" s="36"/>
      <c r="E5113" s="36"/>
    </row>
    <row r="5114" spans="1:5" x14ac:dyDescent="0.25">
      <c r="A5114" s="28"/>
      <c r="B5114" s="180"/>
      <c r="C5114" s="35"/>
      <c r="D5114" s="36"/>
      <c r="E5114" s="36"/>
    </row>
    <row r="5115" spans="1:5" x14ac:dyDescent="0.25">
      <c r="A5115" s="28"/>
      <c r="B5115" s="180"/>
      <c r="C5115" s="35"/>
      <c r="D5115" s="36"/>
      <c r="E5115" s="36"/>
    </row>
    <row r="5116" spans="1:5" x14ac:dyDescent="0.25">
      <c r="A5116" s="28"/>
      <c r="B5116" s="180"/>
      <c r="C5116" s="35"/>
      <c r="D5116" s="36"/>
      <c r="E5116" s="36"/>
    </row>
    <row r="5117" spans="1:5" x14ac:dyDescent="0.25">
      <c r="A5117" s="28"/>
      <c r="B5117" s="180"/>
      <c r="C5117" s="35"/>
      <c r="D5117" s="36"/>
      <c r="E5117" s="36"/>
    </row>
    <row r="5118" spans="1:5" x14ac:dyDescent="0.25">
      <c r="A5118" s="28"/>
      <c r="B5118" s="180"/>
      <c r="C5118" s="35"/>
      <c r="D5118" s="36"/>
      <c r="E5118" s="36"/>
    </row>
    <row r="5119" spans="1:5" x14ac:dyDescent="0.25">
      <c r="A5119" s="28"/>
      <c r="B5119" s="180"/>
      <c r="C5119" s="35"/>
      <c r="D5119" s="36"/>
      <c r="E5119" s="36"/>
    </row>
    <row r="5120" spans="1:5" x14ac:dyDescent="0.25">
      <c r="A5120" s="28"/>
      <c r="B5120" s="180"/>
      <c r="C5120" s="35"/>
      <c r="D5120" s="36"/>
      <c r="E5120" s="36"/>
    </row>
    <row r="5121" spans="1:5" x14ac:dyDescent="0.25">
      <c r="A5121" s="28"/>
      <c r="B5121" s="180"/>
      <c r="C5121" s="35"/>
      <c r="D5121" s="36"/>
      <c r="E5121" s="36"/>
    </row>
    <row r="5122" spans="1:5" x14ac:dyDescent="0.25">
      <c r="A5122" s="28"/>
      <c r="B5122" s="180"/>
      <c r="C5122" s="35"/>
      <c r="D5122" s="36"/>
      <c r="E5122" s="36"/>
    </row>
    <row r="5123" spans="1:5" x14ac:dyDescent="0.25">
      <c r="A5123" s="28"/>
      <c r="B5123" s="180"/>
      <c r="C5123" s="35"/>
      <c r="D5123" s="36"/>
      <c r="E5123" s="36"/>
    </row>
    <row r="5124" spans="1:5" x14ac:dyDescent="0.25">
      <c r="A5124" s="28"/>
      <c r="B5124" s="180"/>
      <c r="C5124" s="35"/>
      <c r="D5124" s="36"/>
      <c r="E5124" s="36"/>
    </row>
    <row r="5125" spans="1:5" x14ac:dyDescent="0.25">
      <c r="A5125" s="28"/>
      <c r="B5125" s="180"/>
      <c r="C5125" s="35"/>
      <c r="D5125" s="36"/>
      <c r="E5125" s="36"/>
    </row>
    <row r="5126" spans="1:5" x14ac:dyDescent="0.25">
      <c r="A5126" s="28"/>
      <c r="B5126" s="180"/>
      <c r="C5126" s="35"/>
      <c r="D5126" s="36"/>
      <c r="E5126" s="36"/>
    </row>
    <row r="5127" spans="1:5" x14ac:dyDescent="0.25">
      <c r="A5127" s="28"/>
      <c r="B5127" s="180"/>
      <c r="C5127" s="35"/>
      <c r="D5127" s="36"/>
      <c r="E5127" s="36"/>
    </row>
    <row r="5128" spans="1:5" x14ac:dyDescent="0.25">
      <c r="A5128" s="28"/>
      <c r="B5128" s="180"/>
      <c r="C5128" s="35"/>
      <c r="D5128" s="36"/>
      <c r="E5128" s="36"/>
    </row>
    <row r="5129" spans="1:5" x14ac:dyDescent="0.25">
      <c r="A5129" s="28"/>
      <c r="B5129" s="180"/>
      <c r="C5129" s="35"/>
      <c r="D5129" s="36"/>
      <c r="E5129" s="36"/>
    </row>
    <row r="5130" spans="1:5" x14ac:dyDescent="0.25">
      <c r="A5130" s="28"/>
      <c r="B5130" s="180"/>
      <c r="C5130" s="35"/>
      <c r="D5130" s="36"/>
      <c r="E5130" s="36"/>
    </row>
    <row r="5131" spans="1:5" x14ac:dyDescent="0.25">
      <c r="A5131" s="28"/>
      <c r="B5131" s="180"/>
      <c r="C5131" s="35"/>
      <c r="D5131" s="36"/>
      <c r="E5131" s="36"/>
    </row>
    <row r="5132" spans="1:5" x14ac:dyDescent="0.25">
      <c r="A5132" s="28"/>
      <c r="B5132" s="180"/>
      <c r="C5132" s="35"/>
      <c r="D5132" s="36"/>
      <c r="E5132" s="36"/>
    </row>
    <row r="5133" spans="1:5" x14ac:dyDescent="0.25">
      <c r="A5133" s="28"/>
      <c r="B5133" s="180"/>
      <c r="C5133" s="35"/>
      <c r="D5133" s="36"/>
      <c r="E5133" s="36"/>
    </row>
    <row r="5134" spans="1:5" x14ac:dyDescent="0.25">
      <c r="A5134" s="28"/>
      <c r="B5134" s="180"/>
      <c r="C5134" s="35"/>
      <c r="D5134" s="36"/>
      <c r="E5134" s="36"/>
    </row>
    <row r="5135" spans="1:5" x14ac:dyDescent="0.25">
      <c r="A5135" s="28"/>
      <c r="B5135" s="180"/>
      <c r="C5135" s="35"/>
      <c r="D5135" s="36"/>
      <c r="E5135" s="36"/>
    </row>
    <row r="5136" spans="1:5" x14ac:dyDescent="0.25">
      <c r="A5136" s="28"/>
      <c r="B5136" s="180"/>
      <c r="C5136" s="35"/>
      <c r="D5136" s="36"/>
      <c r="E5136" s="36"/>
    </row>
    <row r="5137" spans="1:5" x14ac:dyDescent="0.25">
      <c r="A5137" s="28"/>
      <c r="B5137" s="180"/>
      <c r="C5137" s="35"/>
      <c r="D5137" s="36"/>
      <c r="E5137" s="36"/>
    </row>
    <row r="5138" spans="1:5" x14ac:dyDescent="0.25">
      <c r="A5138" s="28"/>
      <c r="B5138" s="180"/>
      <c r="C5138" s="35"/>
      <c r="D5138" s="36"/>
      <c r="E5138" s="36"/>
    </row>
    <row r="5139" spans="1:5" x14ac:dyDescent="0.25">
      <c r="A5139" s="28"/>
      <c r="B5139" s="180"/>
      <c r="C5139" s="35"/>
      <c r="D5139" s="36"/>
      <c r="E5139" s="36"/>
    </row>
    <row r="5140" spans="1:5" x14ac:dyDescent="0.25">
      <c r="A5140" s="28"/>
      <c r="B5140" s="180"/>
      <c r="C5140" s="35"/>
      <c r="D5140" s="36"/>
      <c r="E5140" s="36"/>
    </row>
    <row r="5141" spans="1:5" x14ac:dyDescent="0.25">
      <c r="A5141" s="28"/>
      <c r="B5141" s="180"/>
      <c r="C5141" s="35"/>
      <c r="D5141" s="36"/>
      <c r="E5141" s="36"/>
    </row>
    <row r="5142" spans="1:5" x14ac:dyDescent="0.25">
      <c r="A5142" s="28"/>
      <c r="B5142" s="180"/>
      <c r="C5142" s="35"/>
      <c r="D5142" s="36"/>
      <c r="E5142" s="36"/>
    </row>
    <row r="5143" spans="1:5" x14ac:dyDescent="0.25">
      <c r="A5143" s="28"/>
      <c r="B5143" s="180"/>
      <c r="C5143" s="35"/>
      <c r="D5143" s="36"/>
      <c r="E5143" s="36"/>
    </row>
    <row r="5144" spans="1:5" x14ac:dyDescent="0.25">
      <c r="A5144" s="28"/>
      <c r="B5144" s="180"/>
      <c r="C5144" s="35"/>
      <c r="D5144" s="36"/>
      <c r="E5144" s="36"/>
    </row>
    <row r="5145" spans="1:5" x14ac:dyDescent="0.25">
      <c r="A5145" s="28"/>
      <c r="B5145" s="180"/>
      <c r="C5145" s="35"/>
      <c r="D5145" s="36"/>
      <c r="E5145" s="36"/>
    </row>
    <row r="5146" spans="1:5" x14ac:dyDescent="0.25">
      <c r="A5146" s="28"/>
      <c r="B5146" s="180"/>
      <c r="C5146" s="35"/>
      <c r="D5146" s="36"/>
      <c r="E5146" s="36"/>
    </row>
    <row r="5147" spans="1:5" x14ac:dyDescent="0.25">
      <c r="A5147" s="28"/>
      <c r="B5147" s="180"/>
      <c r="C5147" s="35"/>
      <c r="D5147" s="36"/>
      <c r="E5147" s="36"/>
    </row>
    <row r="5148" spans="1:5" x14ac:dyDescent="0.25">
      <c r="A5148" s="28"/>
      <c r="B5148" s="180"/>
      <c r="C5148" s="35"/>
      <c r="D5148" s="36"/>
      <c r="E5148" s="36"/>
    </row>
    <row r="5149" spans="1:5" x14ac:dyDescent="0.25">
      <c r="A5149" s="28"/>
      <c r="B5149" s="180"/>
      <c r="C5149" s="35"/>
      <c r="D5149" s="36"/>
      <c r="E5149" s="36"/>
    </row>
    <row r="5150" spans="1:5" x14ac:dyDescent="0.25">
      <c r="A5150" s="28"/>
      <c r="B5150" s="180"/>
      <c r="C5150" s="35"/>
      <c r="D5150" s="36"/>
      <c r="E5150" s="36"/>
    </row>
    <row r="5151" spans="1:5" x14ac:dyDescent="0.25">
      <c r="A5151" s="28"/>
      <c r="B5151" s="180"/>
      <c r="C5151" s="35"/>
      <c r="D5151" s="36"/>
      <c r="E5151" s="36"/>
    </row>
    <row r="5152" spans="1:5" x14ac:dyDescent="0.25">
      <c r="A5152" s="28"/>
      <c r="B5152" s="180"/>
      <c r="C5152" s="35"/>
      <c r="D5152" s="36"/>
      <c r="E5152" s="36"/>
    </row>
    <row r="5153" spans="1:5" x14ac:dyDescent="0.25">
      <c r="A5153" s="28"/>
      <c r="B5153" s="180"/>
      <c r="C5153" s="35"/>
      <c r="D5153" s="36"/>
      <c r="E5153" s="36"/>
    </row>
    <row r="5154" spans="1:5" x14ac:dyDescent="0.25">
      <c r="A5154" s="28"/>
      <c r="B5154" s="180"/>
      <c r="C5154" s="35"/>
      <c r="D5154" s="36"/>
      <c r="E5154" s="36"/>
    </row>
    <row r="5155" spans="1:5" x14ac:dyDescent="0.25">
      <c r="A5155" s="28"/>
      <c r="B5155" s="180"/>
      <c r="C5155" s="35"/>
      <c r="D5155" s="36"/>
      <c r="E5155" s="36"/>
    </row>
    <row r="5156" spans="1:5" x14ac:dyDescent="0.25">
      <c r="A5156" s="28"/>
      <c r="B5156" s="180"/>
      <c r="C5156" s="35"/>
      <c r="D5156" s="36"/>
      <c r="E5156" s="36"/>
    </row>
    <row r="5157" spans="1:5" x14ac:dyDescent="0.25">
      <c r="A5157" s="28"/>
      <c r="B5157" s="180"/>
      <c r="C5157" s="35"/>
      <c r="D5157" s="36"/>
      <c r="E5157" s="36"/>
    </row>
    <row r="5158" spans="1:5" x14ac:dyDescent="0.25">
      <c r="A5158" s="28"/>
      <c r="B5158" s="180"/>
      <c r="C5158" s="35"/>
      <c r="D5158" s="36"/>
      <c r="E5158" s="36"/>
    </row>
    <row r="5159" spans="1:5" x14ac:dyDescent="0.25">
      <c r="A5159" s="28"/>
      <c r="B5159" s="180"/>
      <c r="C5159" s="35"/>
      <c r="D5159" s="36"/>
      <c r="E5159" s="36"/>
    </row>
    <row r="5160" spans="1:5" x14ac:dyDescent="0.25">
      <c r="A5160" s="28"/>
      <c r="B5160" s="180"/>
      <c r="C5160" s="35"/>
      <c r="D5160" s="36"/>
      <c r="E5160" s="36"/>
    </row>
    <row r="5161" spans="1:5" x14ac:dyDescent="0.25">
      <c r="A5161" s="28"/>
      <c r="B5161" s="180"/>
      <c r="C5161" s="35"/>
      <c r="D5161" s="36"/>
      <c r="E5161" s="36"/>
    </row>
    <row r="5162" spans="1:5" x14ac:dyDescent="0.25">
      <c r="A5162" s="28"/>
      <c r="B5162" s="180"/>
      <c r="C5162" s="35"/>
      <c r="D5162" s="36"/>
      <c r="E5162" s="36"/>
    </row>
    <row r="5163" spans="1:5" x14ac:dyDescent="0.25">
      <c r="A5163" s="28"/>
      <c r="B5163" s="180"/>
      <c r="C5163" s="35"/>
      <c r="D5163" s="36"/>
      <c r="E5163" s="36"/>
    </row>
    <row r="5164" spans="1:5" x14ac:dyDescent="0.25">
      <c r="A5164" s="28"/>
      <c r="B5164" s="180"/>
      <c r="C5164" s="35"/>
      <c r="D5164" s="36"/>
      <c r="E5164" s="36"/>
    </row>
    <row r="5165" spans="1:5" x14ac:dyDescent="0.25">
      <c r="A5165" s="28"/>
      <c r="B5165" s="180"/>
      <c r="C5165" s="35"/>
      <c r="D5165" s="36"/>
      <c r="E5165" s="36"/>
    </row>
    <row r="5166" spans="1:5" x14ac:dyDescent="0.25">
      <c r="A5166" s="28"/>
      <c r="B5166" s="180"/>
      <c r="C5166" s="35"/>
      <c r="D5166" s="36"/>
      <c r="E5166" s="36"/>
    </row>
    <row r="5167" spans="1:5" x14ac:dyDescent="0.25">
      <c r="A5167" s="28"/>
      <c r="B5167" s="180"/>
      <c r="C5167" s="35"/>
      <c r="D5167" s="36"/>
      <c r="E5167" s="36"/>
    </row>
    <row r="5168" spans="1:5" x14ac:dyDescent="0.25">
      <c r="A5168" s="28"/>
      <c r="B5168" s="180"/>
      <c r="C5168" s="35"/>
      <c r="D5168" s="36"/>
      <c r="E5168" s="36"/>
    </row>
    <row r="5169" spans="1:5" x14ac:dyDescent="0.25">
      <c r="A5169" s="28"/>
      <c r="B5169" s="180"/>
      <c r="C5169" s="35"/>
      <c r="D5169" s="36"/>
      <c r="E5169" s="36"/>
    </row>
    <row r="5170" spans="1:5" x14ac:dyDescent="0.25">
      <c r="A5170" s="28"/>
      <c r="B5170" s="180"/>
      <c r="C5170" s="35"/>
      <c r="D5170" s="36"/>
      <c r="E5170" s="36"/>
    </row>
    <row r="5171" spans="1:5" x14ac:dyDescent="0.25">
      <c r="A5171" s="28"/>
      <c r="B5171" s="180"/>
      <c r="C5171" s="35"/>
      <c r="D5171" s="36"/>
      <c r="E5171" s="36"/>
    </row>
    <row r="5172" spans="1:5" x14ac:dyDescent="0.25">
      <c r="A5172" s="28"/>
      <c r="B5172" s="180"/>
      <c r="C5172" s="35"/>
      <c r="D5172" s="36"/>
      <c r="E5172" s="36"/>
    </row>
    <row r="5173" spans="1:5" x14ac:dyDescent="0.25">
      <c r="A5173" s="28"/>
      <c r="B5173" s="180"/>
      <c r="C5173" s="35"/>
      <c r="D5173" s="36"/>
      <c r="E5173" s="36"/>
    </row>
    <row r="5174" spans="1:5" x14ac:dyDescent="0.25">
      <c r="A5174" s="28"/>
      <c r="B5174" s="180"/>
      <c r="C5174" s="35"/>
      <c r="D5174" s="36"/>
      <c r="E5174" s="36"/>
    </row>
    <row r="5175" spans="1:5" x14ac:dyDescent="0.25">
      <c r="A5175" s="28"/>
      <c r="B5175" s="180"/>
      <c r="C5175" s="35"/>
      <c r="D5175" s="36"/>
      <c r="E5175" s="36"/>
    </row>
    <row r="5176" spans="1:5" x14ac:dyDescent="0.25">
      <c r="A5176" s="28"/>
      <c r="B5176" s="180"/>
      <c r="C5176" s="35"/>
      <c r="D5176" s="36"/>
      <c r="E5176" s="36"/>
    </row>
    <row r="5177" spans="1:5" x14ac:dyDescent="0.25">
      <c r="A5177" s="28"/>
      <c r="B5177" s="180"/>
      <c r="C5177" s="35"/>
      <c r="D5177" s="36"/>
      <c r="E5177" s="36"/>
    </row>
    <row r="5178" spans="1:5" x14ac:dyDescent="0.25">
      <c r="A5178" s="28"/>
      <c r="B5178" s="180"/>
      <c r="C5178" s="35"/>
      <c r="D5178" s="36"/>
      <c r="E5178" s="36"/>
    </row>
    <row r="5179" spans="1:5" x14ac:dyDescent="0.25">
      <c r="A5179" s="28"/>
      <c r="B5179" s="180"/>
      <c r="C5179" s="35"/>
      <c r="D5179" s="36"/>
      <c r="E5179" s="36"/>
    </row>
    <row r="5180" spans="1:5" x14ac:dyDescent="0.25">
      <c r="A5180" s="28"/>
      <c r="B5180" s="180"/>
      <c r="C5180" s="35"/>
      <c r="D5180" s="36"/>
      <c r="E5180" s="36"/>
    </row>
    <row r="5181" spans="1:5" x14ac:dyDescent="0.25">
      <c r="A5181" s="28"/>
      <c r="B5181" s="180"/>
      <c r="C5181" s="35"/>
      <c r="D5181" s="36"/>
      <c r="E5181" s="36"/>
    </row>
    <row r="5182" spans="1:5" x14ac:dyDescent="0.25">
      <c r="A5182" s="28"/>
      <c r="B5182" s="180"/>
      <c r="C5182" s="35"/>
      <c r="D5182" s="36"/>
      <c r="E5182" s="36"/>
    </row>
    <row r="5183" spans="1:5" x14ac:dyDescent="0.25">
      <c r="A5183" s="28"/>
      <c r="B5183" s="180"/>
      <c r="C5183" s="35"/>
      <c r="D5183" s="36"/>
      <c r="E5183" s="36"/>
    </row>
    <row r="5184" spans="1:5" x14ac:dyDescent="0.25">
      <c r="A5184" s="28"/>
      <c r="B5184" s="180"/>
      <c r="C5184" s="35"/>
      <c r="D5184" s="36"/>
      <c r="E5184" s="36"/>
    </row>
    <row r="5185" spans="1:5" x14ac:dyDescent="0.25">
      <c r="A5185" s="28"/>
      <c r="B5185" s="180"/>
      <c r="C5185" s="35"/>
      <c r="D5185" s="36"/>
      <c r="E5185" s="36"/>
    </row>
    <row r="5186" spans="1:5" x14ac:dyDescent="0.25">
      <c r="A5186" s="28"/>
      <c r="B5186" s="180"/>
      <c r="C5186" s="35"/>
      <c r="D5186" s="36"/>
      <c r="E5186" s="36"/>
    </row>
    <row r="5187" spans="1:5" x14ac:dyDescent="0.25">
      <c r="A5187" s="28"/>
      <c r="B5187" s="180"/>
      <c r="C5187" s="35"/>
      <c r="D5187" s="36"/>
      <c r="E5187" s="36"/>
    </row>
    <row r="5188" spans="1:5" x14ac:dyDescent="0.25">
      <c r="A5188" s="28"/>
      <c r="B5188" s="180"/>
      <c r="C5188" s="35"/>
      <c r="D5188" s="36"/>
      <c r="E5188" s="36"/>
    </row>
    <row r="5189" spans="1:5" x14ac:dyDescent="0.25">
      <c r="A5189" s="28"/>
      <c r="B5189" s="180"/>
      <c r="C5189" s="35"/>
      <c r="D5189" s="36"/>
      <c r="E5189" s="36"/>
    </row>
    <row r="5190" spans="1:5" x14ac:dyDescent="0.25">
      <c r="A5190" s="28"/>
      <c r="B5190" s="180"/>
      <c r="C5190" s="35"/>
      <c r="D5190" s="36"/>
      <c r="E5190" s="36"/>
    </row>
    <row r="5191" spans="1:5" x14ac:dyDescent="0.25">
      <c r="A5191" s="28"/>
      <c r="B5191" s="180"/>
      <c r="C5191" s="35"/>
      <c r="D5191" s="36"/>
      <c r="E5191" s="36"/>
    </row>
    <row r="5192" spans="1:5" x14ac:dyDescent="0.25">
      <c r="A5192" s="28"/>
      <c r="B5192" s="180"/>
      <c r="C5192" s="35"/>
      <c r="D5192" s="36"/>
      <c r="E5192" s="36"/>
    </row>
    <row r="5193" spans="1:5" x14ac:dyDescent="0.25">
      <c r="A5193" s="28"/>
      <c r="B5193" s="180"/>
      <c r="C5193" s="35"/>
      <c r="D5193" s="36"/>
      <c r="E5193" s="36"/>
    </row>
    <row r="5194" spans="1:5" x14ac:dyDescent="0.25">
      <c r="A5194" s="28"/>
      <c r="B5194" s="180"/>
      <c r="C5194" s="35"/>
      <c r="D5194" s="36"/>
      <c r="E5194" s="36"/>
    </row>
    <row r="5195" spans="1:5" x14ac:dyDescent="0.25">
      <c r="A5195" s="28"/>
      <c r="B5195" s="180"/>
      <c r="C5195" s="35"/>
      <c r="D5195" s="36"/>
      <c r="E5195" s="36"/>
    </row>
    <row r="5196" spans="1:5" x14ac:dyDescent="0.25">
      <c r="A5196" s="28"/>
      <c r="B5196" s="180"/>
      <c r="C5196" s="35"/>
      <c r="D5196" s="36"/>
      <c r="E5196" s="36"/>
    </row>
    <row r="5197" spans="1:5" x14ac:dyDescent="0.25">
      <c r="A5197" s="28"/>
      <c r="B5197" s="180"/>
      <c r="C5197" s="35"/>
      <c r="D5197" s="36"/>
      <c r="E5197" s="36"/>
    </row>
    <row r="5198" spans="1:5" x14ac:dyDescent="0.25">
      <c r="A5198" s="28"/>
      <c r="B5198" s="180"/>
      <c r="C5198" s="35"/>
      <c r="D5198" s="36"/>
      <c r="E5198" s="36"/>
    </row>
    <row r="5199" spans="1:5" x14ac:dyDescent="0.25">
      <c r="A5199" s="28"/>
      <c r="B5199" s="180"/>
      <c r="C5199" s="35"/>
      <c r="D5199" s="36"/>
      <c r="E5199" s="36"/>
    </row>
    <row r="5200" spans="1:5" x14ac:dyDescent="0.25">
      <c r="A5200" s="28"/>
      <c r="B5200" s="180"/>
      <c r="C5200" s="35"/>
      <c r="D5200" s="36"/>
      <c r="E5200" s="36"/>
    </row>
    <row r="5201" spans="1:5" x14ac:dyDescent="0.25">
      <c r="A5201" s="28"/>
      <c r="B5201" s="180"/>
      <c r="C5201" s="35"/>
      <c r="D5201" s="36"/>
      <c r="E5201" s="36"/>
    </row>
    <row r="5202" spans="1:5" x14ac:dyDescent="0.25">
      <c r="A5202" s="28"/>
      <c r="B5202" s="180"/>
      <c r="C5202" s="35"/>
      <c r="D5202" s="36"/>
      <c r="E5202" s="36"/>
    </row>
    <row r="5203" spans="1:5" x14ac:dyDescent="0.25">
      <c r="A5203" s="28"/>
      <c r="B5203" s="180"/>
      <c r="C5203" s="35"/>
      <c r="D5203" s="36"/>
      <c r="E5203" s="36"/>
    </row>
    <row r="5204" spans="1:5" x14ac:dyDescent="0.25">
      <c r="A5204" s="28"/>
      <c r="B5204" s="180"/>
      <c r="C5204" s="35"/>
      <c r="D5204" s="36"/>
      <c r="E5204" s="36"/>
    </row>
    <row r="5205" spans="1:5" x14ac:dyDescent="0.25">
      <c r="A5205" s="28"/>
      <c r="B5205" s="180"/>
      <c r="C5205" s="35"/>
      <c r="D5205" s="36"/>
      <c r="E5205" s="36"/>
    </row>
    <row r="5206" spans="1:5" x14ac:dyDescent="0.25">
      <c r="A5206" s="28"/>
      <c r="B5206" s="180"/>
      <c r="C5206" s="35"/>
      <c r="D5206" s="36"/>
      <c r="E5206" s="36"/>
    </row>
    <row r="5207" spans="1:5" x14ac:dyDescent="0.25">
      <c r="A5207" s="28"/>
      <c r="B5207" s="180"/>
      <c r="C5207" s="35"/>
      <c r="D5207" s="36"/>
      <c r="E5207" s="36"/>
    </row>
    <row r="5208" spans="1:5" x14ac:dyDescent="0.25">
      <c r="A5208" s="28"/>
      <c r="B5208" s="180"/>
      <c r="C5208" s="35"/>
      <c r="D5208" s="36"/>
      <c r="E5208" s="36"/>
    </row>
    <row r="5209" spans="1:5" x14ac:dyDescent="0.25">
      <c r="A5209" s="28"/>
      <c r="B5209" s="180"/>
      <c r="C5209" s="35"/>
      <c r="D5209" s="36"/>
      <c r="E5209" s="36"/>
    </row>
    <row r="5210" spans="1:5" x14ac:dyDescent="0.25">
      <c r="A5210" s="28"/>
      <c r="B5210" s="180"/>
      <c r="C5210" s="35"/>
      <c r="D5210" s="36"/>
      <c r="E5210" s="36"/>
    </row>
    <row r="5211" spans="1:5" x14ac:dyDescent="0.25">
      <c r="A5211" s="28"/>
      <c r="B5211" s="180"/>
      <c r="C5211" s="35"/>
      <c r="D5211" s="36"/>
      <c r="E5211" s="36"/>
    </row>
    <row r="5212" spans="1:5" x14ac:dyDescent="0.25">
      <c r="A5212" s="28"/>
      <c r="B5212" s="180"/>
      <c r="C5212" s="35"/>
      <c r="D5212" s="36"/>
      <c r="E5212" s="36"/>
    </row>
    <row r="5213" spans="1:5" x14ac:dyDescent="0.25">
      <c r="A5213" s="28"/>
      <c r="B5213" s="180"/>
      <c r="C5213" s="35"/>
      <c r="D5213" s="36"/>
      <c r="E5213" s="36"/>
    </row>
    <row r="5214" spans="1:5" x14ac:dyDescent="0.25">
      <c r="A5214" s="28"/>
      <c r="B5214" s="180"/>
      <c r="C5214" s="35"/>
      <c r="D5214" s="36"/>
      <c r="E5214" s="36"/>
    </row>
    <row r="5215" spans="1:5" x14ac:dyDescent="0.25">
      <c r="A5215" s="28"/>
      <c r="B5215" s="180"/>
      <c r="C5215" s="35"/>
      <c r="D5215" s="36"/>
      <c r="E5215" s="36"/>
    </row>
    <row r="5216" spans="1:5" x14ac:dyDescent="0.25">
      <c r="A5216" s="28"/>
      <c r="B5216" s="180"/>
      <c r="C5216" s="35"/>
      <c r="D5216" s="36"/>
      <c r="E5216" s="36"/>
    </row>
    <row r="5217" spans="1:5" x14ac:dyDescent="0.25">
      <c r="A5217" s="28"/>
      <c r="B5217" s="180"/>
      <c r="C5217" s="35"/>
      <c r="D5217" s="36"/>
      <c r="E5217" s="36"/>
    </row>
    <row r="5218" spans="1:5" x14ac:dyDescent="0.25">
      <c r="A5218" s="28"/>
      <c r="B5218" s="180"/>
      <c r="C5218" s="35"/>
      <c r="D5218" s="36"/>
      <c r="E5218" s="36"/>
    </row>
    <row r="5219" spans="1:5" x14ac:dyDescent="0.25">
      <c r="A5219" s="28"/>
      <c r="B5219" s="180"/>
      <c r="C5219" s="35"/>
      <c r="D5219" s="36"/>
      <c r="E5219" s="36"/>
    </row>
    <row r="5220" spans="1:5" x14ac:dyDescent="0.25">
      <c r="A5220" s="28"/>
      <c r="B5220" s="180"/>
      <c r="C5220" s="35"/>
      <c r="D5220" s="36"/>
      <c r="E5220" s="36"/>
    </row>
    <row r="5221" spans="1:5" x14ac:dyDescent="0.25">
      <c r="A5221" s="28"/>
      <c r="B5221" s="180"/>
      <c r="C5221" s="35"/>
      <c r="D5221" s="36"/>
      <c r="E5221" s="36"/>
    </row>
    <row r="5222" spans="1:5" x14ac:dyDescent="0.25">
      <c r="A5222" s="28"/>
      <c r="B5222" s="180"/>
      <c r="C5222" s="35"/>
      <c r="D5222" s="36"/>
      <c r="E5222" s="36"/>
    </row>
    <row r="5223" spans="1:5" x14ac:dyDescent="0.25">
      <c r="A5223" s="28"/>
      <c r="B5223" s="180"/>
      <c r="C5223" s="35"/>
      <c r="D5223" s="36"/>
      <c r="E5223" s="36"/>
    </row>
    <row r="5224" spans="1:5" x14ac:dyDescent="0.25">
      <c r="A5224" s="28"/>
      <c r="B5224" s="180"/>
      <c r="C5224" s="35"/>
      <c r="D5224" s="36"/>
      <c r="E5224" s="36"/>
    </row>
    <row r="5225" spans="1:5" x14ac:dyDescent="0.25">
      <c r="A5225" s="28"/>
      <c r="B5225" s="180"/>
      <c r="C5225" s="35"/>
      <c r="D5225" s="36"/>
      <c r="E5225" s="36"/>
    </row>
    <row r="5226" spans="1:5" x14ac:dyDescent="0.25">
      <c r="A5226" s="28"/>
      <c r="B5226" s="180"/>
      <c r="C5226" s="35"/>
      <c r="D5226" s="36"/>
      <c r="E5226" s="36"/>
    </row>
    <row r="5227" spans="1:5" x14ac:dyDescent="0.25">
      <c r="A5227" s="28"/>
      <c r="B5227" s="180"/>
      <c r="C5227" s="35"/>
      <c r="D5227" s="36"/>
      <c r="E5227" s="36"/>
    </row>
    <row r="5228" spans="1:5" x14ac:dyDescent="0.25">
      <c r="A5228" s="28"/>
      <c r="B5228" s="180"/>
      <c r="C5228" s="35"/>
      <c r="D5228" s="36"/>
      <c r="E5228" s="36"/>
    </row>
    <row r="5229" spans="1:5" x14ac:dyDescent="0.25">
      <c r="A5229" s="28"/>
      <c r="B5229" s="180"/>
      <c r="C5229" s="35"/>
      <c r="D5229" s="36"/>
      <c r="E5229" s="36"/>
    </row>
    <row r="5230" spans="1:5" x14ac:dyDescent="0.25">
      <c r="A5230" s="28"/>
      <c r="B5230" s="180"/>
      <c r="C5230" s="35"/>
      <c r="D5230" s="36"/>
      <c r="E5230" s="36"/>
    </row>
    <row r="5231" spans="1:5" x14ac:dyDescent="0.25">
      <c r="A5231" s="28"/>
      <c r="B5231" s="180"/>
      <c r="C5231" s="35"/>
      <c r="D5231" s="36"/>
      <c r="E5231" s="36"/>
    </row>
    <row r="5232" spans="1:5" x14ac:dyDescent="0.25">
      <c r="A5232" s="28"/>
      <c r="B5232" s="180"/>
      <c r="C5232" s="35"/>
      <c r="D5232" s="36"/>
      <c r="E5232" s="36"/>
    </row>
    <row r="5233" spans="1:5" x14ac:dyDescent="0.25">
      <c r="A5233" s="28"/>
      <c r="B5233" s="180"/>
      <c r="C5233" s="35"/>
      <c r="D5233" s="36"/>
      <c r="E5233" s="36"/>
    </row>
    <row r="5234" spans="1:5" x14ac:dyDescent="0.25">
      <c r="A5234" s="28"/>
      <c r="B5234" s="180"/>
      <c r="C5234" s="35"/>
      <c r="D5234" s="36"/>
      <c r="E5234" s="36"/>
    </row>
    <row r="5235" spans="1:5" x14ac:dyDescent="0.25">
      <c r="A5235" s="28"/>
      <c r="B5235" s="180"/>
      <c r="C5235" s="35"/>
      <c r="D5235" s="36"/>
      <c r="E5235" s="36"/>
    </row>
    <row r="5236" spans="1:5" x14ac:dyDescent="0.25">
      <c r="A5236" s="28"/>
      <c r="B5236" s="180"/>
      <c r="C5236" s="35"/>
      <c r="D5236" s="36"/>
      <c r="E5236" s="36"/>
    </row>
    <row r="5237" spans="1:5" x14ac:dyDescent="0.25">
      <c r="A5237" s="28"/>
      <c r="B5237" s="180"/>
      <c r="C5237" s="35"/>
      <c r="D5237" s="36"/>
      <c r="E5237" s="36"/>
    </row>
    <row r="5238" spans="1:5" x14ac:dyDescent="0.25">
      <c r="A5238" s="28"/>
      <c r="B5238" s="180"/>
      <c r="C5238" s="35"/>
      <c r="D5238" s="36"/>
      <c r="E5238" s="36"/>
    </row>
    <row r="5239" spans="1:5" x14ac:dyDescent="0.25">
      <c r="A5239" s="28"/>
      <c r="B5239" s="180"/>
      <c r="C5239" s="35"/>
      <c r="D5239" s="36"/>
      <c r="E5239" s="36"/>
    </row>
    <row r="5240" spans="1:5" x14ac:dyDescent="0.25">
      <c r="A5240" s="28"/>
      <c r="B5240" s="180"/>
      <c r="C5240" s="35"/>
      <c r="D5240" s="36"/>
      <c r="E5240" s="36"/>
    </row>
    <row r="5241" spans="1:5" x14ac:dyDescent="0.25">
      <c r="A5241" s="28"/>
      <c r="B5241" s="180"/>
      <c r="C5241" s="35"/>
      <c r="D5241" s="36"/>
      <c r="E5241" s="36"/>
    </row>
    <row r="5242" spans="1:5" x14ac:dyDescent="0.25">
      <c r="A5242" s="28"/>
      <c r="B5242" s="180"/>
      <c r="C5242" s="35"/>
      <c r="D5242" s="36"/>
      <c r="E5242" s="36"/>
    </row>
    <row r="5243" spans="1:5" x14ac:dyDescent="0.25">
      <c r="A5243" s="28"/>
      <c r="B5243" s="180"/>
      <c r="C5243" s="35"/>
      <c r="D5243" s="36"/>
      <c r="E5243" s="36"/>
    </row>
    <row r="5244" spans="1:5" x14ac:dyDescent="0.25">
      <c r="A5244" s="28"/>
      <c r="B5244" s="180"/>
      <c r="C5244" s="35"/>
      <c r="D5244" s="36"/>
      <c r="E5244" s="36"/>
    </row>
    <row r="5245" spans="1:5" x14ac:dyDescent="0.25">
      <c r="A5245" s="28"/>
      <c r="B5245" s="180"/>
      <c r="C5245" s="35"/>
      <c r="D5245" s="36"/>
      <c r="E5245" s="36"/>
    </row>
    <row r="5246" spans="1:5" x14ac:dyDescent="0.25">
      <c r="A5246" s="28"/>
      <c r="B5246" s="180"/>
      <c r="C5246" s="35"/>
      <c r="D5246" s="36"/>
      <c r="E5246" s="36"/>
    </row>
    <row r="5247" spans="1:5" x14ac:dyDescent="0.25">
      <c r="A5247" s="28"/>
      <c r="B5247" s="180"/>
      <c r="C5247" s="35"/>
      <c r="D5247" s="36"/>
      <c r="E5247" s="36"/>
    </row>
    <row r="5248" spans="1:5" x14ac:dyDescent="0.25">
      <c r="A5248" s="28"/>
      <c r="B5248" s="180"/>
      <c r="C5248" s="35"/>
      <c r="D5248" s="36"/>
      <c r="E5248" s="36"/>
    </row>
    <row r="5249" spans="1:5" x14ac:dyDescent="0.25">
      <c r="A5249" s="28"/>
      <c r="B5249" s="180"/>
      <c r="C5249" s="35"/>
      <c r="D5249" s="36"/>
      <c r="E5249" s="36"/>
    </row>
    <row r="5250" spans="1:5" x14ac:dyDescent="0.25">
      <c r="A5250" s="28"/>
      <c r="B5250" s="180"/>
      <c r="C5250" s="35"/>
      <c r="D5250" s="36"/>
      <c r="E5250" s="36"/>
    </row>
    <row r="5251" spans="1:5" x14ac:dyDescent="0.25">
      <c r="A5251" s="28"/>
      <c r="B5251" s="180"/>
      <c r="C5251" s="35"/>
      <c r="D5251" s="36"/>
      <c r="E5251" s="36"/>
    </row>
    <row r="5252" spans="1:5" x14ac:dyDescent="0.25">
      <c r="A5252" s="28"/>
      <c r="B5252" s="180"/>
      <c r="C5252" s="35"/>
      <c r="D5252" s="36"/>
      <c r="E5252" s="36"/>
    </row>
    <row r="5253" spans="1:5" x14ac:dyDescent="0.25">
      <c r="A5253" s="28"/>
      <c r="B5253" s="180"/>
      <c r="C5253" s="35"/>
      <c r="D5253" s="36"/>
      <c r="E5253" s="36"/>
    </row>
    <row r="5254" spans="1:5" x14ac:dyDescent="0.25">
      <c r="A5254" s="28"/>
      <c r="B5254" s="180"/>
      <c r="C5254" s="35"/>
      <c r="D5254" s="36"/>
      <c r="E5254" s="36"/>
    </row>
    <row r="5255" spans="1:5" x14ac:dyDescent="0.25">
      <c r="A5255" s="28"/>
      <c r="B5255" s="180"/>
      <c r="C5255" s="35"/>
      <c r="D5255" s="36"/>
      <c r="E5255" s="36"/>
    </row>
    <row r="5256" spans="1:5" x14ac:dyDescent="0.25">
      <c r="A5256" s="28"/>
      <c r="B5256" s="180"/>
      <c r="C5256" s="35"/>
      <c r="D5256" s="36"/>
      <c r="E5256" s="36"/>
    </row>
    <row r="5257" spans="1:5" x14ac:dyDescent="0.25">
      <c r="A5257" s="28"/>
      <c r="B5257" s="180"/>
      <c r="C5257" s="35"/>
      <c r="D5257" s="36"/>
      <c r="E5257" s="36"/>
    </row>
    <row r="5258" spans="1:5" x14ac:dyDescent="0.25">
      <c r="A5258" s="28"/>
      <c r="B5258" s="180"/>
      <c r="C5258" s="35"/>
      <c r="D5258" s="36"/>
      <c r="E5258" s="36"/>
    </row>
    <row r="5259" spans="1:5" x14ac:dyDescent="0.25">
      <c r="A5259" s="28"/>
      <c r="B5259" s="180"/>
      <c r="C5259" s="35"/>
      <c r="D5259" s="36"/>
      <c r="E5259" s="36"/>
    </row>
    <row r="5260" spans="1:5" x14ac:dyDescent="0.25">
      <c r="A5260" s="28"/>
      <c r="B5260" s="180"/>
      <c r="C5260" s="35"/>
      <c r="D5260" s="36"/>
      <c r="E5260" s="36"/>
    </row>
    <row r="5261" spans="1:5" x14ac:dyDescent="0.25">
      <c r="A5261" s="28"/>
      <c r="B5261" s="180"/>
      <c r="C5261" s="35"/>
      <c r="D5261" s="36"/>
      <c r="E5261" s="36"/>
    </row>
    <row r="5262" spans="1:5" x14ac:dyDescent="0.25">
      <c r="A5262" s="28"/>
      <c r="B5262" s="180"/>
      <c r="C5262" s="35"/>
      <c r="D5262" s="36"/>
      <c r="E5262" s="36"/>
    </row>
    <row r="5263" spans="1:5" x14ac:dyDescent="0.25">
      <c r="A5263" s="28"/>
      <c r="B5263" s="180"/>
      <c r="C5263" s="35"/>
      <c r="D5263" s="36"/>
      <c r="E5263" s="36"/>
    </row>
    <row r="5264" spans="1:5" x14ac:dyDescent="0.25">
      <c r="A5264" s="28"/>
      <c r="B5264" s="180"/>
      <c r="C5264" s="35"/>
      <c r="D5264" s="36"/>
      <c r="E5264" s="36"/>
    </row>
    <row r="5265" spans="1:5" x14ac:dyDescent="0.25">
      <c r="A5265" s="28"/>
      <c r="B5265" s="180"/>
      <c r="C5265" s="35"/>
      <c r="D5265" s="36"/>
      <c r="E5265" s="36"/>
    </row>
    <row r="5266" spans="1:5" x14ac:dyDescent="0.25">
      <c r="A5266" s="28"/>
      <c r="B5266" s="180"/>
      <c r="C5266" s="35"/>
      <c r="D5266" s="36"/>
      <c r="E5266" s="36"/>
    </row>
    <row r="5267" spans="1:5" x14ac:dyDescent="0.25">
      <c r="A5267" s="28"/>
      <c r="B5267" s="180"/>
      <c r="C5267" s="35"/>
      <c r="D5267" s="36"/>
      <c r="E5267" s="36"/>
    </row>
    <row r="5268" spans="1:5" x14ac:dyDescent="0.25">
      <c r="A5268" s="28"/>
      <c r="B5268" s="180"/>
      <c r="C5268" s="35"/>
      <c r="D5268" s="36"/>
      <c r="E5268" s="36"/>
    </row>
    <row r="5269" spans="1:5" x14ac:dyDescent="0.25">
      <c r="A5269" s="28"/>
      <c r="B5269" s="180"/>
      <c r="C5269" s="35"/>
      <c r="D5269" s="36"/>
      <c r="E5269" s="36"/>
    </row>
    <row r="5270" spans="1:5" x14ac:dyDescent="0.25">
      <c r="A5270" s="28"/>
      <c r="B5270" s="180"/>
      <c r="C5270" s="35"/>
      <c r="D5270" s="36"/>
      <c r="E5270" s="36"/>
    </row>
    <row r="5271" spans="1:5" x14ac:dyDescent="0.25">
      <c r="A5271" s="28"/>
      <c r="B5271" s="180"/>
      <c r="C5271" s="35"/>
      <c r="D5271" s="36"/>
      <c r="E5271" s="36"/>
    </row>
    <row r="5272" spans="1:5" x14ac:dyDescent="0.25">
      <c r="A5272" s="28"/>
      <c r="B5272" s="180"/>
      <c r="C5272" s="35"/>
      <c r="D5272" s="36"/>
      <c r="E5272" s="36"/>
    </row>
    <row r="5273" spans="1:5" x14ac:dyDescent="0.25">
      <c r="A5273" s="28"/>
      <c r="B5273" s="180"/>
      <c r="C5273" s="35"/>
      <c r="D5273" s="36"/>
      <c r="E5273" s="36"/>
    </row>
    <row r="5274" spans="1:5" x14ac:dyDescent="0.25">
      <c r="A5274" s="28"/>
      <c r="B5274" s="180"/>
      <c r="C5274" s="35"/>
      <c r="D5274" s="36"/>
      <c r="E5274" s="36"/>
    </row>
    <row r="5275" spans="1:5" x14ac:dyDescent="0.25">
      <c r="A5275" s="28"/>
      <c r="B5275" s="180"/>
      <c r="C5275" s="35"/>
      <c r="D5275" s="36"/>
      <c r="E5275" s="36"/>
    </row>
    <row r="5276" spans="1:5" x14ac:dyDescent="0.25">
      <c r="A5276" s="28"/>
      <c r="B5276" s="180"/>
      <c r="C5276" s="35"/>
      <c r="D5276" s="36"/>
      <c r="E5276" s="36"/>
    </row>
    <row r="5277" spans="1:5" x14ac:dyDescent="0.25">
      <c r="A5277" s="28"/>
      <c r="B5277" s="180"/>
      <c r="C5277" s="35"/>
      <c r="D5277" s="36"/>
      <c r="E5277" s="36"/>
    </row>
    <row r="5278" spans="1:5" x14ac:dyDescent="0.25">
      <c r="A5278" s="28"/>
      <c r="B5278" s="180"/>
      <c r="C5278" s="35"/>
      <c r="D5278" s="36"/>
      <c r="E5278" s="36"/>
    </row>
    <row r="5279" spans="1:5" x14ac:dyDescent="0.25">
      <c r="A5279" s="28"/>
      <c r="B5279" s="180"/>
      <c r="C5279" s="35"/>
      <c r="D5279" s="36"/>
      <c r="E5279" s="36"/>
    </row>
    <row r="5280" spans="1:5" x14ac:dyDescent="0.25">
      <c r="A5280" s="28"/>
      <c r="B5280" s="180"/>
      <c r="C5280" s="35"/>
      <c r="D5280" s="36"/>
      <c r="E5280" s="36"/>
    </row>
    <row r="5281" spans="1:5" x14ac:dyDescent="0.25">
      <c r="A5281" s="28"/>
      <c r="B5281" s="180"/>
      <c r="C5281" s="35"/>
      <c r="D5281" s="36"/>
      <c r="E5281" s="36"/>
    </row>
    <row r="5282" spans="1:5" x14ac:dyDescent="0.25">
      <c r="A5282" s="28"/>
      <c r="B5282" s="180"/>
      <c r="C5282" s="35"/>
      <c r="D5282" s="36"/>
      <c r="E5282" s="36"/>
    </row>
    <row r="5283" spans="1:5" x14ac:dyDescent="0.25">
      <c r="A5283" s="28"/>
      <c r="B5283" s="180"/>
      <c r="C5283" s="35"/>
      <c r="D5283" s="36"/>
      <c r="E5283" s="36"/>
    </row>
    <row r="5284" spans="1:5" x14ac:dyDescent="0.25">
      <c r="A5284" s="28"/>
      <c r="B5284" s="180"/>
      <c r="C5284" s="35"/>
      <c r="D5284" s="36"/>
      <c r="E5284" s="36"/>
    </row>
    <row r="5285" spans="1:5" x14ac:dyDescent="0.25">
      <c r="A5285" s="28"/>
      <c r="B5285" s="180"/>
      <c r="C5285" s="35"/>
      <c r="D5285" s="36"/>
      <c r="E5285" s="36"/>
    </row>
    <row r="5286" spans="1:5" x14ac:dyDescent="0.25">
      <c r="A5286" s="28"/>
      <c r="B5286" s="180"/>
      <c r="C5286" s="35"/>
      <c r="D5286" s="36"/>
      <c r="E5286" s="36"/>
    </row>
    <row r="5287" spans="1:5" x14ac:dyDescent="0.25">
      <c r="A5287" s="28"/>
      <c r="B5287" s="180"/>
      <c r="C5287" s="35"/>
      <c r="D5287" s="36"/>
      <c r="E5287" s="36"/>
    </row>
    <row r="5288" spans="1:5" x14ac:dyDescent="0.25">
      <c r="A5288" s="28"/>
      <c r="B5288" s="180"/>
      <c r="C5288" s="35"/>
      <c r="D5288" s="36"/>
      <c r="E5288" s="36"/>
    </row>
    <row r="5289" spans="1:5" x14ac:dyDescent="0.25">
      <c r="A5289" s="28"/>
      <c r="B5289" s="180"/>
      <c r="C5289" s="35"/>
      <c r="D5289" s="36"/>
      <c r="E5289" s="36"/>
    </row>
    <row r="5290" spans="1:5" x14ac:dyDescent="0.25">
      <c r="A5290" s="28"/>
      <c r="B5290" s="180"/>
      <c r="C5290" s="35"/>
      <c r="D5290" s="36"/>
      <c r="E5290" s="36"/>
    </row>
    <row r="5291" spans="1:5" x14ac:dyDescent="0.25">
      <c r="A5291" s="28"/>
      <c r="B5291" s="180"/>
      <c r="C5291" s="35"/>
      <c r="D5291" s="36"/>
      <c r="E5291" s="36"/>
    </row>
    <row r="5292" spans="1:5" x14ac:dyDescent="0.25">
      <c r="A5292" s="28"/>
      <c r="B5292" s="180"/>
      <c r="C5292" s="35"/>
      <c r="D5292" s="36"/>
      <c r="E5292" s="36"/>
    </row>
    <row r="5293" spans="1:5" x14ac:dyDescent="0.25">
      <c r="A5293" s="28"/>
      <c r="B5293" s="180"/>
      <c r="C5293" s="35"/>
      <c r="D5293" s="36"/>
      <c r="E5293" s="36"/>
    </row>
    <row r="5294" spans="1:5" x14ac:dyDescent="0.25">
      <c r="A5294" s="28"/>
      <c r="B5294" s="180"/>
      <c r="C5294" s="35"/>
      <c r="D5294" s="36"/>
      <c r="E5294" s="36"/>
    </row>
    <row r="5295" spans="1:5" x14ac:dyDescent="0.25">
      <c r="A5295" s="28"/>
      <c r="B5295" s="180"/>
      <c r="C5295" s="35"/>
      <c r="D5295" s="36"/>
      <c r="E5295" s="36"/>
    </row>
    <row r="5296" spans="1:5" x14ac:dyDescent="0.25">
      <c r="A5296" s="28"/>
      <c r="B5296" s="180"/>
      <c r="C5296" s="35"/>
      <c r="D5296" s="36"/>
      <c r="E5296" s="36"/>
    </row>
    <row r="5297" spans="1:5" x14ac:dyDescent="0.25">
      <c r="A5297" s="28"/>
      <c r="B5297" s="180"/>
      <c r="C5297" s="35"/>
      <c r="D5297" s="36"/>
      <c r="E5297" s="36"/>
    </row>
    <row r="5298" spans="1:5" x14ac:dyDescent="0.25">
      <c r="A5298" s="28"/>
      <c r="B5298" s="180"/>
      <c r="C5298" s="35"/>
      <c r="D5298" s="36"/>
      <c r="E5298" s="36"/>
    </row>
    <row r="5299" spans="1:5" x14ac:dyDescent="0.25">
      <c r="A5299" s="28"/>
      <c r="B5299" s="180"/>
      <c r="C5299" s="35"/>
      <c r="D5299" s="36"/>
      <c r="E5299" s="36"/>
    </row>
    <row r="5300" spans="1:5" x14ac:dyDescent="0.25">
      <c r="A5300" s="28"/>
      <c r="B5300" s="180"/>
      <c r="C5300" s="35"/>
      <c r="D5300" s="36"/>
      <c r="E5300" s="36"/>
    </row>
    <row r="5301" spans="1:5" x14ac:dyDescent="0.25">
      <c r="A5301" s="28"/>
      <c r="B5301" s="180"/>
      <c r="C5301" s="35"/>
      <c r="D5301" s="36"/>
      <c r="E5301" s="36"/>
    </row>
    <row r="5302" spans="1:5" x14ac:dyDescent="0.25">
      <c r="A5302" s="28"/>
      <c r="B5302" s="180"/>
      <c r="C5302" s="35"/>
      <c r="D5302" s="36"/>
      <c r="E5302" s="36"/>
    </row>
    <row r="5303" spans="1:5" x14ac:dyDescent="0.25">
      <c r="A5303" s="28"/>
      <c r="B5303" s="180"/>
      <c r="C5303" s="35"/>
      <c r="D5303" s="36"/>
      <c r="E5303" s="36"/>
    </row>
    <row r="5304" spans="1:5" x14ac:dyDescent="0.25">
      <c r="A5304" s="28"/>
      <c r="B5304" s="180"/>
      <c r="C5304" s="35"/>
      <c r="D5304" s="36"/>
      <c r="E5304" s="36"/>
    </row>
    <row r="5305" spans="1:5" x14ac:dyDescent="0.25">
      <c r="A5305" s="28"/>
      <c r="B5305" s="180"/>
      <c r="C5305" s="35"/>
      <c r="D5305" s="36"/>
      <c r="E5305" s="36"/>
    </row>
    <row r="5306" spans="1:5" x14ac:dyDescent="0.25">
      <c r="A5306" s="28"/>
      <c r="B5306" s="180"/>
      <c r="C5306" s="35"/>
      <c r="D5306" s="36"/>
      <c r="E5306" s="36"/>
    </row>
    <row r="5307" spans="1:5" x14ac:dyDescent="0.25">
      <c r="A5307" s="28"/>
      <c r="B5307" s="180"/>
      <c r="C5307" s="35"/>
      <c r="D5307" s="36"/>
      <c r="E5307" s="36"/>
    </row>
    <row r="5308" spans="1:5" x14ac:dyDescent="0.25">
      <c r="A5308" s="28"/>
      <c r="B5308" s="180"/>
      <c r="C5308" s="35"/>
      <c r="D5308" s="36"/>
      <c r="E5308" s="36"/>
    </row>
    <row r="5309" spans="1:5" x14ac:dyDescent="0.25">
      <c r="A5309" s="28"/>
      <c r="B5309" s="180"/>
      <c r="C5309" s="35"/>
      <c r="D5309" s="36"/>
      <c r="E5309" s="36"/>
    </row>
    <row r="5310" spans="1:5" x14ac:dyDescent="0.25">
      <c r="A5310" s="28"/>
      <c r="B5310" s="180"/>
      <c r="C5310" s="35"/>
      <c r="D5310" s="36"/>
      <c r="E5310" s="36"/>
    </row>
    <row r="5311" spans="1:5" x14ac:dyDescent="0.25">
      <c r="A5311" s="28"/>
      <c r="B5311" s="180"/>
      <c r="C5311" s="35"/>
      <c r="D5311" s="36"/>
      <c r="E5311" s="36"/>
    </row>
    <row r="5312" spans="1:5" x14ac:dyDescent="0.25">
      <c r="A5312" s="28"/>
      <c r="B5312" s="180"/>
      <c r="C5312" s="35"/>
      <c r="D5312" s="36"/>
      <c r="E5312" s="36"/>
    </row>
    <row r="5313" spans="1:5" x14ac:dyDescent="0.25">
      <c r="A5313" s="28"/>
      <c r="B5313" s="180"/>
      <c r="C5313" s="35"/>
      <c r="D5313" s="36"/>
      <c r="E5313" s="36"/>
    </row>
    <row r="5314" spans="1:5" x14ac:dyDescent="0.25">
      <c r="A5314" s="28"/>
      <c r="B5314" s="180"/>
      <c r="C5314" s="35"/>
      <c r="D5314" s="36"/>
      <c r="E5314" s="36"/>
    </row>
    <row r="5315" spans="1:5" x14ac:dyDescent="0.25">
      <c r="A5315" s="28"/>
      <c r="B5315" s="180"/>
      <c r="C5315" s="35"/>
      <c r="D5315" s="36"/>
      <c r="E5315" s="36"/>
    </row>
    <row r="5316" spans="1:5" x14ac:dyDescent="0.25">
      <c r="A5316" s="28"/>
      <c r="B5316" s="180"/>
      <c r="C5316" s="35"/>
      <c r="D5316" s="36"/>
      <c r="E5316" s="36"/>
    </row>
    <row r="5317" spans="1:5" x14ac:dyDescent="0.25">
      <c r="A5317" s="28"/>
      <c r="B5317" s="180"/>
      <c r="C5317" s="35"/>
      <c r="D5317" s="36"/>
      <c r="E5317" s="36"/>
    </row>
    <row r="5318" spans="1:5" x14ac:dyDescent="0.25">
      <c r="A5318" s="28"/>
      <c r="B5318" s="180"/>
      <c r="C5318" s="35"/>
      <c r="D5318" s="36"/>
      <c r="E5318" s="36"/>
    </row>
    <row r="5319" spans="1:5" x14ac:dyDescent="0.25">
      <c r="A5319" s="28"/>
      <c r="B5319" s="180"/>
      <c r="C5319" s="35"/>
      <c r="D5319" s="36"/>
      <c r="E5319" s="36"/>
    </row>
    <row r="5320" spans="1:5" x14ac:dyDescent="0.25">
      <c r="A5320" s="28"/>
      <c r="B5320" s="180"/>
      <c r="C5320" s="35"/>
      <c r="D5320" s="36"/>
      <c r="E5320" s="36"/>
    </row>
    <row r="5321" spans="1:5" x14ac:dyDescent="0.25">
      <c r="A5321" s="28"/>
      <c r="B5321" s="180"/>
      <c r="C5321" s="35"/>
      <c r="D5321" s="36"/>
      <c r="E5321" s="36"/>
    </row>
    <row r="5322" spans="1:5" x14ac:dyDescent="0.25">
      <c r="A5322" s="28"/>
      <c r="B5322" s="180"/>
      <c r="C5322" s="35"/>
      <c r="D5322" s="36"/>
      <c r="E5322" s="36"/>
    </row>
    <row r="5323" spans="1:5" x14ac:dyDescent="0.25">
      <c r="A5323" s="28"/>
      <c r="B5323" s="180"/>
      <c r="C5323" s="35"/>
      <c r="D5323" s="36"/>
      <c r="E5323" s="36"/>
    </row>
    <row r="5324" spans="1:5" x14ac:dyDescent="0.25">
      <c r="A5324" s="28"/>
      <c r="B5324" s="180"/>
      <c r="C5324" s="35"/>
      <c r="D5324" s="36"/>
      <c r="E5324" s="36"/>
    </row>
    <row r="5325" spans="1:5" x14ac:dyDescent="0.25">
      <c r="A5325" s="28"/>
      <c r="B5325" s="180"/>
      <c r="C5325" s="35"/>
      <c r="D5325" s="36"/>
      <c r="E5325" s="36"/>
    </row>
    <row r="5326" spans="1:5" x14ac:dyDescent="0.25">
      <c r="A5326" s="28"/>
      <c r="B5326" s="180"/>
      <c r="C5326" s="35"/>
      <c r="D5326" s="36"/>
      <c r="E5326" s="36"/>
    </row>
    <row r="5327" spans="1:5" x14ac:dyDescent="0.25">
      <c r="A5327" s="28"/>
      <c r="B5327" s="180"/>
      <c r="C5327" s="35"/>
      <c r="D5327" s="36"/>
      <c r="E5327" s="36"/>
    </row>
    <row r="5328" spans="1:5" x14ac:dyDescent="0.25">
      <c r="A5328" s="28"/>
      <c r="B5328" s="180"/>
      <c r="C5328" s="35"/>
      <c r="D5328" s="36"/>
      <c r="E5328" s="36"/>
    </row>
    <row r="5329" spans="1:5" x14ac:dyDescent="0.25">
      <c r="A5329" s="28"/>
      <c r="B5329" s="180"/>
      <c r="C5329" s="35"/>
      <c r="D5329" s="36"/>
      <c r="E5329" s="36"/>
    </row>
    <row r="5330" spans="1:5" x14ac:dyDescent="0.25">
      <c r="A5330" s="28"/>
      <c r="B5330" s="180"/>
      <c r="C5330" s="35"/>
      <c r="D5330" s="36"/>
      <c r="E5330" s="36"/>
    </row>
    <row r="5331" spans="1:5" x14ac:dyDescent="0.25">
      <c r="A5331" s="28"/>
      <c r="B5331" s="180"/>
      <c r="C5331" s="35"/>
      <c r="D5331" s="36"/>
      <c r="E5331" s="36"/>
    </row>
    <row r="5332" spans="1:5" x14ac:dyDescent="0.25">
      <c r="A5332" s="28"/>
      <c r="B5332" s="180"/>
      <c r="C5332" s="35"/>
      <c r="D5332" s="36"/>
      <c r="E5332" s="36"/>
    </row>
    <row r="5333" spans="1:5" x14ac:dyDescent="0.25">
      <c r="A5333" s="28"/>
      <c r="B5333" s="180"/>
      <c r="C5333" s="35"/>
      <c r="D5333" s="36"/>
      <c r="E5333" s="36"/>
    </row>
    <row r="5334" spans="1:5" x14ac:dyDescent="0.25">
      <c r="A5334" s="28"/>
      <c r="B5334" s="180"/>
      <c r="C5334" s="35"/>
      <c r="D5334" s="36"/>
      <c r="E5334" s="36"/>
    </row>
    <row r="5335" spans="1:5" x14ac:dyDescent="0.25">
      <c r="A5335" s="28"/>
      <c r="B5335" s="180"/>
      <c r="C5335" s="35"/>
      <c r="D5335" s="36"/>
      <c r="E5335" s="36"/>
    </row>
    <row r="5336" spans="1:5" x14ac:dyDescent="0.25">
      <c r="A5336" s="28"/>
      <c r="B5336" s="180"/>
      <c r="C5336" s="35"/>
      <c r="D5336" s="36"/>
      <c r="E5336" s="36"/>
    </row>
    <row r="5337" spans="1:5" x14ac:dyDescent="0.25">
      <c r="A5337" s="28"/>
      <c r="B5337" s="180"/>
      <c r="C5337" s="35"/>
      <c r="D5337" s="36"/>
      <c r="E5337" s="36"/>
    </row>
    <row r="5338" spans="1:5" x14ac:dyDescent="0.25">
      <c r="A5338" s="28"/>
      <c r="B5338" s="180"/>
      <c r="C5338" s="35"/>
      <c r="D5338" s="36"/>
      <c r="E5338" s="36"/>
    </row>
    <row r="5339" spans="1:5" x14ac:dyDescent="0.25">
      <c r="A5339" s="28"/>
      <c r="B5339" s="180"/>
      <c r="C5339" s="35"/>
      <c r="D5339" s="36"/>
      <c r="E5339" s="36"/>
    </row>
    <row r="5340" spans="1:5" x14ac:dyDescent="0.25">
      <c r="A5340" s="28"/>
      <c r="B5340" s="180"/>
      <c r="C5340" s="35"/>
      <c r="D5340" s="36"/>
      <c r="E5340" s="36"/>
    </row>
    <row r="5341" spans="1:5" x14ac:dyDescent="0.25">
      <c r="A5341" s="28"/>
      <c r="B5341" s="180"/>
      <c r="C5341" s="35"/>
      <c r="D5341" s="36"/>
      <c r="E5341" s="36"/>
    </row>
    <row r="5342" spans="1:5" x14ac:dyDescent="0.25">
      <c r="A5342" s="28"/>
      <c r="B5342" s="180"/>
      <c r="C5342" s="35"/>
      <c r="D5342" s="36"/>
      <c r="E5342" s="36"/>
    </row>
    <row r="5343" spans="1:5" x14ac:dyDescent="0.25">
      <c r="A5343" s="28"/>
      <c r="B5343" s="180"/>
      <c r="C5343" s="35"/>
      <c r="D5343" s="36"/>
      <c r="E5343" s="36"/>
    </row>
    <row r="5344" spans="1:5" x14ac:dyDescent="0.25">
      <c r="A5344" s="28"/>
      <c r="B5344" s="180"/>
      <c r="C5344" s="35"/>
      <c r="D5344" s="36"/>
      <c r="E5344" s="36"/>
    </row>
    <row r="5345" spans="1:5" x14ac:dyDescent="0.25">
      <c r="A5345" s="28"/>
      <c r="B5345" s="180"/>
      <c r="C5345" s="35"/>
      <c r="D5345" s="36"/>
      <c r="E5345" s="36"/>
    </row>
    <row r="5346" spans="1:5" x14ac:dyDescent="0.25">
      <c r="A5346" s="28"/>
      <c r="B5346" s="180"/>
      <c r="C5346" s="35"/>
      <c r="D5346" s="36"/>
      <c r="E5346" s="36"/>
    </row>
    <row r="5347" spans="1:5" x14ac:dyDescent="0.25">
      <c r="A5347" s="28"/>
      <c r="B5347" s="180"/>
      <c r="C5347" s="35"/>
      <c r="D5347" s="36"/>
      <c r="E5347" s="36"/>
    </row>
    <row r="5348" spans="1:5" x14ac:dyDescent="0.25">
      <c r="A5348" s="28"/>
      <c r="B5348" s="180"/>
      <c r="C5348" s="35"/>
      <c r="D5348" s="36"/>
      <c r="E5348" s="36"/>
    </row>
    <row r="5349" spans="1:5" x14ac:dyDescent="0.25">
      <c r="A5349" s="28"/>
      <c r="B5349" s="180"/>
      <c r="C5349" s="35"/>
      <c r="D5349" s="36"/>
      <c r="E5349" s="36"/>
    </row>
    <row r="5350" spans="1:5" x14ac:dyDescent="0.25">
      <c r="A5350" s="28"/>
      <c r="B5350" s="180"/>
      <c r="C5350" s="35"/>
      <c r="D5350" s="36"/>
      <c r="E5350" s="36"/>
    </row>
    <row r="5351" spans="1:5" x14ac:dyDescent="0.25">
      <c r="A5351" s="28"/>
      <c r="B5351" s="180"/>
      <c r="C5351" s="35"/>
      <c r="D5351" s="36"/>
      <c r="E5351" s="36"/>
    </row>
    <row r="5352" spans="1:5" x14ac:dyDescent="0.25">
      <c r="A5352" s="28"/>
      <c r="B5352" s="180"/>
      <c r="C5352" s="35"/>
      <c r="D5352" s="36"/>
      <c r="E5352" s="36"/>
    </row>
    <row r="5353" spans="1:5" x14ac:dyDescent="0.25">
      <c r="A5353" s="28"/>
      <c r="B5353" s="180"/>
      <c r="C5353" s="35"/>
      <c r="D5353" s="36"/>
      <c r="E5353" s="36"/>
    </row>
    <row r="5354" spans="1:5" x14ac:dyDescent="0.25">
      <c r="A5354" s="28"/>
      <c r="B5354" s="180"/>
      <c r="C5354" s="35"/>
      <c r="D5354" s="36"/>
      <c r="E5354" s="36"/>
    </row>
    <row r="5355" spans="1:5" x14ac:dyDescent="0.25">
      <c r="A5355" s="28"/>
      <c r="B5355" s="180"/>
      <c r="C5355" s="35"/>
      <c r="D5355" s="36"/>
      <c r="E5355" s="36"/>
    </row>
    <row r="5356" spans="1:5" x14ac:dyDescent="0.25">
      <c r="A5356" s="28"/>
      <c r="B5356" s="180"/>
      <c r="C5356" s="35"/>
      <c r="D5356" s="36"/>
      <c r="E5356" s="36"/>
    </row>
    <row r="5357" spans="1:5" x14ac:dyDescent="0.25">
      <c r="A5357" s="28"/>
      <c r="B5357" s="180"/>
      <c r="C5357" s="35"/>
      <c r="D5357" s="36"/>
      <c r="E5357" s="36"/>
    </row>
    <row r="5358" spans="1:5" x14ac:dyDescent="0.25">
      <c r="A5358" s="28"/>
      <c r="B5358" s="180"/>
      <c r="C5358" s="35"/>
      <c r="D5358" s="36"/>
      <c r="E5358" s="36"/>
    </row>
    <row r="5359" spans="1:5" x14ac:dyDescent="0.25">
      <c r="A5359" s="28"/>
      <c r="B5359" s="180"/>
      <c r="C5359" s="35"/>
      <c r="D5359" s="36"/>
      <c r="E5359" s="36"/>
    </row>
    <row r="5360" spans="1:5" x14ac:dyDescent="0.25">
      <c r="A5360" s="28"/>
      <c r="B5360" s="180"/>
      <c r="C5360" s="35"/>
      <c r="D5360" s="36"/>
      <c r="E5360" s="36"/>
    </row>
    <row r="5361" spans="1:5" x14ac:dyDescent="0.25">
      <c r="A5361" s="28"/>
      <c r="B5361" s="180"/>
      <c r="C5361" s="35"/>
      <c r="D5361" s="36"/>
      <c r="E5361" s="36"/>
    </row>
    <row r="5362" spans="1:5" x14ac:dyDescent="0.25">
      <c r="A5362" s="28"/>
      <c r="B5362" s="180"/>
      <c r="C5362" s="35"/>
      <c r="D5362" s="36"/>
      <c r="E5362" s="36"/>
    </row>
    <row r="5363" spans="1:5" x14ac:dyDescent="0.25">
      <c r="A5363" s="28"/>
      <c r="B5363" s="180"/>
      <c r="C5363" s="35"/>
      <c r="D5363" s="36"/>
      <c r="E5363" s="36"/>
    </row>
    <row r="5364" spans="1:5" x14ac:dyDescent="0.25">
      <c r="A5364" s="28"/>
      <c r="B5364" s="180"/>
      <c r="C5364" s="35"/>
      <c r="D5364" s="36"/>
      <c r="E5364" s="36"/>
    </row>
    <row r="5365" spans="1:5" x14ac:dyDescent="0.25">
      <c r="A5365" s="28"/>
      <c r="B5365" s="180"/>
      <c r="C5365" s="35"/>
      <c r="D5365" s="36"/>
      <c r="E5365" s="36"/>
    </row>
    <row r="5366" spans="1:5" x14ac:dyDescent="0.25">
      <c r="A5366" s="28"/>
      <c r="B5366" s="180"/>
      <c r="C5366" s="35"/>
      <c r="D5366" s="36"/>
      <c r="E5366" s="36"/>
    </row>
    <row r="5367" spans="1:5" x14ac:dyDescent="0.25">
      <c r="A5367" s="28"/>
      <c r="B5367" s="180"/>
      <c r="C5367" s="35"/>
      <c r="D5367" s="36"/>
      <c r="E5367" s="36"/>
    </row>
    <row r="5368" spans="1:5" x14ac:dyDescent="0.25">
      <c r="A5368" s="28"/>
      <c r="B5368" s="180"/>
      <c r="C5368" s="35"/>
      <c r="D5368" s="36"/>
      <c r="E5368" s="36"/>
    </row>
    <row r="5369" spans="1:5" x14ac:dyDescent="0.25">
      <c r="A5369" s="28"/>
      <c r="B5369" s="180"/>
      <c r="C5369" s="35"/>
      <c r="D5369" s="36"/>
      <c r="E5369" s="36"/>
    </row>
    <row r="5370" spans="1:5" x14ac:dyDescent="0.25">
      <c r="A5370" s="28"/>
      <c r="B5370" s="180"/>
      <c r="C5370" s="35"/>
      <c r="D5370" s="36"/>
      <c r="E5370" s="36"/>
    </row>
    <row r="5371" spans="1:5" x14ac:dyDescent="0.25">
      <c r="A5371" s="28"/>
      <c r="B5371" s="180"/>
      <c r="C5371" s="35"/>
      <c r="D5371" s="36"/>
      <c r="E5371" s="36"/>
    </row>
    <row r="5372" spans="1:5" x14ac:dyDescent="0.25">
      <c r="A5372" s="28"/>
      <c r="B5372" s="180"/>
      <c r="C5372" s="35"/>
      <c r="D5372" s="36"/>
      <c r="E5372" s="36"/>
    </row>
    <row r="5373" spans="1:5" x14ac:dyDescent="0.25">
      <c r="A5373" s="28"/>
      <c r="B5373" s="180"/>
      <c r="C5373" s="35"/>
      <c r="D5373" s="36"/>
      <c r="E5373" s="36"/>
    </row>
    <row r="5374" spans="1:5" x14ac:dyDescent="0.25">
      <c r="A5374" s="28"/>
      <c r="B5374" s="180"/>
      <c r="C5374" s="35"/>
      <c r="D5374" s="36"/>
      <c r="E5374" s="36"/>
    </row>
    <row r="5375" spans="1:5" x14ac:dyDescent="0.25">
      <c r="A5375" s="28"/>
      <c r="B5375" s="180"/>
      <c r="C5375" s="35"/>
      <c r="D5375" s="36"/>
      <c r="E5375" s="36"/>
    </row>
    <row r="5376" spans="1:5" x14ac:dyDescent="0.25">
      <c r="A5376" s="28"/>
      <c r="B5376" s="180"/>
      <c r="C5376" s="35"/>
      <c r="D5376" s="36"/>
      <c r="E5376" s="36"/>
    </row>
    <row r="5377" spans="1:5" x14ac:dyDescent="0.25">
      <c r="A5377" s="28"/>
      <c r="B5377" s="180"/>
      <c r="C5377" s="35"/>
      <c r="D5377" s="36"/>
      <c r="E5377" s="36"/>
    </row>
    <row r="5378" spans="1:5" x14ac:dyDescent="0.25">
      <c r="A5378" s="28"/>
      <c r="B5378" s="180"/>
      <c r="C5378" s="35"/>
      <c r="D5378" s="36"/>
      <c r="E5378" s="36"/>
    </row>
    <row r="5379" spans="1:5" x14ac:dyDescent="0.25">
      <c r="A5379" s="28"/>
      <c r="B5379" s="180"/>
      <c r="C5379" s="35"/>
      <c r="D5379" s="36"/>
      <c r="E5379" s="36"/>
    </row>
    <row r="5380" spans="1:5" x14ac:dyDescent="0.25">
      <c r="A5380" s="28"/>
      <c r="B5380" s="180"/>
      <c r="C5380" s="35"/>
      <c r="D5380" s="36"/>
      <c r="E5380" s="36"/>
    </row>
    <row r="5381" spans="1:5" x14ac:dyDescent="0.25">
      <c r="A5381" s="28"/>
      <c r="B5381" s="180"/>
      <c r="C5381" s="35"/>
      <c r="D5381" s="36"/>
      <c r="E5381" s="36"/>
    </row>
    <row r="5382" spans="1:5" x14ac:dyDescent="0.25">
      <c r="A5382" s="28"/>
      <c r="B5382" s="180"/>
      <c r="C5382" s="35"/>
      <c r="D5382" s="36"/>
      <c r="E5382" s="36"/>
    </row>
    <row r="5383" spans="1:5" x14ac:dyDescent="0.25">
      <c r="A5383" s="28"/>
      <c r="B5383" s="180"/>
      <c r="C5383" s="35"/>
      <c r="D5383" s="36"/>
      <c r="E5383" s="36"/>
    </row>
    <row r="5384" spans="1:5" x14ac:dyDescent="0.25">
      <c r="A5384" s="28"/>
      <c r="B5384" s="180"/>
      <c r="C5384" s="35"/>
      <c r="D5384" s="36"/>
      <c r="E5384" s="36"/>
    </row>
    <row r="5385" spans="1:5" x14ac:dyDescent="0.25">
      <c r="A5385" s="28"/>
      <c r="B5385" s="180"/>
      <c r="C5385" s="35"/>
      <c r="D5385" s="36"/>
      <c r="E5385" s="36"/>
    </row>
    <row r="5386" spans="1:5" x14ac:dyDescent="0.25">
      <c r="A5386" s="28"/>
      <c r="B5386" s="180"/>
      <c r="C5386" s="35"/>
      <c r="D5386" s="36"/>
      <c r="E5386" s="36"/>
    </row>
    <row r="5387" spans="1:5" x14ac:dyDescent="0.25">
      <c r="A5387" s="28"/>
      <c r="B5387" s="180"/>
      <c r="C5387" s="35"/>
      <c r="D5387" s="36"/>
      <c r="E5387" s="36"/>
    </row>
    <row r="5388" spans="1:5" x14ac:dyDescent="0.25">
      <c r="A5388" s="28"/>
      <c r="B5388" s="180"/>
      <c r="C5388" s="35"/>
      <c r="D5388" s="36"/>
      <c r="E5388" s="36"/>
    </row>
    <row r="5389" spans="1:5" x14ac:dyDescent="0.25">
      <c r="A5389" s="28"/>
      <c r="B5389" s="180"/>
      <c r="C5389" s="35"/>
      <c r="D5389" s="36"/>
      <c r="E5389" s="36"/>
    </row>
    <row r="5390" spans="1:5" x14ac:dyDescent="0.25">
      <c r="A5390" s="28"/>
      <c r="B5390" s="180"/>
      <c r="C5390" s="35"/>
      <c r="D5390" s="36"/>
      <c r="E5390" s="36"/>
    </row>
    <row r="5391" spans="1:5" x14ac:dyDescent="0.25">
      <c r="A5391" s="28"/>
      <c r="B5391" s="180"/>
      <c r="C5391" s="35"/>
      <c r="D5391" s="36"/>
      <c r="E5391" s="36"/>
    </row>
    <row r="5392" spans="1:5" x14ac:dyDescent="0.25">
      <c r="A5392" s="28"/>
      <c r="B5392" s="180"/>
      <c r="C5392" s="35"/>
      <c r="D5392" s="36"/>
      <c r="E5392" s="36"/>
    </row>
    <row r="5393" spans="1:5" x14ac:dyDescent="0.25">
      <c r="A5393" s="28"/>
      <c r="B5393" s="180"/>
      <c r="C5393" s="35"/>
      <c r="D5393" s="36"/>
      <c r="E5393" s="36"/>
    </row>
    <row r="5394" spans="1:5" x14ac:dyDescent="0.25">
      <c r="A5394" s="28"/>
      <c r="B5394" s="180"/>
      <c r="C5394" s="35"/>
      <c r="D5394" s="36"/>
      <c r="E5394" s="36"/>
    </row>
    <row r="5395" spans="1:5" x14ac:dyDescent="0.25">
      <c r="A5395" s="28"/>
      <c r="B5395" s="180"/>
      <c r="C5395" s="35"/>
      <c r="D5395" s="36"/>
      <c r="E5395" s="36"/>
    </row>
    <row r="5396" spans="1:5" x14ac:dyDescent="0.25">
      <c r="A5396" s="28"/>
      <c r="B5396" s="180"/>
      <c r="C5396" s="35"/>
      <c r="D5396" s="36"/>
      <c r="E5396" s="36"/>
    </row>
    <row r="5397" spans="1:5" x14ac:dyDescent="0.25">
      <c r="A5397" s="28"/>
      <c r="B5397" s="180"/>
      <c r="C5397" s="35"/>
      <c r="D5397" s="36"/>
      <c r="E5397" s="36"/>
    </row>
    <row r="5398" spans="1:5" x14ac:dyDescent="0.25">
      <c r="A5398" s="28"/>
      <c r="B5398" s="180"/>
      <c r="C5398" s="35"/>
      <c r="D5398" s="36"/>
      <c r="E5398" s="36"/>
    </row>
    <row r="5399" spans="1:5" x14ac:dyDescent="0.25">
      <c r="A5399" s="28"/>
      <c r="B5399" s="180"/>
      <c r="C5399" s="35"/>
      <c r="D5399" s="36"/>
      <c r="E5399" s="36"/>
    </row>
    <row r="5400" spans="1:5" x14ac:dyDescent="0.25">
      <c r="A5400" s="28"/>
      <c r="B5400" s="180"/>
      <c r="C5400" s="35"/>
      <c r="D5400" s="36"/>
      <c r="E5400" s="36"/>
    </row>
    <row r="5401" spans="1:5" x14ac:dyDescent="0.25">
      <c r="A5401" s="28"/>
      <c r="B5401" s="180"/>
      <c r="C5401" s="35"/>
      <c r="D5401" s="36"/>
      <c r="E5401" s="36"/>
    </row>
    <row r="5402" spans="1:5" x14ac:dyDescent="0.25">
      <c r="A5402" s="28"/>
      <c r="B5402" s="180"/>
      <c r="C5402" s="35"/>
      <c r="D5402" s="36"/>
      <c r="E5402" s="36"/>
    </row>
    <row r="5403" spans="1:5" x14ac:dyDescent="0.25">
      <c r="A5403" s="28"/>
      <c r="B5403" s="180"/>
      <c r="C5403" s="35"/>
      <c r="D5403" s="36"/>
      <c r="E5403" s="36"/>
    </row>
    <row r="5404" spans="1:5" x14ac:dyDescent="0.25">
      <c r="A5404" s="28"/>
      <c r="B5404" s="180"/>
      <c r="C5404" s="35"/>
      <c r="D5404" s="36"/>
      <c r="E5404" s="36"/>
    </row>
    <row r="5405" spans="1:5" x14ac:dyDescent="0.25">
      <c r="A5405" s="28"/>
      <c r="B5405" s="180"/>
      <c r="C5405" s="35"/>
      <c r="D5405" s="36"/>
      <c r="E5405" s="36"/>
    </row>
    <row r="5406" spans="1:5" x14ac:dyDescent="0.25">
      <c r="A5406" s="28"/>
      <c r="B5406" s="180"/>
      <c r="C5406" s="35"/>
      <c r="D5406" s="36"/>
      <c r="E5406" s="36"/>
    </row>
    <row r="5407" spans="1:5" x14ac:dyDescent="0.25">
      <c r="A5407" s="28"/>
      <c r="B5407" s="180"/>
      <c r="C5407" s="35"/>
      <c r="D5407" s="36"/>
      <c r="E5407" s="36"/>
    </row>
    <row r="5408" spans="1:5" x14ac:dyDescent="0.25">
      <c r="A5408" s="28"/>
      <c r="B5408" s="180"/>
      <c r="C5408" s="35"/>
      <c r="D5408" s="36"/>
      <c r="E5408" s="36"/>
    </row>
    <row r="5409" spans="1:5" x14ac:dyDescent="0.25">
      <c r="A5409" s="28"/>
      <c r="B5409" s="180"/>
      <c r="C5409" s="35"/>
      <c r="D5409" s="36"/>
      <c r="E5409" s="36"/>
    </row>
    <row r="5410" spans="1:5" x14ac:dyDescent="0.25">
      <c r="A5410" s="28"/>
      <c r="B5410" s="180"/>
      <c r="C5410" s="35"/>
      <c r="D5410" s="36"/>
      <c r="E5410" s="36"/>
    </row>
    <row r="5411" spans="1:5" x14ac:dyDescent="0.25">
      <c r="A5411" s="28"/>
      <c r="B5411" s="180"/>
      <c r="C5411" s="35"/>
      <c r="D5411" s="36"/>
      <c r="E5411" s="36"/>
    </row>
    <row r="5412" spans="1:5" x14ac:dyDescent="0.25">
      <c r="A5412" s="28"/>
      <c r="B5412" s="180"/>
      <c r="C5412" s="35"/>
      <c r="D5412" s="36"/>
      <c r="E5412" s="36"/>
    </row>
    <row r="5413" spans="1:5" x14ac:dyDescent="0.25">
      <c r="A5413" s="28"/>
      <c r="B5413" s="180"/>
      <c r="C5413" s="35"/>
      <c r="D5413" s="36"/>
      <c r="E5413" s="36"/>
    </row>
    <row r="5414" spans="1:5" x14ac:dyDescent="0.25">
      <c r="A5414" s="28"/>
      <c r="B5414" s="180"/>
      <c r="C5414" s="35"/>
      <c r="D5414" s="36"/>
      <c r="E5414" s="36"/>
    </row>
    <row r="5415" spans="1:5" x14ac:dyDescent="0.25">
      <c r="A5415" s="28"/>
      <c r="B5415" s="180"/>
      <c r="C5415" s="35"/>
      <c r="D5415" s="36"/>
      <c r="E5415" s="36"/>
    </row>
    <row r="5416" spans="1:5" x14ac:dyDescent="0.25">
      <c r="A5416" s="28"/>
      <c r="B5416" s="180"/>
      <c r="C5416" s="35"/>
      <c r="D5416" s="36"/>
      <c r="E5416" s="36"/>
    </row>
    <row r="5417" spans="1:5" x14ac:dyDescent="0.25">
      <c r="A5417" s="28"/>
      <c r="B5417" s="180"/>
      <c r="C5417" s="35"/>
      <c r="D5417" s="36"/>
      <c r="E5417" s="36"/>
    </row>
    <row r="5418" spans="1:5" x14ac:dyDescent="0.25">
      <c r="A5418" s="28"/>
      <c r="B5418" s="180"/>
      <c r="C5418" s="35"/>
      <c r="D5418" s="36"/>
      <c r="E5418" s="36"/>
    </row>
    <row r="5419" spans="1:5" x14ac:dyDescent="0.25">
      <c r="A5419" s="28"/>
      <c r="B5419" s="180"/>
      <c r="C5419" s="35"/>
      <c r="D5419" s="36"/>
      <c r="E5419" s="36"/>
    </row>
    <row r="5420" spans="1:5" x14ac:dyDescent="0.25">
      <c r="A5420" s="28"/>
      <c r="B5420" s="180"/>
      <c r="C5420" s="35"/>
      <c r="D5420" s="36"/>
      <c r="E5420" s="36"/>
    </row>
    <row r="5421" spans="1:5" x14ac:dyDescent="0.25">
      <c r="A5421" s="28"/>
      <c r="B5421" s="180"/>
      <c r="C5421" s="35"/>
      <c r="D5421" s="36"/>
      <c r="E5421" s="36"/>
    </row>
    <row r="5422" spans="1:5" x14ac:dyDescent="0.25">
      <c r="A5422" s="28"/>
      <c r="B5422" s="180"/>
      <c r="C5422" s="35"/>
      <c r="D5422" s="36"/>
      <c r="E5422" s="36"/>
    </row>
    <row r="5423" spans="1:5" x14ac:dyDescent="0.25">
      <c r="A5423" s="28"/>
      <c r="B5423" s="180"/>
      <c r="C5423" s="35"/>
      <c r="D5423" s="36"/>
      <c r="E5423" s="36"/>
    </row>
    <row r="5424" spans="1:5" x14ac:dyDescent="0.25">
      <c r="A5424" s="28"/>
      <c r="B5424" s="180"/>
      <c r="C5424" s="35"/>
      <c r="D5424" s="36"/>
      <c r="E5424" s="36"/>
    </row>
    <row r="5425" spans="1:5" x14ac:dyDescent="0.25">
      <c r="A5425" s="28"/>
      <c r="B5425" s="180"/>
      <c r="C5425" s="35"/>
      <c r="D5425" s="36"/>
      <c r="E5425" s="36"/>
    </row>
    <row r="5426" spans="1:5" x14ac:dyDescent="0.25">
      <c r="A5426" s="28"/>
      <c r="B5426" s="180"/>
      <c r="C5426" s="35"/>
      <c r="D5426" s="36"/>
      <c r="E5426" s="36"/>
    </row>
    <row r="5427" spans="1:5" x14ac:dyDescent="0.25">
      <c r="A5427" s="28"/>
      <c r="B5427" s="180"/>
      <c r="C5427" s="35"/>
      <c r="D5427" s="36"/>
      <c r="E5427" s="36"/>
    </row>
    <row r="5428" spans="1:5" x14ac:dyDescent="0.25">
      <c r="A5428" s="28"/>
      <c r="B5428" s="180"/>
      <c r="C5428" s="35"/>
      <c r="D5428" s="36"/>
      <c r="E5428" s="36"/>
    </row>
    <row r="5429" spans="1:5" x14ac:dyDescent="0.25">
      <c r="A5429" s="28"/>
      <c r="B5429" s="180"/>
      <c r="C5429" s="35"/>
      <c r="D5429" s="36"/>
      <c r="E5429" s="36"/>
    </row>
    <row r="5430" spans="1:5" x14ac:dyDescent="0.25">
      <c r="A5430" s="28"/>
      <c r="B5430" s="180"/>
      <c r="C5430" s="35"/>
      <c r="D5430" s="36"/>
      <c r="E5430" s="36"/>
    </row>
    <row r="5431" spans="1:5" x14ac:dyDescent="0.25">
      <c r="A5431" s="28"/>
      <c r="B5431" s="180"/>
      <c r="C5431" s="35"/>
      <c r="D5431" s="36"/>
      <c r="E5431" s="36"/>
    </row>
    <row r="5432" spans="1:5" x14ac:dyDescent="0.25">
      <c r="A5432" s="28"/>
      <c r="B5432" s="180"/>
      <c r="C5432" s="35"/>
      <c r="D5432" s="36"/>
      <c r="E5432" s="36"/>
    </row>
    <row r="5433" spans="1:5" x14ac:dyDescent="0.25">
      <c r="A5433" s="28"/>
      <c r="B5433" s="180"/>
      <c r="C5433" s="35"/>
      <c r="D5433" s="36"/>
      <c r="E5433" s="36"/>
    </row>
    <row r="5434" spans="1:5" x14ac:dyDescent="0.25">
      <c r="A5434" s="28"/>
      <c r="B5434" s="180"/>
      <c r="C5434" s="35"/>
      <c r="D5434" s="36"/>
      <c r="E5434" s="36"/>
    </row>
    <row r="5435" spans="1:5" x14ac:dyDescent="0.25">
      <c r="A5435" s="28"/>
      <c r="B5435" s="180"/>
      <c r="C5435" s="35"/>
      <c r="D5435" s="36"/>
      <c r="E5435" s="36"/>
    </row>
    <row r="5436" spans="1:5" x14ac:dyDescent="0.25">
      <c r="A5436" s="28"/>
      <c r="B5436" s="180"/>
      <c r="C5436" s="35"/>
      <c r="D5436" s="36"/>
      <c r="E5436" s="36"/>
    </row>
    <row r="5437" spans="1:5" x14ac:dyDescent="0.25">
      <c r="A5437" s="28"/>
      <c r="B5437" s="180"/>
      <c r="C5437" s="35"/>
      <c r="D5437" s="36"/>
      <c r="E5437" s="36"/>
    </row>
    <row r="5438" spans="1:5" x14ac:dyDescent="0.25">
      <c r="A5438" s="28"/>
      <c r="B5438" s="180"/>
      <c r="C5438" s="35"/>
      <c r="D5438" s="36"/>
      <c r="E5438" s="36"/>
    </row>
    <row r="5439" spans="1:5" x14ac:dyDescent="0.25">
      <c r="A5439" s="28"/>
      <c r="B5439" s="180"/>
      <c r="C5439" s="35"/>
      <c r="D5439" s="36"/>
      <c r="E5439" s="36"/>
    </row>
    <row r="5440" spans="1:5" x14ac:dyDescent="0.25">
      <c r="A5440" s="28"/>
      <c r="B5440" s="180"/>
      <c r="C5440" s="35"/>
      <c r="D5440" s="36"/>
      <c r="E5440" s="36"/>
    </row>
    <row r="5441" spans="1:5" x14ac:dyDescent="0.25">
      <c r="A5441" s="28"/>
      <c r="B5441" s="180"/>
      <c r="C5441" s="35"/>
      <c r="D5441" s="36"/>
      <c r="E5441" s="36"/>
    </row>
    <row r="5442" spans="1:5" x14ac:dyDescent="0.25">
      <c r="A5442" s="28"/>
      <c r="B5442" s="180"/>
      <c r="C5442" s="35"/>
      <c r="D5442" s="36"/>
      <c r="E5442" s="36"/>
    </row>
    <row r="5443" spans="1:5" x14ac:dyDescent="0.25">
      <c r="A5443" s="28"/>
      <c r="B5443" s="180"/>
      <c r="C5443" s="35"/>
      <c r="D5443" s="36"/>
      <c r="E5443" s="36"/>
    </row>
    <row r="5444" spans="1:5" x14ac:dyDescent="0.25">
      <c r="A5444" s="28"/>
      <c r="B5444" s="180"/>
      <c r="C5444" s="35"/>
      <c r="D5444" s="36"/>
      <c r="E5444" s="36"/>
    </row>
    <row r="5445" spans="1:5" x14ac:dyDescent="0.25">
      <c r="A5445" s="28"/>
      <c r="B5445" s="180"/>
      <c r="C5445" s="35"/>
      <c r="D5445" s="36"/>
      <c r="E5445" s="36"/>
    </row>
    <row r="5446" spans="1:5" x14ac:dyDescent="0.25">
      <c r="A5446" s="28"/>
      <c r="B5446" s="180"/>
      <c r="C5446" s="35"/>
      <c r="D5446" s="36"/>
      <c r="E5446" s="36"/>
    </row>
    <row r="5447" spans="1:5" x14ac:dyDescent="0.25">
      <c r="A5447" s="28"/>
      <c r="B5447" s="180"/>
      <c r="C5447" s="35"/>
      <c r="D5447" s="36"/>
      <c r="E5447" s="36"/>
    </row>
    <row r="5448" spans="1:5" x14ac:dyDescent="0.25">
      <c r="A5448" s="28"/>
      <c r="B5448" s="180"/>
      <c r="C5448" s="35"/>
      <c r="D5448" s="36"/>
      <c r="E5448" s="36"/>
    </row>
    <row r="5449" spans="1:5" x14ac:dyDescent="0.25">
      <c r="A5449" s="28"/>
      <c r="B5449" s="180"/>
      <c r="C5449" s="35"/>
      <c r="D5449" s="36"/>
      <c r="E5449" s="36"/>
    </row>
    <row r="5450" spans="1:5" x14ac:dyDescent="0.25">
      <c r="A5450" s="28"/>
      <c r="B5450" s="180"/>
      <c r="C5450" s="35"/>
      <c r="D5450" s="36"/>
      <c r="E5450" s="36"/>
    </row>
    <row r="5451" spans="1:5" x14ac:dyDescent="0.25">
      <c r="A5451" s="28"/>
      <c r="B5451" s="180"/>
      <c r="C5451" s="35"/>
      <c r="D5451" s="36"/>
      <c r="E5451" s="36"/>
    </row>
    <row r="5452" spans="1:5" x14ac:dyDescent="0.25">
      <c r="A5452" s="28"/>
      <c r="B5452" s="180"/>
      <c r="C5452" s="35"/>
      <c r="D5452" s="36"/>
      <c r="E5452" s="36"/>
    </row>
    <row r="5453" spans="1:5" x14ac:dyDescent="0.25">
      <c r="A5453" s="28"/>
      <c r="B5453" s="180"/>
      <c r="C5453" s="35"/>
      <c r="D5453" s="36"/>
      <c r="E5453" s="36"/>
    </row>
    <row r="5454" spans="1:5" x14ac:dyDescent="0.25">
      <c r="A5454" s="28"/>
      <c r="B5454" s="180"/>
      <c r="C5454" s="35"/>
      <c r="D5454" s="36"/>
      <c r="E5454" s="36"/>
    </row>
    <row r="5455" spans="1:5" x14ac:dyDescent="0.25">
      <c r="A5455" s="28"/>
      <c r="B5455" s="180"/>
      <c r="C5455" s="35"/>
      <c r="D5455" s="36"/>
      <c r="E5455" s="36"/>
    </row>
    <row r="5456" spans="1:5" x14ac:dyDescent="0.25">
      <c r="A5456" s="28"/>
      <c r="B5456" s="180"/>
      <c r="C5456" s="35"/>
      <c r="D5456" s="36"/>
      <c r="E5456" s="36"/>
    </row>
    <row r="5457" spans="1:5" x14ac:dyDescent="0.25">
      <c r="A5457" s="28"/>
      <c r="B5457" s="180"/>
      <c r="C5457" s="35"/>
      <c r="D5457" s="36"/>
      <c r="E5457" s="36"/>
    </row>
    <row r="5458" spans="1:5" x14ac:dyDescent="0.25">
      <c r="A5458" s="28"/>
      <c r="B5458" s="180"/>
      <c r="C5458" s="35"/>
      <c r="D5458" s="36"/>
      <c r="E5458" s="36"/>
    </row>
    <row r="5459" spans="1:5" x14ac:dyDescent="0.25">
      <c r="A5459" s="28"/>
      <c r="B5459" s="180"/>
      <c r="C5459" s="35"/>
      <c r="D5459" s="36"/>
      <c r="E5459" s="36"/>
    </row>
    <row r="5460" spans="1:5" x14ac:dyDescent="0.25">
      <c r="A5460" s="28"/>
      <c r="B5460" s="180"/>
      <c r="C5460" s="35"/>
      <c r="D5460" s="36"/>
      <c r="E5460" s="36"/>
    </row>
    <row r="5461" spans="1:5" x14ac:dyDescent="0.25">
      <c r="A5461" s="28"/>
      <c r="B5461" s="180"/>
      <c r="C5461" s="35"/>
      <c r="D5461" s="36"/>
      <c r="E5461" s="36"/>
    </row>
    <row r="5462" spans="1:5" x14ac:dyDescent="0.25">
      <c r="A5462" s="28"/>
      <c r="B5462" s="180"/>
      <c r="C5462" s="35"/>
      <c r="D5462" s="36"/>
      <c r="E5462" s="36"/>
    </row>
    <row r="5463" spans="1:5" x14ac:dyDescent="0.25">
      <c r="A5463" s="28"/>
      <c r="B5463" s="180"/>
      <c r="C5463" s="35"/>
      <c r="D5463" s="36"/>
      <c r="E5463" s="36"/>
    </row>
    <row r="5464" spans="1:5" x14ac:dyDescent="0.25">
      <c r="A5464" s="28"/>
      <c r="B5464" s="180"/>
      <c r="C5464" s="35"/>
      <c r="D5464" s="36"/>
      <c r="E5464" s="36"/>
    </row>
    <row r="5465" spans="1:5" x14ac:dyDescent="0.25">
      <c r="A5465" s="28"/>
      <c r="B5465" s="180"/>
      <c r="C5465" s="35"/>
      <c r="D5465" s="36"/>
      <c r="E5465" s="36"/>
    </row>
    <row r="5466" spans="1:5" x14ac:dyDescent="0.25">
      <c r="A5466" s="28"/>
      <c r="B5466" s="180"/>
      <c r="C5466" s="35"/>
      <c r="D5466" s="36"/>
      <c r="E5466" s="36"/>
    </row>
    <row r="5467" spans="1:5" x14ac:dyDescent="0.25">
      <c r="A5467" s="28"/>
      <c r="B5467" s="180"/>
      <c r="C5467" s="35"/>
      <c r="D5467" s="36"/>
      <c r="E5467" s="36"/>
    </row>
    <row r="5468" spans="1:5" x14ac:dyDescent="0.25">
      <c r="A5468" s="28"/>
      <c r="B5468" s="180"/>
      <c r="C5468" s="35"/>
      <c r="D5468" s="36"/>
      <c r="E5468" s="36"/>
    </row>
    <row r="5469" spans="1:5" x14ac:dyDescent="0.25">
      <c r="A5469" s="28"/>
      <c r="B5469" s="180"/>
      <c r="C5469" s="35"/>
      <c r="D5469" s="36"/>
      <c r="E5469" s="36"/>
    </row>
    <row r="5470" spans="1:5" x14ac:dyDescent="0.25">
      <c r="A5470" s="28"/>
      <c r="B5470" s="180"/>
      <c r="C5470" s="35"/>
      <c r="D5470" s="36"/>
      <c r="E5470" s="36"/>
    </row>
    <row r="5471" spans="1:5" x14ac:dyDescent="0.25">
      <c r="A5471" s="28"/>
      <c r="B5471" s="180"/>
      <c r="C5471" s="35"/>
      <c r="D5471" s="36"/>
      <c r="E5471" s="36"/>
    </row>
    <row r="5472" spans="1:5" x14ac:dyDescent="0.25">
      <c r="A5472" s="28"/>
      <c r="B5472" s="180"/>
      <c r="C5472" s="35"/>
      <c r="D5472" s="36"/>
      <c r="E5472" s="36"/>
    </row>
    <row r="5473" spans="1:5" x14ac:dyDescent="0.25">
      <c r="A5473" s="28"/>
      <c r="B5473" s="180"/>
      <c r="C5473" s="35"/>
      <c r="D5473" s="36"/>
      <c r="E5473" s="36"/>
    </row>
    <row r="5474" spans="1:5" x14ac:dyDescent="0.25">
      <c r="A5474" s="28"/>
      <c r="B5474" s="180"/>
      <c r="C5474" s="35"/>
      <c r="D5474" s="36"/>
      <c r="E5474" s="36"/>
    </row>
    <row r="5475" spans="1:5" x14ac:dyDescent="0.25">
      <c r="A5475" s="28"/>
      <c r="B5475" s="180"/>
      <c r="C5475" s="35"/>
      <c r="D5475" s="36"/>
      <c r="E5475" s="36"/>
    </row>
    <row r="5476" spans="1:5" x14ac:dyDescent="0.25">
      <c r="A5476" s="28"/>
      <c r="B5476" s="180"/>
      <c r="C5476" s="35"/>
      <c r="D5476" s="36"/>
      <c r="E5476" s="36"/>
    </row>
    <row r="5477" spans="1:5" x14ac:dyDescent="0.25">
      <c r="A5477" s="28"/>
      <c r="B5477" s="180"/>
      <c r="C5477" s="35"/>
      <c r="D5477" s="36"/>
      <c r="E5477" s="36"/>
    </row>
    <row r="5478" spans="1:5" x14ac:dyDescent="0.25">
      <c r="A5478" s="28"/>
      <c r="B5478" s="180"/>
      <c r="C5478" s="35"/>
      <c r="D5478" s="36"/>
      <c r="E5478" s="36"/>
    </row>
    <row r="5479" spans="1:5" x14ac:dyDescent="0.25">
      <c r="A5479" s="28"/>
      <c r="B5479" s="180"/>
      <c r="C5479" s="35"/>
      <c r="D5479" s="36"/>
      <c r="E5479" s="36"/>
    </row>
    <row r="5480" spans="1:5" x14ac:dyDescent="0.25">
      <c r="A5480" s="28"/>
      <c r="B5480" s="180"/>
      <c r="C5480" s="35"/>
      <c r="D5480" s="36"/>
      <c r="E5480" s="36"/>
    </row>
    <row r="5481" spans="1:5" x14ac:dyDescent="0.25">
      <c r="A5481" s="28"/>
      <c r="B5481" s="180"/>
      <c r="C5481" s="35"/>
      <c r="D5481" s="36"/>
      <c r="E5481" s="36"/>
    </row>
    <row r="5482" spans="1:5" x14ac:dyDescent="0.25">
      <c r="A5482" s="28"/>
      <c r="B5482" s="180"/>
      <c r="C5482" s="35"/>
      <c r="D5482" s="36"/>
      <c r="E5482" s="36"/>
    </row>
    <row r="5483" spans="1:5" x14ac:dyDescent="0.25">
      <c r="A5483" s="28"/>
      <c r="B5483" s="180"/>
      <c r="C5483" s="35"/>
      <c r="D5483" s="36"/>
      <c r="E5483" s="36"/>
    </row>
    <row r="5484" spans="1:5" x14ac:dyDescent="0.25">
      <c r="A5484" s="28"/>
      <c r="B5484" s="180"/>
      <c r="C5484" s="35"/>
      <c r="D5484" s="36"/>
      <c r="E5484" s="36"/>
    </row>
    <row r="5485" spans="1:5" x14ac:dyDescent="0.25">
      <c r="A5485" s="28"/>
      <c r="B5485" s="180"/>
      <c r="C5485" s="35"/>
      <c r="D5485" s="36"/>
      <c r="E5485" s="36"/>
    </row>
    <row r="5486" spans="1:5" x14ac:dyDescent="0.25">
      <c r="A5486" s="28"/>
      <c r="B5486" s="180"/>
      <c r="C5486" s="35"/>
      <c r="D5486" s="36"/>
      <c r="E5486" s="36"/>
    </row>
    <row r="5487" spans="1:5" x14ac:dyDescent="0.25">
      <c r="A5487" s="28"/>
      <c r="B5487" s="180"/>
      <c r="C5487" s="35"/>
      <c r="D5487" s="36"/>
      <c r="E5487" s="36"/>
    </row>
    <row r="5488" spans="1:5" x14ac:dyDescent="0.25">
      <c r="A5488" s="28"/>
      <c r="B5488" s="180"/>
      <c r="C5488" s="35"/>
      <c r="D5488" s="36"/>
      <c r="E5488" s="36"/>
    </row>
    <row r="5489" spans="1:5" x14ac:dyDescent="0.25">
      <c r="A5489" s="28"/>
      <c r="B5489" s="180"/>
      <c r="C5489" s="35"/>
      <c r="D5489" s="36"/>
      <c r="E5489" s="36"/>
    </row>
    <row r="5490" spans="1:5" x14ac:dyDescent="0.25">
      <c r="A5490" s="28"/>
      <c r="B5490" s="180"/>
      <c r="C5490" s="35"/>
      <c r="D5490" s="36"/>
      <c r="E5490" s="36"/>
    </row>
    <row r="5491" spans="1:5" x14ac:dyDescent="0.25">
      <c r="A5491" s="28"/>
      <c r="B5491" s="180"/>
      <c r="C5491" s="35"/>
      <c r="D5491" s="36"/>
      <c r="E5491" s="36"/>
    </row>
    <row r="5492" spans="1:5" x14ac:dyDescent="0.25">
      <c r="A5492" s="28"/>
      <c r="B5492" s="180"/>
      <c r="C5492" s="35"/>
      <c r="D5492" s="36"/>
      <c r="E5492" s="36"/>
    </row>
    <row r="5493" spans="1:5" x14ac:dyDescent="0.25">
      <c r="A5493" s="28"/>
      <c r="B5493" s="180"/>
      <c r="C5493" s="35"/>
      <c r="D5493" s="36"/>
      <c r="E5493" s="36"/>
    </row>
    <row r="5494" spans="1:5" x14ac:dyDescent="0.25">
      <c r="A5494" s="28"/>
      <c r="B5494" s="180"/>
      <c r="C5494" s="35"/>
      <c r="D5494" s="36"/>
      <c r="E5494" s="36"/>
    </row>
    <row r="5495" spans="1:5" x14ac:dyDescent="0.25">
      <c r="A5495" s="28"/>
      <c r="B5495" s="180"/>
      <c r="C5495" s="35"/>
      <c r="D5495" s="36"/>
      <c r="E5495" s="36"/>
    </row>
    <row r="5496" spans="1:5" x14ac:dyDescent="0.25">
      <c r="A5496" s="28"/>
      <c r="B5496" s="180"/>
      <c r="C5496" s="35"/>
      <c r="D5496" s="36"/>
      <c r="E5496" s="36"/>
    </row>
    <row r="5497" spans="1:5" x14ac:dyDescent="0.25">
      <c r="A5497" s="28"/>
      <c r="B5497" s="180"/>
      <c r="C5497" s="35"/>
      <c r="D5497" s="36"/>
      <c r="E5497" s="36"/>
    </row>
    <row r="5498" spans="1:5" x14ac:dyDescent="0.25">
      <c r="A5498" s="28"/>
      <c r="B5498" s="180"/>
      <c r="C5498" s="35"/>
      <c r="D5498" s="36"/>
      <c r="E5498" s="36"/>
    </row>
    <row r="5499" spans="1:5" x14ac:dyDescent="0.25">
      <c r="A5499" s="28"/>
      <c r="B5499" s="180"/>
      <c r="C5499" s="35"/>
      <c r="D5499" s="36"/>
      <c r="E5499" s="36"/>
    </row>
    <row r="5500" spans="1:5" x14ac:dyDescent="0.25">
      <c r="A5500" s="28"/>
      <c r="B5500" s="180"/>
      <c r="C5500" s="35"/>
      <c r="D5500" s="36"/>
      <c r="E5500" s="36"/>
    </row>
    <row r="5501" spans="1:5" x14ac:dyDescent="0.25">
      <c r="A5501" s="28"/>
      <c r="B5501" s="180"/>
      <c r="C5501" s="35"/>
      <c r="D5501" s="36"/>
      <c r="E5501" s="36"/>
    </row>
    <row r="5502" spans="1:5" x14ac:dyDescent="0.25">
      <c r="A5502" s="28"/>
      <c r="B5502" s="180"/>
      <c r="C5502" s="35"/>
      <c r="D5502" s="36"/>
      <c r="E5502" s="36"/>
    </row>
    <row r="5503" spans="1:5" x14ac:dyDescent="0.25">
      <c r="A5503" s="28"/>
      <c r="B5503" s="180"/>
      <c r="C5503" s="35"/>
      <c r="D5503" s="36"/>
      <c r="E5503" s="36"/>
    </row>
    <row r="5504" spans="1:5" x14ac:dyDescent="0.25">
      <c r="A5504" s="28"/>
      <c r="B5504" s="180"/>
      <c r="C5504" s="35"/>
      <c r="D5504" s="36"/>
      <c r="E5504" s="36"/>
    </row>
    <row r="5505" spans="1:5" x14ac:dyDescent="0.25">
      <c r="A5505" s="28"/>
      <c r="B5505" s="180"/>
      <c r="C5505" s="35"/>
      <c r="D5505" s="36"/>
      <c r="E5505" s="36"/>
    </row>
    <row r="5506" spans="1:5" x14ac:dyDescent="0.25">
      <c r="A5506" s="28"/>
      <c r="B5506" s="180"/>
      <c r="C5506" s="35"/>
      <c r="D5506" s="36"/>
      <c r="E5506" s="36"/>
    </row>
    <row r="5507" spans="1:5" x14ac:dyDescent="0.25">
      <c r="A5507" s="28"/>
      <c r="B5507" s="180"/>
      <c r="C5507" s="35"/>
      <c r="D5507" s="36"/>
      <c r="E5507" s="36"/>
    </row>
    <row r="5508" spans="1:5" x14ac:dyDescent="0.25">
      <c r="A5508" s="28"/>
      <c r="B5508" s="180"/>
      <c r="C5508" s="35"/>
      <c r="D5508" s="36"/>
      <c r="E5508" s="36"/>
    </row>
    <row r="5509" spans="1:5" x14ac:dyDescent="0.25">
      <c r="A5509" s="28"/>
      <c r="B5509" s="180"/>
      <c r="C5509" s="35"/>
      <c r="D5509" s="36"/>
      <c r="E5509" s="36"/>
    </row>
    <row r="5510" spans="1:5" x14ac:dyDescent="0.25">
      <c r="A5510" s="28"/>
      <c r="B5510" s="180"/>
      <c r="C5510" s="35"/>
      <c r="D5510" s="36"/>
      <c r="E5510" s="36"/>
    </row>
    <row r="5511" spans="1:5" x14ac:dyDescent="0.25">
      <c r="A5511" s="28"/>
      <c r="B5511" s="180"/>
      <c r="C5511" s="35"/>
      <c r="D5511" s="36"/>
      <c r="E5511" s="36"/>
    </row>
    <row r="5512" spans="1:5" x14ac:dyDescent="0.25">
      <c r="A5512" s="28"/>
      <c r="B5512" s="180"/>
      <c r="C5512" s="35"/>
      <c r="D5512" s="36"/>
      <c r="E5512" s="36"/>
    </row>
    <row r="5513" spans="1:5" x14ac:dyDescent="0.25">
      <c r="A5513" s="28"/>
      <c r="B5513" s="180"/>
      <c r="C5513" s="35"/>
      <c r="D5513" s="36"/>
      <c r="E5513" s="36"/>
    </row>
    <row r="5514" spans="1:5" x14ac:dyDescent="0.25">
      <c r="A5514" s="28"/>
      <c r="B5514" s="180"/>
      <c r="C5514" s="35"/>
      <c r="D5514" s="36"/>
      <c r="E5514" s="36"/>
    </row>
    <row r="5515" spans="1:5" x14ac:dyDescent="0.25">
      <c r="A5515" s="28"/>
      <c r="B5515" s="180"/>
      <c r="C5515" s="35"/>
      <c r="D5515" s="36"/>
      <c r="E5515" s="36"/>
    </row>
    <row r="5516" spans="1:5" x14ac:dyDescent="0.25">
      <c r="A5516" s="28"/>
      <c r="B5516" s="180"/>
      <c r="C5516" s="35"/>
      <c r="D5516" s="36"/>
      <c r="E5516" s="36"/>
    </row>
    <row r="5517" spans="1:5" x14ac:dyDescent="0.25">
      <c r="A5517" s="28"/>
      <c r="B5517" s="180"/>
      <c r="C5517" s="35"/>
      <c r="D5517" s="36"/>
      <c r="E5517" s="36"/>
    </row>
    <row r="5518" spans="1:5" x14ac:dyDescent="0.25">
      <c r="A5518" s="28"/>
      <c r="B5518" s="180"/>
      <c r="C5518" s="35"/>
      <c r="D5518" s="36"/>
      <c r="E5518" s="36"/>
    </row>
    <row r="5519" spans="1:5" x14ac:dyDescent="0.25">
      <c r="A5519" s="28"/>
      <c r="B5519" s="180"/>
      <c r="C5519" s="35"/>
      <c r="D5519" s="36"/>
      <c r="E5519" s="36"/>
    </row>
    <row r="5520" spans="1:5" x14ac:dyDescent="0.25">
      <c r="A5520" s="28"/>
      <c r="B5520" s="180"/>
      <c r="C5520" s="35"/>
      <c r="D5520" s="36"/>
      <c r="E5520" s="36"/>
    </row>
    <row r="5521" spans="1:5" x14ac:dyDescent="0.25">
      <c r="A5521" s="28"/>
      <c r="B5521" s="180"/>
      <c r="C5521" s="35"/>
      <c r="D5521" s="36"/>
      <c r="E5521" s="36"/>
    </row>
    <row r="5522" spans="1:5" x14ac:dyDescent="0.25">
      <c r="A5522" s="28"/>
      <c r="B5522" s="180"/>
      <c r="C5522" s="35"/>
      <c r="D5522" s="36"/>
      <c r="E5522" s="36"/>
    </row>
    <row r="5523" spans="1:5" x14ac:dyDescent="0.25">
      <c r="A5523" s="28"/>
      <c r="B5523" s="180"/>
      <c r="C5523" s="35"/>
      <c r="D5523" s="36"/>
      <c r="E5523" s="36"/>
    </row>
    <row r="5524" spans="1:5" x14ac:dyDescent="0.25">
      <c r="A5524" s="28"/>
      <c r="B5524" s="180"/>
      <c r="C5524" s="35"/>
      <c r="D5524" s="36"/>
      <c r="E5524" s="36"/>
    </row>
    <row r="5525" spans="1:5" x14ac:dyDescent="0.25">
      <c r="A5525" s="28"/>
      <c r="B5525" s="180"/>
      <c r="C5525" s="35"/>
      <c r="D5525" s="36"/>
      <c r="E5525" s="36"/>
    </row>
    <row r="5526" spans="1:5" x14ac:dyDescent="0.25">
      <c r="A5526" s="28"/>
      <c r="B5526" s="180"/>
      <c r="C5526" s="35"/>
      <c r="D5526" s="36"/>
      <c r="E5526" s="36"/>
    </row>
    <row r="5527" spans="1:5" x14ac:dyDescent="0.25">
      <c r="A5527" s="28"/>
      <c r="B5527" s="180"/>
      <c r="C5527" s="35"/>
      <c r="D5527" s="36"/>
      <c r="E5527" s="36"/>
    </row>
    <row r="5528" spans="1:5" x14ac:dyDescent="0.25">
      <c r="A5528" s="28"/>
      <c r="B5528" s="180"/>
      <c r="C5528" s="35"/>
      <c r="D5528" s="36"/>
      <c r="E5528" s="36"/>
    </row>
    <row r="5529" spans="1:5" x14ac:dyDescent="0.25">
      <c r="A5529" s="28"/>
      <c r="B5529" s="180"/>
      <c r="C5529" s="35"/>
      <c r="D5529" s="36"/>
      <c r="E5529" s="36"/>
    </row>
    <row r="5530" spans="1:5" x14ac:dyDescent="0.25">
      <c r="A5530" s="28"/>
      <c r="B5530" s="180"/>
      <c r="C5530" s="35"/>
      <c r="D5530" s="36"/>
      <c r="E5530" s="36"/>
    </row>
    <row r="5531" spans="1:5" x14ac:dyDescent="0.25">
      <c r="A5531" s="28"/>
      <c r="B5531" s="180"/>
      <c r="C5531" s="35"/>
      <c r="D5531" s="36"/>
      <c r="E5531" s="36"/>
    </row>
    <row r="5532" spans="1:5" x14ac:dyDescent="0.25">
      <c r="A5532" s="28"/>
      <c r="B5532" s="180"/>
      <c r="C5532" s="35"/>
      <c r="D5532" s="36"/>
      <c r="E5532" s="36"/>
    </row>
    <row r="5533" spans="1:5" x14ac:dyDescent="0.25">
      <c r="A5533" s="28"/>
      <c r="B5533" s="180"/>
      <c r="C5533" s="35"/>
      <c r="D5533" s="36"/>
      <c r="E5533" s="36"/>
    </row>
    <row r="5534" spans="1:5" x14ac:dyDescent="0.25">
      <c r="A5534" s="28"/>
      <c r="B5534" s="180"/>
      <c r="C5534" s="35"/>
      <c r="D5534" s="36"/>
      <c r="E5534" s="36"/>
    </row>
    <row r="5535" spans="1:5" x14ac:dyDescent="0.25">
      <c r="A5535" s="28"/>
      <c r="B5535" s="180"/>
      <c r="C5535" s="35"/>
      <c r="D5535" s="36"/>
      <c r="E5535" s="36"/>
    </row>
    <row r="5536" spans="1:5" x14ac:dyDescent="0.25">
      <c r="A5536" s="28"/>
      <c r="B5536" s="180"/>
      <c r="C5536" s="35"/>
      <c r="D5536" s="36"/>
      <c r="E5536" s="36"/>
    </row>
    <row r="5537" spans="1:5" x14ac:dyDescent="0.25">
      <c r="A5537" s="28"/>
      <c r="B5537" s="180"/>
      <c r="C5537" s="35"/>
      <c r="D5537" s="36"/>
      <c r="E5537" s="36"/>
    </row>
    <row r="5538" spans="1:5" x14ac:dyDescent="0.25">
      <c r="A5538" s="28"/>
      <c r="B5538" s="180"/>
      <c r="C5538" s="35"/>
      <c r="D5538" s="36"/>
      <c r="E5538" s="36"/>
    </row>
    <row r="5539" spans="1:5" x14ac:dyDescent="0.25">
      <c r="A5539" s="28"/>
      <c r="B5539" s="180"/>
      <c r="C5539" s="35"/>
      <c r="D5539" s="36"/>
      <c r="E5539" s="36"/>
    </row>
    <row r="5540" spans="1:5" x14ac:dyDescent="0.25">
      <c r="A5540" s="28"/>
      <c r="B5540" s="180"/>
      <c r="C5540" s="35"/>
      <c r="D5540" s="36"/>
      <c r="E5540" s="36"/>
    </row>
    <row r="5541" spans="1:5" x14ac:dyDescent="0.25">
      <c r="A5541" s="28"/>
      <c r="B5541" s="180"/>
      <c r="C5541" s="35"/>
      <c r="D5541" s="36"/>
      <c r="E5541" s="36"/>
    </row>
    <row r="5542" spans="1:5" x14ac:dyDescent="0.25">
      <c r="A5542" s="28"/>
      <c r="B5542" s="180"/>
      <c r="C5542" s="35"/>
      <c r="D5542" s="36"/>
      <c r="E5542" s="36"/>
    </row>
    <row r="5543" spans="1:5" x14ac:dyDescent="0.25">
      <c r="A5543" s="28"/>
      <c r="B5543" s="180"/>
      <c r="C5543" s="35"/>
      <c r="D5543" s="36"/>
      <c r="E5543" s="36"/>
    </row>
    <row r="5544" spans="1:5" x14ac:dyDescent="0.25">
      <c r="A5544" s="28"/>
      <c r="B5544" s="180"/>
      <c r="C5544" s="35"/>
      <c r="D5544" s="36"/>
      <c r="E5544" s="36"/>
    </row>
    <row r="5545" spans="1:5" x14ac:dyDescent="0.25">
      <c r="A5545" s="28"/>
      <c r="B5545" s="180"/>
      <c r="C5545" s="35"/>
      <c r="D5545" s="36"/>
      <c r="E5545" s="36"/>
    </row>
    <row r="5546" spans="1:5" x14ac:dyDescent="0.25">
      <c r="A5546" s="28"/>
      <c r="B5546" s="180"/>
      <c r="C5546" s="35"/>
      <c r="D5546" s="36"/>
      <c r="E5546" s="36"/>
    </row>
    <row r="5547" spans="1:5" x14ac:dyDescent="0.25">
      <c r="A5547" s="28"/>
      <c r="B5547" s="180"/>
      <c r="C5547" s="35"/>
      <c r="D5547" s="36"/>
      <c r="E5547" s="36"/>
    </row>
    <row r="5548" spans="1:5" x14ac:dyDescent="0.25">
      <c r="A5548" s="28"/>
      <c r="B5548" s="180"/>
      <c r="C5548" s="35"/>
      <c r="D5548" s="36"/>
      <c r="E5548" s="36"/>
    </row>
    <row r="5549" spans="1:5" x14ac:dyDescent="0.25">
      <c r="A5549" s="28"/>
      <c r="B5549" s="180"/>
      <c r="C5549" s="35"/>
      <c r="D5549" s="36"/>
      <c r="E5549" s="36"/>
    </row>
    <row r="5550" spans="1:5" x14ac:dyDescent="0.25">
      <c r="A5550" s="28"/>
      <c r="B5550" s="180"/>
      <c r="C5550" s="35"/>
      <c r="D5550" s="36"/>
      <c r="E5550" s="36"/>
    </row>
    <row r="5551" spans="1:5" x14ac:dyDescent="0.25">
      <c r="A5551" s="28"/>
      <c r="B5551" s="180"/>
      <c r="C5551" s="35"/>
      <c r="D5551" s="36"/>
      <c r="E5551" s="36"/>
    </row>
    <row r="5552" spans="1:5" x14ac:dyDescent="0.25">
      <c r="A5552" s="28"/>
      <c r="B5552" s="180"/>
      <c r="C5552" s="35"/>
      <c r="D5552" s="36"/>
      <c r="E5552" s="36"/>
    </row>
    <row r="5553" spans="1:5" x14ac:dyDescent="0.25">
      <c r="A5553" s="28"/>
      <c r="B5553" s="180"/>
      <c r="C5553" s="35"/>
      <c r="D5553" s="36"/>
      <c r="E5553" s="36"/>
    </row>
    <row r="5554" spans="1:5" x14ac:dyDescent="0.25">
      <c r="A5554" s="28"/>
      <c r="B5554" s="180"/>
      <c r="C5554" s="35"/>
      <c r="D5554" s="36"/>
      <c r="E5554" s="36"/>
    </row>
    <row r="5555" spans="1:5" x14ac:dyDescent="0.25">
      <c r="A5555" s="28"/>
      <c r="B5555" s="180"/>
      <c r="C5555" s="35"/>
      <c r="D5555" s="36"/>
      <c r="E5555" s="36"/>
    </row>
    <row r="5556" spans="1:5" x14ac:dyDescent="0.25">
      <c r="A5556" s="28"/>
      <c r="B5556" s="180"/>
      <c r="C5556" s="35"/>
      <c r="D5556" s="36"/>
      <c r="E5556" s="36"/>
    </row>
    <row r="5557" spans="1:5" x14ac:dyDescent="0.25">
      <c r="A5557" s="28"/>
      <c r="B5557" s="180"/>
      <c r="C5557" s="35"/>
      <c r="D5557" s="36"/>
      <c r="E5557" s="36"/>
    </row>
    <row r="5558" spans="1:5" x14ac:dyDescent="0.25">
      <c r="A5558" s="28"/>
      <c r="B5558" s="180"/>
      <c r="C5558" s="35"/>
      <c r="D5558" s="36"/>
      <c r="E5558" s="36"/>
    </row>
    <row r="5559" spans="1:5" x14ac:dyDescent="0.25">
      <c r="A5559" s="28"/>
      <c r="B5559" s="180"/>
      <c r="C5559" s="35"/>
      <c r="D5559" s="36"/>
      <c r="E5559" s="36"/>
    </row>
    <row r="5560" spans="1:5" x14ac:dyDescent="0.25">
      <c r="A5560" s="28"/>
      <c r="B5560" s="180"/>
      <c r="C5560" s="35"/>
      <c r="D5560" s="36"/>
      <c r="E5560" s="36"/>
    </row>
    <row r="5561" spans="1:5" x14ac:dyDescent="0.25">
      <c r="A5561" s="28"/>
      <c r="B5561" s="180"/>
      <c r="C5561" s="35"/>
      <c r="D5561" s="36"/>
      <c r="E5561" s="36"/>
    </row>
    <row r="5562" spans="1:5" x14ac:dyDescent="0.25">
      <c r="A5562" s="28"/>
      <c r="B5562" s="180"/>
      <c r="C5562" s="35"/>
      <c r="D5562" s="36"/>
      <c r="E5562" s="36"/>
    </row>
    <row r="5563" spans="1:5" x14ac:dyDescent="0.25">
      <c r="A5563" s="28"/>
      <c r="B5563" s="180"/>
      <c r="C5563" s="35"/>
      <c r="D5563" s="36"/>
      <c r="E5563" s="36"/>
    </row>
    <row r="5564" spans="1:5" x14ac:dyDescent="0.25">
      <c r="A5564" s="28"/>
      <c r="B5564" s="180"/>
      <c r="C5564" s="35"/>
      <c r="D5564" s="36"/>
      <c r="E5564" s="36"/>
    </row>
    <row r="5565" spans="1:5" x14ac:dyDescent="0.25">
      <c r="A5565" s="28"/>
      <c r="B5565" s="180"/>
      <c r="C5565" s="35"/>
      <c r="D5565" s="36"/>
      <c r="E5565" s="36"/>
    </row>
    <row r="5566" spans="1:5" x14ac:dyDescent="0.25">
      <c r="A5566" s="28"/>
      <c r="B5566" s="180"/>
      <c r="C5566" s="35"/>
      <c r="D5566" s="36"/>
      <c r="E5566" s="36"/>
    </row>
    <row r="5567" spans="1:5" x14ac:dyDescent="0.25">
      <c r="A5567" s="28"/>
      <c r="B5567" s="180"/>
      <c r="C5567" s="35"/>
      <c r="D5567" s="36"/>
      <c r="E5567" s="36"/>
    </row>
    <row r="5568" spans="1:5" x14ac:dyDescent="0.25">
      <c r="A5568" s="28"/>
      <c r="B5568" s="180"/>
      <c r="C5568" s="35"/>
      <c r="D5568" s="36"/>
      <c r="E5568" s="36"/>
    </row>
    <row r="5569" spans="1:5" x14ac:dyDescent="0.25">
      <c r="A5569" s="28"/>
      <c r="B5569" s="180"/>
      <c r="C5569" s="35"/>
      <c r="D5569" s="36"/>
      <c r="E5569" s="36"/>
    </row>
    <row r="5570" spans="1:5" x14ac:dyDescent="0.25">
      <c r="A5570" s="28"/>
      <c r="B5570" s="180"/>
      <c r="C5570" s="35"/>
      <c r="D5570" s="36"/>
      <c r="E5570" s="36"/>
    </row>
    <row r="5571" spans="1:5" x14ac:dyDescent="0.25">
      <c r="A5571" s="28"/>
      <c r="B5571" s="180"/>
      <c r="C5571" s="35"/>
      <c r="D5571" s="36"/>
      <c r="E5571" s="36"/>
    </row>
    <row r="5572" spans="1:5" x14ac:dyDescent="0.25">
      <c r="A5572" s="28"/>
      <c r="B5572" s="180"/>
      <c r="C5572" s="35"/>
      <c r="D5572" s="36"/>
      <c r="E5572" s="36"/>
    </row>
    <row r="5573" spans="1:5" x14ac:dyDescent="0.25">
      <c r="A5573" s="28"/>
      <c r="B5573" s="180"/>
      <c r="C5573" s="35"/>
      <c r="D5573" s="36"/>
      <c r="E5573" s="36"/>
    </row>
    <row r="5574" spans="1:5" x14ac:dyDescent="0.25">
      <c r="A5574" s="28"/>
      <c r="B5574" s="180"/>
      <c r="C5574" s="35"/>
      <c r="D5574" s="36"/>
      <c r="E5574" s="36"/>
    </row>
    <row r="5575" spans="1:5" x14ac:dyDescent="0.25">
      <c r="A5575" s="28"/>
      <c r="B5575" s="180"/>
      <c r="C5575" s="35"/>
      <c r="D5575" s="36"/>
      <c r="E5575" s="36"/>
    </row>
    <row r="5576" spans="1:5" x14ac:dyDescent="0.25">
      <c r="A5576" s="28"/>
      <c r="B5576" s="180"/>
      <c r="C5576" s="35"/>
      <c r="D5576" s="36"/>
      <c r="E5576" s="36"/>
    </row>
    <row r="5577" spans="1:5" x14ac:dyDescent="0.25">
      <c r="A5577" s="28"/>
      <c r="B5577" s="180"/>
      <c r="C5577" s="35"/>
      <c r="D5577" s="36"/>
      <c r="E5577" s="36"/>
    </row>
    <row r="5578" spans="1:5" x14ac:dyDescent="0.25">
      <c r="A5578" s="28"/>
      <c r="B5578" s="180"/>
      <c r="C5578" s="35"/>
      <c r="D5578" s="36"/>
      <c r="E5578" s="36"/>
    </row>
    <row r="5579" spans="1:5" x14ac:dyDescent="0.25">
      <c r="A5579" s="28"/>
      <c r="B5579" s="180"/>
      <c r="C5579" s="35"/>
      <c r="D5579" s="36"/>
      <c r="E5579" s="36"/>
    </row>
    <row r="5580" spans="1:5" x14ac:dyDescent="0.25">
      <c r="A5580" s="28"/>
      <c r="B5580" s="180"/>
      <c r="C5580" s="35"/>
      <c r="D5580" s="36"/>
      <c r="E5580" s="36"/>
    </row>
    <row r="5581" spans="1:5" x14ac:dyDescent="0.25">
      <c r="A5581" s="28"/>
      <c r="B5581" s="180"/>
      <c r="C5581" s="35"/>
      <c r="D5581" s="36"/>
      <c r="E5581" s="36"/>
    </row>
    <row r="5582" spans="1:5" x14ac:dyDescent="0.25">
      <c r="A5582" s="28"/>
      <c r="B5582" s="180"/>
      <c r="C5582" s="35"/>
      <c r="D5582" s="36"/>
      <c r="E5582" s="36"/>
    </row>
    <row r="5583" spans="1:5" x14ac:dyDescent="0.25">
      <c r="A5583" s="28"/>
      <c r="B5583" s="180"/>
      <c r="C5583" s="35"/>
      <c r="D5583" s="36"/>
      <c r="E5583" s="36"/>
    </row>
    <row r="5584" spans="1:5" x14ac:dyDescent="0.25">
      <c r="A5584" s="28"/>
      <c r="B5584" s="180"/>
      <c r="C5584" s="35"/>
      <c r="D5584" s="36"/>
      <c r="E5584" s="36"/>
    </row>
    <row r="5585" spans="1:5" x14ac:dyDescent="0.25">
      <c r="A5585" s="28"/>
      <c r="B5585" s="180"/>
      <c r="C5585" s="35"/>
      <c r="D5585" s="36"/>
      <c r="E5585" s="36"/>
    </row>
    <row r="5586" spans="1:5" x14ac:dyDescent="0.25">
      <c r="A5586" s="28"/>
      <c r="B5586" s="180"/>
      <c r="C5586" s="35"/>
      <c r="D5586" s="36"/>
      <c r="E5586" s="36"/>
    </row>
    <row r="5587" spans="1:5" x14ac:dyDescent="0.25">
      <c r="A5587" s="28"/>
      <c r="B5587" s="180"/>
      <c r="C5587" s="35"/>
      <c r="D5587" s="36"/>
      <c r="E5587" s="36"/>
    </row>
    <row r="5588" spans="1:5" x14ac:dyDescent="0.25">
      <c r="A5588" s="28"/>
      <c r="B5588" s="180"/>
      <c r="C5588" s="35"/>
      <c r="D5588" s="36"/>
      <c r="E5588" s="36"/>
    </row>
    <row r="5589" spans="1:5" x14ac:dyDescent="0.25">
      <c r="A5589" s="28"/>
      <c r="B5589" s="180"/>
      <c r="C5589" s="35"/>
      <c r="D5589" s="36"/>
      <c r="E5589" s="36"/>
    </row>
    <row r="5590" spans="1:5" x14ac:dyDescent="0.25">
      <c r="A5590" s="28"/>
      <c r="B5590" s="180"/>
      <c r="C5590" s="35"/>
      <c r="D5590" s="36"/>
      <c r="E5590" s="36"/>
    </row>
    <row r="5591" spans="1:5" x14ac:dyDescent="0.25">
      <c r="A5591" s="28"/>
      <c r="B5591" s="180"/>
      <c r="C5591" s="35"/>
      <c r="D5591" s="36"/>
      <c r="E5591" s="36"/>
    </row>
    <row r="5592" spans="1:5" x14ac:dyDescent="0.25">
      <c r="A5592" s="28"/>
      <c r="B5592" s="180"/>
      <c r="C5592" s="35"/>
      <c r="D5592" s="36"/>
      <c r="E5592" s="36"/>
    </row>
    <row r="5593" spans="1:5" x14ac:dyDescent="0.25">
      <c r="A5593" s="28"/>
      <c r="B5593" s="180"/>
      <c r="C5593" s="35"/>
      <c r="D5593" s="36"/>
      <c r="E5593" s="36"/>
    </row>
    <row r="5594" spans="1:5" x14ac:dyDescent="0.25">
      <c r="A5594" s="28"/>
      <c r="B5594" s="180"/>
      <c r="C5594" s="35"/>
      <c r="D5594" s="36"/>
      <c r="E5594" s="36"/>
    </row>
    <row r="5595" spans="1:5" x14ac:dyDescent="0.25">
      <c r="A5595" s="28"/>
      <c r="B5595" s="180"/>
      <c r="C5595" s="35"/>
      <c r="D5595" s="36"/>
      <c r="E5595" s="36"/>
    </row>
    <row r="5596" spans="1:5" x14ac:dyDescent="0.25">
      <c r="A5596" s="28"/>
      <c r="B5596" s="180"/>
      <c r="C5596" s="35"/>
      <c r="D5596" s="36"/>
      <c r="E5596" s="36"/>
    </row>
    <row r="5597" spans="1:5" x14ac:dyDescent="0.25">
      <c r="A5597" s="28"/>
      <c r="B5597" s="180"/>
      <c r="C5597" s="35"/>
      <c r="D5597" s="36"/>
      <c r="E5597" s="36"/>
    </row>
    <row r="5598" spans="1:5" x14ac:dyDescent="0.25">
      <c r="A5598" s="28"/>
      <c r="B5598" s="180"/>
      <c r="C5598" s="35"/>
      <c r="D5598" s="36"/>
      <c r="E5598" s="36"/>
    </row>
    <row r="5599" spans="1:5" x14ac:dyDescent="0.25">
      <c r="A5599" s="28"/>
      <c r="B5599" s="180"/>
      <c r="C5599" s="35"/>
      <c r="D5599" s="36"/>
      <c r="E5599" s="36"/>
    </row>
    <row r="5600" spans="1:5" x14ac:dyDescent="0.25">
      <c r="A5600" s="28"/>
      <c r="B5600" s="180"/>
      <c r="C5600" s="35"/>
      <c r="D5600" s="36"/>
      <c r="E5600" s="36"/>
    </row>
    <row r="5601" spans="1:5" x14ac:dyDescent="0.25">
      <c r="A5601" s="28"/>
      <c r="B5601" s="180"/>
      <c r="C5601" s="35"/>
      <c r="D5601" s="36"/>
      <c r="E5601" s="36"/>
    </row>
    <row r="5602" spans="1:5" x14ac:dyDescent="0.25">
      <c r="A5602" s="28"/>
      <c r="B5602" s="180"/>
      <c r="C5602" s="35"/>
      <c r="D5602" s="36"/>
      <c r="E5602" s="36"/>
    </row>
    <row r="5603" spans="1:5" x14ac:dyDescent="0.25">
      <c r="A5603" s="28"/>
      <c r="B5603" s="180"/>
      <c r="C5603" s="35"/>
      <c r="D5603" s="36"/>
      <c r="E5603" s="36"/>
    </row>
    <row r="5604" spans="1:5" x14ac:dyDescent="0.25">
      <c r="A5604" s="28"/>
      <c r="B5604" s="180"/>
      <c r="C5604" s="35"/>
      <c r="D5604" s="36"/>
      <c r="E5604" s="36"/>
    </row>
    <row r="5605" spans="1:5" x14ac:dyDescent="0.25">
      <c r="A5605" s="28"/>
      <c r="B5605" s="180"/>
      <c r="C5605" s="35"/>
      <c r="D5605" s="36"/>
      <c r="E5605" s="36"/>
    </row>
    <row r="5606" spans="1:5" x14ac:dyDescent="0.25">
      <c r="A5606" s="28"/>
      <c r="B5606" s="180"/>
      <c r="C5606" s="35"/>
      <c r="D5606" s="36"/>
      <c r="E5606" s="36"/>
    </row>
    <row r="5607" spans="1:5" x14ac:dyDescent="0.25">
      <c r="A5607" s="28"/>
      <c r="B5607" s="180"/>
      <c r="C5607" s="35"/>
      <c r="D5607" s="36"/>
      <c r="E5607" s="36"/>
    </row>
    <row r="5608" spans="1:5" x14ac:dyDescent="0.25">
      <c r="A5608" s="28"/>
      <c r="B5608" s="180"/>
      <c r="C5608" s="35"/>
      <c r="D5608" s="36"/>
      <c r="E5608" s="36"/>
    </row>
    <row r="5609" spans="1:5" x14ac:dyDescent="0.25">
      <c r="A5609" s="28"/>
      <c r="B5609" s="180"/>
      <c r="C5609" s="35"/>
      <c r="D5609" s="36"/>
      <c r="E5609" s="36"/>
    </row>
    <row r="5610" spans="1:5" x14ac:dyDescent="0.25">
      <c r="A5610" s="28"/>
      <c r="B5610" s="180"/>
      <c r="C5610" s="35"/>
      <c r="D5610" s="36"/>
      <c r="E5610" s="36"/>
    </row>
    <row r="5611" spans="1:5" x14ac:dyDescent="0.25">
      <c r="A5611" s="28"/>
      <c r="B5611" s="180"/>
      <c r="C5611" s="35"/>
      <c r="D5611" s="36"/>
      <c r="E5611" s="36"/>
    </row>
    <row r="5612" spans="1:5" x14ac:dyDescent="0.25">
      <c r="A5612" s="28"/>
      <c r="B5612" s="180"/>
      <c r="C5612" s="35"/>
      <c r="D5612" s="36"/>
      <c r="E5612" s="36"/>
    </row>
    <row r="5613" spans="1:5" x14ac:dyDescent="0.25">
      <c r="A5613" s="28"/>
      <c r="B5613" s="180"/>
      <c r="C5613" s="35"/>
      <c r="D5613" s="36"/>
      <c r="E5613" s="36"/>
    </row>
    <row r="5614" spans="1:5" x14ac:dyDescent="0.25">
      <c r="A5614" s="28"/>
      <c r="B5614" s="180"/>
      <c r="C5614" s="35"/>
      <c r="D5614" s="36"/>
      <c r="E5614" s="36"/>
    </row>
    <row r="5615" spans="1:5" x14ac:dyDescent="0.25">
      <c r="A5615" s="28"/>
      <c r="B5615" s="180"/>
      <c r="C5615" s="35"/>
      <c r="D5615" s="36"/>
      <c r="E5615" s="36"/>
    </row>
    <row r="5616" spans="1:5" x14ac:dyDescent="0.25">
      <c r="A5616" s="28"/>
      <c r="B5616" s="180"/>
      <c r="C5616" s="35"/>
      <c r="D5616" s="36"/>
      <c r="E5616" s="36"/>
    </row>
    <row r="5617" spans="1:5" x14ac:dyDescent="0.25">
      <c r="A5617" s="28"/>
      <c r="B5617" s="180"/>
      <c r="C5617" s="35"/>
      <c r="D5617" s="36"/>
      <c r="E5617" s="36"/>
    </row>
    <row r="5618" spans="1:5" x14ac:dyDescent="0.25">
      <c r="A5618" s="28"/>
      <c r="B5618" s="180"/>
      <c r="C5618" s="35"/>
      <c r="D5618" s="36"/>
      <c r="E5618" s="36"/>
    </row>
    <row r="5619" spans="1:5" x14ac:dyDescent="0.25">
      <c r="A5619" s="28"/>
      <c r="B5619" s="180"/>
      <c r="C5619" s="35"/>
      <c r="D5619" s="36"/>
      <c r="E5619" s="36"/>
    </row>
    <row r="5620" spans="1:5" x14ac:dyDescent="0.25">
      <c r="A5620" s="28"/>
      <c r="B5620" s="180"/>
      <c r="C5620" s="35"/>
      <c r="D5620" s="36"/>
      <c r="E5620" s="36"/>
    </row>
    <row r="5621" spans="1:5" x14ac:dyDescent="0.25">
      <c r="A5621" s="28"/>
      <c r="B5621" s="180"/>
      <c r="C5621" s="35"/>
      <c r="D5621" s="36"/>
      <c r="E5621" s="36"/>
    </row>
    <row r="5622" spans="1:5" x14ac:dyDescent="0.25">
      <c r="A5622" s="28"/>
      <c r="B5622" s="180"/>
      <c r="C5622" s="35"/>
      <c r="D5622" s="36"/>
      <c r="E5622" s="36"/>
    </row>
    <row r="5623" spans="1:5" x14ac:dyDescent="0.25">
      <c r="A5623" s="28"/>
      <c r="B5623" s="180"/>
      <c r="C5623" s="35"/>
      <c r="D5623" s="36"/>
      <c r="E5623" s="36"/>
    </row>
    <row r="5624" spans="1:5" x14ac:dyDescent="0.25">
      <c r="A5624" s="28"/>
      <c r="B5624" s="180"/>
      <c r="C5624" s="35"/>
      <c r="D5624" s="36"/>
      <c r="E5624" s="36"/>
    </row>
    <row r="5625" spans="1:5" x14ac:dyDescent="0.25">
      <c r="A5625" s="28"/>
      <c r="B5625" s="180"/>
      <c r="C5625" s="35"/>
      <c r="D5625" s="36"/>
      <c r="E5625" s="36"/>
    </row>
    <row r="5626" spans="1:5" x14ac:dyDescent="0.25">
      <c r="A5626" s="28"/>
      <c r="B5626" s="180"/>
      <c r="C5626" s="35"/>
      <c r="D5626" s="36"/>
      <c r="E5626" s="36"/>
    </row>
    <row r="5627" spans="1:5" x14ac:dyDescent="0.25">
      <c r="A5627" s="28"/>
      <c r="B5627" s="180"/>
      <c r="C5627" s="35"/>
      <c r="D5627" s="36"/>
      <c r="E5627" s="36"/>
    </row>
    <row r="5628" spans="1:5" x14ac:dyDescent="0.25">
      <c r="A5628" s="28"/>
      <c r="B5628" s="180"/>
      <c r="C5628" s="35"/>
      <c r="D5628" s="36"/>
      <c r="E5628" s="36"/>
    </row>
    <row r="5629" spans="1:5" x14ac:dyDescent="0.25">
      <c r="A5629" s="28"/>
      <c r="B5629" s="180"/>
      <c r="C5629" s="35"/>
      <c r="D5629" s="36"/>
      <c r="E5629" s="36"/>
    </row>
    <row r="5630" spans="1:5" x14ac:dyDescent="0.25">
      <c r="A5630" s="28"/>
      <c r="B5630" s="180"/>
      <c r="C5630" s="35"/>
      <c r="D5630" s="36"/>
      <c r="E5630" s="36"/>
    </row>
    <row r="5631" spans="1:5" x14ac:dyDescent="0.25">
      <c r="A5631" s="28"/>
      <c r="B5631" s="180"/>
      <c r="C5631" s="35"/>
      <c r="D5631" s="36"/>
      <c r="E5631" s="36"/>
    </row>
    <row r="5632" spans="1:5" x14ac:dyDescent="0.25">
      <c r="A5632" s="28"/>
      <c r="B5632" s="180"/>
      <c r="C5632" s="35"/>
      <c r="D5632" s="36"/>
      <c r="E5632" s="36"/>
    </row>
    <row r="5633" spans="1:5" x14ac:dyDescent="0.25">
      <c r="A5633" s="28"/>
      <c r="B5633" s="180"/>
      <c r="C5633" s="35"/>
      <c r="D5633" s="36"/>
      <c r="E5633" s="36"/>
    </row>
    <row r="5634" spans="1:5" x14ac:dyDescent="0.25">
      <c r="A5634" s="28"/>
      <c r="B5634" s="180"/>
      <c r="C5634" s="35"/>
      <c r="D5634" s="36"/>
      <c r="E5634" s="36"/>
    </row>
    <row r="5635" spans="1:5" x14ac:dyDescent="0.25">
      <c r="A5635" s="28"/>
      <c r="B5635" s="180"/>
      <c r="C5635" s="35"/>
      <c r="D5635" s="36"/>
      <c r="E5635" s="36"/>
    </row>
    <row r="5636" spans="1:5" x14ac:dyDescent="0.25">
      <c r="A5636" s="28"/>
      <c r="B5636" s="180"/>
      <c r="C5636" s="35"/>
      <c r="D5636" s="36"/>
      <c r="E5636" s="36"/>
    </row>
    <row r="5637" spans="1:5" x14ac:dyDescent="0.25">
      <c r="A5637" s="28"/>
      <c r="B5637" s="180"/>
      <c r="C5637" s="35"/>
      <c r="D5637" s="36"/>
      <c r="E5637" s="36"/>
    </row>
    <row r="5638" spans="1:5" x14ac:dyDescent="0.25">
      <c r="A5638" s="28"/>
      <c r="B5638" s="180"/>
      <c r="C5638" s="35"/>
      <c r="D5638" s="36"/>
      <c r="E5638" s="36"/>
    </row>
    <row r="5639" spans="1:5" x14ac:dyDescent="0.25">
      <c r="A5639" s="28"/>
      <c r="B5639" s="180"/>
      <c r="C5639" s="35"/>
      <c r="D5639" s="36"/>
      <c r="E5639" s="36"/>
    </row>
    <row r="5640" spans="1:5" x14ac:dyDescent="0.25">
      <c r="A5640" s="28"/>
      <c r="B5640" s="180"/>
      <c r="C5640" s="35"/>
      <c r="D5640" s="36"/>
      <c r="E5640" s="36"/>
    </row>
    <row r="5641" spans="1:5" x14ac:dyDescent="0.25">
      <c r="A5641" s="28"/>
      <c r="B5641" s="180"/>
      <c r="C5641" s="35"/>
      <c r="D5641" s="36"/>
      <c r="E5641" s="36"/>
    </row>
    <row r="5642" spans="1:5" x14ac:dyDescent="0.25">
      <c r="A5642" s="28"/>
      <c r="B5642" s="180"/>
      <c r="C5642" s="35"/>
      <c r="D5642" s="36"/>
      <c r="E5642" s="36"/>
    </row>
    <row r="5643" spans="1:5" x14ac:dyDescent="0.25">
      <c r="A5643" s="28"/>
      <c r="B5643" s="180"/>
      <c r="C5643" s="35"/>
      <c r="D5643" s="36"/>
      <c r="E5643" s="36"/>
    </row>
    <row r="5644" spans="1:5" x14ac:dyDescent="0.25">
      <c r="A5644" s="28"/>
      <c r="B5644" s="180"/>
      <c r="C5644" s="35"/>
      <c r="D5644" s="36"/>
      <c r="E5644" s="36"/>
    </row>
    <row r="5645" spans="1:5" x14ac:dyDescent="0.25">
      <c r="A5645" s="28"/>
      <c r="B5645" s="180"/>
      <c r="C5645" s="35"/>
      <c r="D5645" s="36"/>
      <c r="E5645" s="36"/>
    </row>
    <row r="5646" spans="1:5" x14ac:dyDescent="0.25">
      <c r="A5646" s="28"/>
      <c r="B5646" s="180"/>
      <c r="C5646" s="35"/>
      <c r="D5646" s="36"/>
      <c r="E5646" s="36"/>
    </row>
    <row r="5647" spans="1:5" x14ac:dyDescent="0.25">
      <c r="A5647" s="28"/>
      <c r="B5647" s="180"/>
      <c r="C5647" s="35"/>
      <c r="D5647" s="36"/>
      <c r="E5647" s="36"/>
    </row>
    <row r="5648" spans="1:5" x14ac:dyDescent="0.25">
      <c r="A5648" s="28"/>
      <c r="B5648" s="180"/>
      <c r="C5648" s="35"/>
      <c r="D5648" s="36"/>
      <c r="E5648" s="36"/>
    </row>
    <row r="5649" spans="1:5" x14ac:dyDescent="0.25">
      <c r="A5649" s="28"/>
      <c r="B5649" s="180"/>
      <c r="C5649" s="35"/>
      <c r="D5649" s="36"/>
      <c r="E5649" s="36"/>
    </row>
    <row r="5650" spans="1:5" x14ac:dyDescent="0.25">
      <c r="A5650" s="28"/>
      <c r="B5650" s="180"/>
      <c r="C5650" s="35"/>
      <c r="D5650" s="36"/>
      <c r="E5650" s="36"/>
    </row>
    <row r="5651" spans="1:5" x14ac:dyDescent="0.25">
      <c r="A5651" s="28"/>
      <c r="B5651" s="180"/>
      <c r="C5651" s="35"/>
      <c r="D5651" s="36"/>
      <c r="E5651" s="36"/>
    </row>
    <row r="5652" spans="1:5" x14ac:dyDescent="0.25">
      <c r="A5652" s="28"/>
      <c r="B5652" s="180"/>
      <c r="C5652" s="35"/>
      <c r="D5652" s="36"/>
      <c r="E5652" s="36"/>
    </row>
    <row r="5653" spans="1:5" x14ac:dyDescent="0.25">
      <c r="A5653" s="28"/>
      <c r="B5653" s="180"/>
      <c r="C5653" s="35"/>
      <c r="D5653" s="36"/>
      <c r="E5653" s="36"/>
    </row>
    <row r="5654" spans="1:5" x14ac:dyDescent="0.25">
      <c r="A5654" s="28"/>
      <c r="B5654" s="180"/>
      <c r="C5654" s="35"/>
      <c r="D5654" s="36"/>
      <c r="E5654" s="36"/>
    </row>
    <row r="5655" spans="1:5" x14ac:dyDescent="0.25">
      <c r="A5655" s="28"/>
      <c r="B5655" s="180"/>
      <c r="C5655" s="35"/>
      <c r="D5655" s="36"/>
      <c r="E5655" s="36"/>
    </row>
    <row r="5656" spans="1:5" x14ac:dyDescent="0.25">
      <c r="A5656" s="28"/>
      <c r="B5656" s="180"/>
      <c r="C5656" s="35"/>
      <c r="D5656" s="36"/>
      <c r="E5656" s="36"/>
    </row>
    <row r="5657" spans="1:5" x14ac:dyDescent="0.25">
      <c r="A5657" s="28"/>
      <c r="B5657" s="180"/>
      <c r="C5657" s="35"/>
      <c r="D5657" s="36"/>
      <c r="E5657" s="36"/>
    </row>
    <row r="5658" spans="1:5" x14ac:dyDescent="0.25">
      <c r="A5658" s="28"/>
      <c r="B5658" s="180"/>
      <c r="C5658" s="35"/>
      <c r="D5658" s="36"/>
      <c r="E5658" s="36"/>
    </row>
    <row r="5659" spans="1:5" x14ac:dyDescent="0.25">
      <c r="A5659" s="28"/>
      <c r="B5659" s="180"/>
      <c r="C5659" s="35"/>
      <c r="D5659" s="36"/>
      <c r="E5659" s="36"/>
    </row>
    <row r="5660" spans="1:5" x14ac:dyDescent="0.25">
      <c r="A5660" s="28"/>
      <c r="B5660" s="180"/>
      <c r="C5660" s="35"/>
      <c r="D5660" s="36"/>
      <c r="E5660" s="36"/>
    </row>
    <row r="5661" spans="1:5" x14ac:dyDescent="0.25">
      <c r="A5661" s="28"/>
      <c r="B5661" s="180"/>
      <c r="C5661" s="35"/>
      <c r="D5661" s="36"/>
      <c r="E5661" s="36"/>
    </row>
    <row r="5662" spans="1:5" x14ac:dyDescent="0.25">
      <c r="A5662" s="28"/>
      <c r="B5662" s="180"/>
      <c r="C5662" s="35"/>
      <c r="D5662" s="36"/>
      <c r="E5662" s="36"/>
    </row>
    <row r="5663" spans="1:5" x14ac:dyDescent="0.25">
      <c r="A5663" s="28"/>
      <c r="B5663" s="180"/>
      <c r="C5663" s="35"/>
      <c r="D5663" s="36"/>
      <c r="E5663" s="36"/>
    </row>
    <row r="5664" spans="1:5" x14ac:dyDescent="0.25">
      <c r="A5664" s="28"/>
      <c r="B5664" s="180"/>
      <c r="C5664" s="35"/>
      <c r="D5664" s="36"/>
      <c r="E5664" s="36"/>
    </row>
    <row r="5665" spans="1:5" x14ac:dyDescent="0.25">
      <c r="A5665" s="28"/>
      <c r="B5665" s="180"/>
      <c r="C5665" s="35"/>
      <c r="D5665" s="36"/>
      <c r="E5665" s="36"/>
    </row>
    <row r="5666" spans="1:5" x14ac:dyDescent="0.25">
      <c r="A5666" s="28"/>
      <c r="B5666" s="180"/>
      <c r="C5666" s="35"/>
      <c r="D5666" s="36"/>
      <c r="E5666" s="36"/>
    </row>
    <row r="5667" spans="1:5" x14ac:dyDescent="0.25">
      <c r="A5667" s="28"/>
      <c r="B5667" s="180"/>
      <c r="C5667" s="35"/>
      <c r="D5667" s="36"/>
      <c r="E5667" s="36"/>
    </row>
    <row r="5668" spans="1:5" x14ac:dyDescent="0.25">
      <c r="A5668" s="28"/>
      <c r="B5668" s="180"/>
      <c r="C5668" s="35"/>
      <c r="D5668" s="36"/>
      <c r="E5668" s="36"/>
    </row>
    <row r="5669" spans="1:5" x14ac:dyDescent="0.25">
      <c r="A5669" s="28"/>
      <c r="B5669" s="180"/>
      <c r="C5669" s="35"/>
      <c r="D5669" s="36"/>
      <c r="E5669" s="36"/>
    </row>
    <row r="5670" spans="1:5" x14ac:dyDescent="0.25">
      <c r="A5670" s="28"/>
      <c r="B5670" s="180"/>
      <c r="C5670" s="35"/>
      <c r="D5670" s="36"/>
      <c r="E5670" s="36"/>
    </row>
    <row r="5671" spans="1:5" x14ac:dyDescent="0.25">
      <c r="A5671" s="28"/>
      <c r="B5671" s="180"/>
      <c r="C5671" s="35"/>
      <c r="D5671" s="36"/>
      <c r="E5671" s="36"/>
    </row>
    <row r="5672" spans="1:5" x14ac:dyDescent="0.25">
      <c r="A5672" s="28"/>
      <c r="B5672" s="180"/>
      <c r="C5672" s="35"/>
      <c r="D5672" s="36"/>
      <c r="E5672" s="36"/>
    </row>
    <row r="5673" spans="1:5" x14ac:dyDescent="0.25">
      <c r="A5673" s="28"/>
      <c r="B5673" s="180"/>
      <c r="C5673" s="35"/>
      <c r="D5673" s="36"/>
      <c r="E5673" s="36"/>
    </row>
    <row r="5674" spans="1:5" x14ac:dyDescent="0.25">
      <c r="A5674" s="28"/>
      <c r="B5674" s="180"/>
      <c r="C5674" s="35"/>
      <c r="D5674" s="36"/>
      <c r="E5674" s="36"/>
    </row>
    <row r="5675" spans="1:5" x14ac:dyDescent="0.25">
      <c r="A5675" s="28"/>
      <c r="B5675" s="180"/>
      <c r="C5675" s="35"/>
      <c r="D5675" s="36"/>
      <c r="E5675" s="36"/>
    </row>
    <row r="5676" spans="1:5" x14ac:dyDescent="0.25">
      <c r="A5676" s="28"/>
      <c r="B5676" s="180"/>
      <c r="C5676" s="35"/>
      <c r="D5676" s="36"/>
      <c r="E5676" s="36"/>
    </row>
    <row r="5677" spans="1:5" x14ac:dyDescent="0.25">
      <c r="A5677" s="28"/>
      <c r="B5677" s="180"/>
      <c r="C5677" s="35"/>
      <c r="D5677" s="36"/>
      <c r="E5677" s="36"/>
    </row>
    <row r="5678" spans="1:5" x14ac:dyDescent="0.25">
      <c r="A5678" s="28"/>
      <c r="B5678" s="180"/>
      <c r="C5678" s="35"/>
      <c r="D5678" s="36"/>
      <c r="E5678" s="36"/>
    </row>
    <row r="5679" spans="1:5" x14ac:dyDescent="0.25">
      <c r="A5679" s="28"/>
      <c r="B5679" s="180"/>
      <c r="C5679" s="35"/>
      <c r="D5679" s="36"/>
      <c r="E5679" s="36"/>
    </row>
    <row r="5680" spans="1:5" x14ac:dyDescent="0.25">
      <c r="A5680" s="28"/>
      <c r="B5680" s="180"/>
      <c r="C5680" s="35"/>
      <c r="D5680" s="36"/>
      <c r="E5680" s="36"/>
    </row>
    <row r="5681" spans="1:5" x14ac:dyDescent="0.25">
      <c r="A5681" s="28"/>
      <c r="B5681" s="180"/>
      <c r="C5681" s="35"/>
      <c r="D5681" s="36"/>
      <c r="E5681" s="36"/>
    </row>
    <row r="5682" spans="1:5" x14ac:dyDescent="0.25">
      <c r="A5682" s="28"/>
      <c r="B5682" s="180"/>
      <c r="C5682" s="35"/>
      <c r="D5682" s="36"/>
      <c r="E5682" s="36"/>
    </row>
    <row r="5683" spans="1:5" x14ac:dyDescent="0.25">
      <c r="A5683" s="28"/>
      <c r="B5683" s="180"/>
      <c r="C5683" s="35"/>
      <c r="D5683" s="36"/>
      <c r="E5683" s="36"/>
    </row>
    <row r="5684" spans="1:5" x14ac:dyDescent="0.25">
      <c r="A5684" s="28"/>
      <c r="B5684" s="180"/>
      <c r="C5684" s="35"/>
      <c r="D5684" s="36"/>
      <c r="E5684" s="36"/>
    </row>
    <row r="5685" spans="1:5" x14ac:dyDescent="0.25">
      <c r="A5685" s="28"/>
      <c r="B5685" s="180"/>
      <c r="C5685" s="35"/>
      <c r="D5685" s="36"/>
      <c r="E5685" s="36"/>
    </row>
    <row r="5686" spans="1:5" x14ac:dyDescent="0.25">
      <c r="A5686" s="28"/>
      <c r="B5686" s="180"/>
      <c r="C5686" s="35"/>
      <c r="D5686" s="36"/>
      <c r="E5686" s="36"/>
    </row>
    <row r="5687" spans="1:5" x14ac:dyDescent="0.25">
      <c r="A5687" s="28"/>
      <c r="B5687" s="180"/>
      <c r="C5687" s="35"/>
      <c r="D5687" s="36"/>
      <c r="E5687" s="36"/>
    </row>
    <row r="5688" spans="1:5" x14ac:dyDescent="0.25">
      <c r="A5688" s="28"/>
      <c r="B5688" s="180"/>
      <c r="C5688" s="35"/>
      <c r="D5688" s="36"/>
      <c r="E5688" s="36"/>
    </row>
    <row r="5689" spans="1:5" x14ac:dyDescent="0.25">
      <c r="A5689" s="28"/>
      <c r="B5689" s="180"/>
      <c r="C5689" s="35"/>
      <c r="D5689" s="36"/>
      <c r="E5689" s="36"/>
    </row>
    <row r="5690" spans="1:5" x14ac:dyDescent="0.25">
      <c r="A5690" s="28"/>
      <c r="B5690" s="180"/>
      <c r="C5690" s="35"/>
      <c r="D5690" s="36"/>
      <c r="E5690" s="36"/>
    </row>
    <row r="5691" spans="1:5" x14ac:dyDescent="0.25">
      <c r="A5691" s="28"/>
      <c r="B5691" s="180"/>
      <c r="C5691" s="35"/>
      <c r="D5691" s="36"/>
      <c r="E5691" s="36"/>
    </row>
    <row r="5692" spans="1:5" x14ac:dyDescent="0.25">
      <c r="A5692" s="28"/>
      <c r="B5692" s="180"/>
      <c r="C5692" s="35"/>
      <c r="D5692" s="36"/>
      <c r="E5692" s="36"/>
    </row>
    <row r="5693" spans="1:5" x14ac:dyDescent="0.25">
      <c r="A5693" s="28"/>
      <c r="B5693" s="180"/>
      <c r="C5693" s="35"/>
      <c r="D5693" s="36"/>
      <c r="E5693" s="36"/>
    </row>
    <row r="5694" spans="1:5" x14ac:dyDescent="0.25">
      <c r="A5694" s="28"/>
      <c r="B5694" s="180"/>
      <c r="C5694" s="35"/>
      <c r="D5694" s="36"/>
      <c r="E5694" s="36"/>
    </row>
    <row r="5695" spans="1:5" x14ac:dyDescent="0.25">
      <c r="A5695" s="28"/>
      <c r="B5695" s="180"/>
      <c r="C5695" s="35"/>
      <c r="D5695" s="36"/>
      <c r="E5695" s="36"/>
    </row>
    <row r="5696" spans="1:5" x14ac:dyDescent="0.25">
      <c r="A5696" s="28"/>
      <c r="B5696" s="180"/>
      <c r="C5696" s="35"/>
      <c r="D5696" s="36"/>
      <c r="E5696" s="36"/>
    </row>
    <row r="5697" spans="1:5" x14ac:dyDescent="0.25">
      <c r="A5697" s="28"/>
      <c r="B5697" s="180"/>
      <c r="C5697" s="35"/>
      <c r="D5697" s="36"/>
      <c r="E5697" s="36"/>
    </row>
    <row r="5698" spans="1:5" x14ac:dyDescent="0.25">
      <c r="A5698" s="28"/>
      <c r="B5698" s="180"/>
      <c r="C5698" s="35"/>
      <c r="D5698" s="36"/>
      <c r="E5698" s="36"/>
    </row>
    <row r="5699" spans="1:5" x14ac:dyDescent="0.25">
      <c r="A5699" s="28"/>
      <c r="B5699" s="180"/>
      <c r="C5699" s="35"/>
      <c r="D5699" s="36"/>
      <c r="E5699" s="36"/>
    </row>
    <row r="5700" spans="1:5" x14ac:dyDescent="0.25">
      <c r="A5700" s="28"/>
      <c r="B5700" s="180"/>
      <c r="C5700" s="35"/>
      <c r="D5700" s="36"/>
      <c r="E5700" s="36"/>
    </row>
    <row r="5701" spans="1:5" x14ac:dyDescent="0.25">
      <c r="A5701" s="28"/>
      <c r="B5701" s="180"/>
      <c r="C5701" s="35"/>
      <c r="D5701" s="36"/>
      <c r="E5701" s="36"/>
    </row>
    <row r="5702" spans="1:5" x14ac:dyDescent="0.25">
      <c r="A5702" s="28"/>
      <c r="B5702" s="180"/>
      <c r="C5702" s="35"/>
      <c r="D5702" s="36"/>
      <c r="E5702" s="36"/>
    </row>
    <row r="5703" spans="1:5" x14ac:dyDescent="0.25">
      <c r="A5703" s="28"/>
      <c r="B5703" s="180"/>
      <c r="C5703" s="35"/>
      <c r="D5703" s="36"/>
      <c r="E5703" s="36"/>
    </row>
    <row r="5704" spans="1:5" x14ac:dyDescent="0.25">
      <c r="A5704" s="28"/>
      <c r="B5704" s="180"/>
      <c r="C5704" s="35"/>
      <c r="D5704" s="36"/>
      <c r="E5704" s="36"/>
    </row>
    <row r="5705" spans="1:5" x14ac:dyDescent="0.25">
      <c r="A5705" s="28"/>
      <c r="B5705" s="180"/>
      <c r="C5705" s="35"/>
      <c r="D5705" s="36"/>
      <c r="E5705" s="36"/>
    </row>
    <row r="5706" spans="1:5" x14ac:dyDescent="0.25">
      <c r="A5706" s="28"/>
      <c r="B5706" s="180"/>
      <c r="C5706" s="35"/>
      <c r="D5706" s="36"/>
      <c r="E5706" s="36"/>
    </row>
    <row r="5707" spans="1:5" x14ac:dyDescent="0.25">
      <c r="A5707" s="28"/>
      <c r="B5707" s="180"/>
      <c r="C5707" s="35"/>
      <c r="D5707" s="36"/>
      <c r="E5707" s="36"/>
    </row>
    <row r="5708" spans="1:5" x14ac:dyDescent="0.25">
      <c r="A5708" s="28"/>
      <c r="B5708" s="180"/>
      <c r="C5708" s="35"/>
      <c r="D5708" s="36"/>
      <c r="E5708" s="36"/>
    </row>
    <row r="5709" spans="1:5" x14ac:dyDescent="0.25">
      <c r="A5709" s="28"/>
      <c r="B5709" s="180"/>
      <c r="C5709" s="35"/>
      <c r="D5709" s="36"/>
      <c r="E5709" s="36"/>
    </row>
    <row r="5710" spans="1:5" x14ac:dyDescent="0.25">
      <c r="A5710" s="28"/>
      <c r="B5710" s="180"/>
      <c r="C5710" s="35"/>
      <c r="D5710" s="36"/>
      <c r="E5710" s="36"/>
    </row>
    <row r="5711" spans="1:5" x14ac:dyDescent="0.25">
      <c r="A5711" s="28"/>
      <c r="B5711" s="180"/>
      <c r="C5711" s="35"/>
      <c r="D5711" s="36"/>
      <c r="E5711" s="36"/>
    </row>
    <row r="5712" spans="1:5" x14ac:dyDescent="0.25">
      <c r="A5712" s="28"/>
      <c r="B5712" s="180"/>
      <c r="C5712" s="35"/>
      <c r="D5712" s="36"/>
      <c r="E5712" s="36"/>
    </row>
    <row r="5713" spans="1:5" x14ac:dyDescent="0.25">
      <c r="A5713" s="28"/>
      <c r="B5713" s="180"/>
      <c r="C5713" s="35"/>
      <c r="D5713" s="36"/>
      <c r="E5713" s="36"/>
    </row>
    <row r="5714" spans="1:5" x14ac:dyDescent="0.25">
      <c r="A5714" s="28"/>
      <c r="B5714" s="180"/>
      <c r="C5714" s="35"/>
      <c r="D5714" s="36"/>
      <c r="E5714" s="36"/>
    </row>
    <row r="5715" spans="1:5" x14ac:dyDescent="0.25">
      <c r="A5715" s="28"/>
      <c r="B5715" s="180"/>
      <c r="C5715" s="35"/>
      <c r="D5715" s="36"/>
      <c r="E5715" s="36"/>
    </row>
    <row r="5716" spans="1:5" x14ac:dyDescent="0.25">
      <c r="A5716" s="28"/>
      <c r="B5716" s="180"/>
      <c r="C5716" s="35"/>
      <c r="D5716" s="36"/>
      <c r="E5716" s="36"/>
    </row>
    <row r="5717" spans="1:5" x14ac:dyDescent="0.25">
      <c r="A5717" s="28"/>
      <c r="B5717" s="180"/>
      <c r="C5717" s="35"/>
      <c r="D5717" s="36"/>
      <c r="E5717" s="36"/>
    </row>
    <row r="5718" spans="1:5" x14ac:dyDescent="0.25">
      <c r="A5718" s="28"/>
      <c r="B5718" s="180"/>
      <c r="C5718" s="35"/>
      <c r="D5718" s="36"/>
      <c r="E5718" s="36"/>
    </row>
    <row r="5719" spans="1:5" x14ac:dyDescent="0.25">
      <c r="A5719" s="28"/>
      <c r="B5719" s="180"/>
      <c r="C5719" s="35"/>
      <c r="D5719" s="36"/>
      <c r="E5719" s="36"/>
    </row>
    <row r="5720" spans="1:5" x14ac:dyDescent="0.25">
      <c r="A5720" s="28"/>
      <c r="B5720" s="180"/>
      <c r="C5720" s="35"/>
      <c r="D5720" s="36"/>
      <c r="E5720" s="36"/>
    </row>
    <row r="5721" spans="1:5" x14ac:dyDescent="0.25">
      <c r="A5721" s="28"/>
      <c r="B5721" s="180"/>
      <c r="C5721" s="35"/>
      <c r="D5721" s="36"/>
      <c r="E5721" s="36"/>
    </row>
    <row r="5722" spans="1:5" x14ac:dyDescent="0.25">
      <c r="A5722" s="28"/>
      <c r="B5722" s="180"/>
      <c r="C5722" s="35"/>
      <c r="D5722" s="36"/>
      <c r="E5722" s="36"/>
    </row>
    <row r="5723" spans="1:5" x14ac:dyDescent="0.25">
      <c r="A5723" s="28"/>
      <c r="B5723" s="180"/>
      <c r="C5723" s="35"/>
      <c r="D5723" s="36"/>
      <c r="E5723" s="36"/>
    </row>
    <row r="5724" spans="1:5" x14ac:dyDescent="0.25">
      <c r="A5724" s="28"/>
      <c r="B5724" s="180"/>
      <c r="C5724" s="35"/>
      <c r="D5724" s="36"/>
      <c r="E5724" s="36"/>
    </row>
    <row r="5725" spans="1:5" x14ac:dyDescent="0.25">
      <c r="A5725" s="28"/>
      <c r="B5725" s="180"/>
      <c r="C5725" s="35"/>
      <c r="D5725" s="36"/>
      <c r="E5725" s="36"/>
    </row>
    <row r="5726" spans="1:5" x14ac:dyDescent="0.25">
      <c r="A5726" s="28"/>
      <c r="B5726" s="180"/>
      <c r="C5726" s="35"/>
      <c r="D5726" s="36"/>
      <c r="E5726" s="36"/>
    </row>
    <row r="5727" spans="1:5" x14ac:dyDescent="0.25">
      <c r="A5727" s="28"/>
      <c r="B5727" s="180"/>
      <c r="C5727" s="35"/>
      <c r="D5727" s="36"/>
      <c r="E5727" s="36"/>
    </row>
    <row r="5728" spans="1:5" x14ac:dyDescent="0.25">
      <c r="A5728" s="28"/>
      <c r="B5728" s="180"/>
      <c r="C5728" s="35"/>
      <c r="D5728" s="36"/>
      <c r="E5728" s="36"/>
    </row>
    <row r="5729" spans="1:5" x14ac:dyDescent="0.25">
      <c r="A5729" s="28"/>
      <c r="B5729" s="180"/>
      <c r="C5729" s="35"/>
      <c r="D5729" s="36"/>
      <c r="E5729" s="36"/>
    </row>
    <row r="5730" spans="1:5" x14ac:dyDescent="0.25">
      <c r="A5730" s="28"/>
      <c r="B5730" s="180"/>
      <c r="C5730" s="35"/>
      <c r="D5730" s="36"/>
      <c r="E5730" s="36"/>
    </row>
    <row r="5731" spans="1:5" x14ac:dyDescent="0.25">
      <c r="A5731" s="28"/>
      <c r="B5731" s="180"/>
      <c r="C5731" s="35"/>
      <c r="D5731" s="36"/>
      <c r="E5731" s="36"/>
    </row>
    <row r="5732" spans="1:5" x14ac:dyDescent="0.25">
      <c r="A5732" s="28"/>
      <c r="B5732" s="180"/>
      <c r="C5732" s="35"/>
      <c r="D5732" s="36"/>
      <c r="E5732" s="36"/>
    </row>
    <row r="5733" spans="1:5" x14ac:dyDescent="0.25">
      <c r="A5733" s="28"/>
      <c r="B5733" s="180"/>
      <c r="C5733" s="35"/>
      <c r="D5733" s="36"/>
      <c r="E5733" s="36"/>
    </row>
    <row r="5734" spans="1:5" x14ac:dyDescent="0.25">
      <c r="A5734" s="28"/>
      <c r="B5734" s="180"/>
      <c r="C5734" s="35"/>
      <c r="D5734" s="36"/>
      <c r="E5734" s="36"/>
    </row>
    <row r="5735" spans="1:5" x14ac:dyDescent="0.25">
      <c r="A5735" s="28"/>
      <c r="B5735" s="180"/>
      <c r="C5735" s="35"/>
      <c r="D5735" s="36"/>
      <c r="E5735" s="36"/>
    </row>
    <row r="5736" spans="1:5" x14ac:dyDescent="0.25">
      <c r="A5736" s="28"/>
      <c r="B5736" s="180"/>
      <c r="C5736" s="35"/>
      <c r="D5736" s="36"/>
      <c r="E5736" s="36"/>
    </row>
    <row r="5737" spans="1:5" x14ac:dyDescent="0.25">
      <c r="A5737" s="28"/>
      <c r="B5737" s="180"/>
      <c r="C5737" s="35"/>
      <c r="D5737" s="36"/>
      <c r="E5737" s="36"/>
    </row>
    <row r="5738" spans="1:5" x14ac:dyDescent="0.25">
      <c r="A5738" s="28"/>
      <c r="B5738" s="180"/>
      <c r="C5738" s="35"/>
      <c r="D5738" s="36"/>
      <c r="E5738" s="36"/>
    </row>
    <row r="5739" spans="1:5" x14ac:dyDescent="0.25">
      <c r="A5739" s="28"/>
      <c r="B5739" s="180"/>
      <c r="C5739" s="35"/>
      <c r="D5739" s="36"/>
      <c r="E5739" s="36"/>
    </row>
    <row r="5740" spans="1:5" x14ac:dyDescent="0.25">
      <c r="A5740" s="28"/>
      <c r="B5740" s="180"/>
      <c r="C5740" s="35"/>
      <c r="D5740" s="36"/>
      <c r="E5740" s="36"/>
    </row>
    <row r="5741" spans="1:5" x14ac:dyDescent="0.25">
      <c r="A5741" s="28"/>
      <c r="B5741" s="180"/>
      <c r="C5741" s="35"/>
      <c r="D5741" s="36"/>
      <c r="E5741" s="36"/>
    </row>
    <row r="5742" spans="1:5" x14ac:dyDescent="0.25">
      <c r="A5742" s="28"/>
      <c r="B5742" s="180"/>
      <c r="C5742" s="35"/>
      <c r="D5742" s="36"/>
      <c r="E5742" s="36"/>
    </row>
    <row r="5743" spans="1:5" x14ac:dyDescent="0.25">
      <c r="A5743" s="28"/>
      <c r="B5743" s="180"/>
      <c r="C5743" s="35"/>
      <c r="D5743" s="36"/>
      <c r="E5743" s="36"/>
    </row>
    <row r="5744" spans="1:5" x14ac:dyDescent="0.25">
      <c r="A5744" s="28"/>
      <c r="B5744" s="180"/>
      <c r="C5744" s="35"/>
      <c r="D5744" s="36"/>
      <c r="E5744" s="36"/>
    </row>
    <row r="5745" spans="1:5" x14ac:dyDescent="0.25">
      <c r="A5745" s="28"/>
      <c r="B5745" s="180"/>
      <c r="C5745" s="35"/>
      <c r="D5745" s="36"/>
      <c r="E5745" s="36"/>
    </row>
    <row r="5746" spans="1:5" x14ac:dyDescent="0.25">
      <c r="A5746" s="28"/>
      <c r="B5746" s="180"/>
      <c r="C5746" s="35"/>
      <c r="D5746" s="36"/>
      <c r="E5746" s="36"/>
    </row>
    <row r="5747" spans="1:5" x14ac:dyDescent="0.25">
      <c r="A5747" s="28"/>
      <c r="B5747" s="180"/>
      <c r="C5747" s="35"/>
      <c r="D5747" s="36"/>
      <c r="E5747" s="36"/>
    </row>
    <row r="5748" spans="1:5" x14ac:dyDescent="0.25">
      <c r="A5748" s="28"/>
      <c r="B5748" s="180"/>
      <c r="C5748" s="35"/>
      <c r="D5748" s="36"/>
      <c r="E5748" s="36"/>
    </row>
    <row r="5749" spans="1:5" x14ac:dyDescent="0.25">
      <c r="A5749" s="28"/>
      <c r="B5749" s="180"/>
      <c r="C5749" s="35"/>
      <c r="D5749" s="36"/>
      <c r="E5749" s="36"/>
    </row>
    <row r="5750" spans="1:5" x14ac:dyDescent="0.25">
      <c r="A5750" s="28"/>
      <c r="B5750" s="180"/>
      <c r="C5750" s="35"/>
      <c r="D5750" s="36"/>
      <c r="E5750" s="36"/>
    </row>
    <row r="5751" spans="1:5" x14ac:dyDescent="0.25">
      <c r="A5751" s="28"/>
      <c r="B5751" s="180"/>
      <c r="C5751" s="35"/>
      <c r="D5751" s="36"/>
      <c r="E5751" s="36"/>
    </row>
    <row r="5752" spans="1:5" x14ac:dyDescent="0.25">
      <c r="A5752" s="28"/>
      <c r="B5752" s="180"/>
      <c r="C5752" s="35"/>
      <c r="D5752" s="36"/>
      <c r="E5752" s="36"/>
    </row>
    <row r="5753" spans="1:5" x14ac:dyDescent="0.25">
      <c r="A5753" s="28"/>
      <c r="B5753" s="180"/>
      <c r="C5753" s="35"/>
      <c r="D5753" s="36"/>
      <c r="E5753" s="36"/>
    </row>
    <row r="5754" spans="1:5" x14ac:dyDescent="0.25">
      <c r="A5754" s="28"/>
      <c r="B5754" s="180"/>
      <c r="C5754" s="35"/>
      <c r="D5754" s="36"/>
      <c r="E5754" s="36"/>
    </row>
    <row r="5755" spans="1:5" x14ac:dyDescent="0.25">
      <c r="A5755" s="28"/>
      <c r="B5755" s="180"/>
      <c r="C5755" s="35"/>
      <c r="D5755" s="36"/>
      <c r="E5755" s="36"/>
    </row>
    <row r="5756" spans="1:5" x14ac:dyDescent="0.25">
      <c r="A5756" s="28"/>
      <c r="B5756" s="180"/>
      <c r="C5756" s="35"/>
      <c r="D5756" s="36"/>
      <c r="E5756" s="36"/>
    </row>
    <row r="5757" spans="1:5" x14ac:dyDescent="0.25">
      <c r="A5757" s="28"/>
      <c r="B5757" s="180"/>
      <c r="C5757" s="35"/>
      <c r="D5757" s="36"/>
      <c r="E5757" s="36"/>
    </row>
    <row r="5758" spans="1:5" x14ac:dyDescent="0.25">
      <c r="A5758" s="28"/>
      <c r="B5758" s="180"/>
      <c r="C5758" s="35"/>
      <c r="D5758" s="36"/>
      <c r="E5758" s="36"/>
    </row>
    <row r="5759" spans="1:5" x14ac:dyDescent="0.25">
      <c r="A5759" s="28"/>
      <c r="B5759" s="180"/>
      <c r="C5759" s="35"/>
      <c r="D5759" s="36"/>
      <c r="E5759" s="36"/>
    </row>
    <row r="5760" spans="1:5" x14ac:dyDescent="0.25">
      <c r="A5760" s="28"/>
      <c r="B5760" s="180"/>
      <c r="C5760" s="35"/>
      <c r="D5760" s="36"/>
      <c r="E5760" s="36"/>
    </row>
    <row r="5761" spans="1:5" x14ac:dyDescent="0.25">
      <c r="A5761" s="28"/>
      <c r="B5761" s="180"/>
      <c r="C5761" s="35"/>
      <c r="D5761" s="36"/>
      <c r="E5761" s="36"/>
    </row>
    <row r="5762" spans="1:5" x14ac:dyDescent="0.25">
      <c r="A5762" s="28"/>
      <c r="B5762" s="180"/>
      <c r="C5762" s="35"/>
      <c r="D5762" s="36"/>
      <c r="E5762" s="36"/>
    </row>
    <row r="5763" spans="1:5" x14ac:dyDescent="0.25">
      <c r="A5763" s="28"/>
      <c r="B5763" s="180"/>
      <c r="C5763" s="35"/>
      <c r="D5763" s="36"/>
      <c r="E5763" s="36"/>
    </row>
    <row r="5764" spans="1:5" x14ac:dyDescent="0.25">
      <c r="A5764" s="28"/>
      <c r="B5764" s="180"/>
      <c r="C5764" s="35"/>
      <c r="D5764" s="36"/>
      <c r="E5764" s="36"/>
    </row>
    <row r="5765" spans="1:5" x14ac:dyDescent="0.25">
      <c r="A5765" s="28"/>
      <c r="B5765" s="180"/>
      <c r="C5765" s="35"/>
      <c r="D5765" s="36"/>
      <c r="E5765" s="36"/>
    </row>
    <row r="5766" spans="1:5" x14ac:dyDescent="0.25">
      <c r="A5766" s="28"/>
      <c r="B5766" s="180"/>
      <c r="C5766" s="35"/>
      <c r="D5766" s="36"/>
      <c r="E5766" s="36"/>
    </row>
    <row r="5767" spans="1:5" x14ac:dyDescent="0.25">
      <c r="A5767" s="28"/>
      <c r="B5767" s="180"/>
      <c r="C5767" s="35"/>
      <c r="D5767" s="36"/>
      <c r="E5767" s="36"/>
    </row>
    <row r="5768" spans="1:5" x14ac:dyDescent="0.25">
      <c r="A5768" s="28"/>
      <c r="B5768" s="180"/>
      <c r="C5768" s="35"/>
      <c r="D5768" s="36"/>
      <c r="E5768" s="36"/>
    </row>
    <row r="5769" spans="1:5" x14ac:dyDescent="0.25">
      <c r="A5769" s="28"/>
      <c r="B5769" s="180"/>
      <c r="C5769" s="35"/>
      <c r="D5769" s="36"/>
      <c r="E5769" s="36"/>
    </row>
    <row r="5770" spans="1:5" x14ac:dyDescent="0.25">
      <c r="A5770" s="28"/>
      <c r="B5770" s="180"/>
      <c r="C5770" s="35"/>
      <c r="D5770" s="36"/>
      <c r="E5770" s="36"/>
    </row>
    <row r="5771" spans="1:5" x14ac:dyDescent="0.25">
      <c r="A5771" s="28"/>
      <c r="B5771" s="180"/>
      <c r="C5771" s="35"/>
      <c r="D5771" s="36"/>
      <c r="E5771" s="36"/>
    </row>
    <row r="5772" spans="1:5" x14ac:dyDescent="0.25">
      <c r="A5772" s="28"/>
      <c r="B5772" s="180"/>
      <c r="C5772" s="35"/>
      <c r="D5772" s="36"/>
      <c r="E5772" s="36"/>
    </row>
    <row r="5773" spans="1:5" x14ac:dyDescent="0.25">
      <c r="A5773" s="28"/>
      <c r="B5773" s="180"/>
      <c r="C5773" s="35"/>
      <c r="D5773" s="36"/>
      <c r="E5773" s="36"/>
    </row>
    <row r="5774" spans="1:5" x14ac:dyDescent="0.25">
      <c r="A5774" s="28"/>
      <c r="B5774" s="180"/>
      <c r="C5774" s="35"/>
      <c r="D5774" s="36"/>
      <c r="E5774" s="36"/>
    </row>
    <row r="5775" spans="1:5" x14ac:dyDescent="0.25">
      <c r="A5775" s="28"/>
      <c r="B5775" s="180"/>
      <c r="C5775" s="35"/>
      <c r="D5775" s="36"/>
      <c r="E5775" s="36"/>
    </row>
    <row r="5776" spans="1:5" x14ac:dyDescent="0.25">
      <c r="A5776" s="28"/>
      <c r="B5776" s="180"/>
      <c r="C5776" s="35"/>
      <c r="D5776" s="36"/>
      <c r="E5776" s="36"/>
    </row>
    <row r="5777" spans="1:5" x14ac:dyDescent="0.25">
      <c r="A5777" s="28"/>
      <c r="B5777" s="180"/>
      <c r="C5777" s="35"/>
      <c r="D5777" s="36"/>
      <c r="E5777" s="36"/>
    </row>
    <row r="5778" spans="1:5" x14ac:dyDescent="0.25">
      <c r="A5778" s="28"/>
      <c r="B5778" s="180"/>
      <c r="C5778" s="35"/>
      <c r="D5778" s="36"/>
      <c r="E5778" s="36"/>
    </row>
    <row r="5779" spans="1:5" x14ac:dyDescent="0.25">
      <c r="A5779" s="28"/>
      <c r="B5779" s="180"/>
      <c r="C5779" s="35"/>
      <c r="D5779" s="36"/>
      <c r="E5779" s="36"/>
    </row>
    <row r="5780" spans="1:5" x14ac:dyDescent="0.25">
      <c r="A5780" s="28"/>
      <c r="B5780" s="180"/>
      <c r="C5780" s="35"/>
      <c r="D5780" s="36"/>
      <c r="E5780" s="36"/>
    </row>
    <row r="5781" spans="1:5" x14ac:dyDescent="0.25">
      <c r="A5781" s="28"/>
      <c r="B5781" s="180"/>
      <c r="C5781" s="35"/>
      <c r="D5781" s="36"/>
      <c r="E5781" s="36"/>
    </row>
    <row r="5782" spans="1:5" x14ac:dyDescent="0.25">
      <c r="A5782" s="28"/>
      <c r="B5782" s="180"/>
      <c r="C5782" s="35"/>
      <c r="D5782" s="36"/>
      <c r="E5782" s="36"/>
    </row>
    <row r="5783" spans="1:5" x14ac:dyDescent="0.25">
      <c r="A5783" s="28"/>
      <c r="B5783" s="180"/>
      <c r="C5783" s="35"/>
      <c r="D5783" s="36"/>
      <c r="E5783" s="36"/>
    </row>
    <row r="5784" spans="1:5" x14ac:dyDescent="0.25">
      <c r="A5784" s="28"/>
      <c r="B5784" s="180"/>
      <c r="C5784" s="35"/>
      <c r="D5784" s="36"/>
      <c r="E5784" s="36"/>
    </row>
    <row r="5785" spans="1:5" x14ac:dyDescent="0.25">
      <c r="A5785" s="28"/>
      <c r="B5785" s="180"/>
      <c r="C5785" s="35"/>
      <c r="D5785" s="36"/>
      <c r="E5785" s="36"/>
    </row>
    <row r="5786" spans="1:5" x14ac:dyDescent="0.25">
      <c r="A5786" s="28"/>
      <c r="B5786" s="180"/>
      <c r="C5786" s="35"/>
      <c r="D5786" s="36"/>
      <c r="E5786" s="36"/>
    </row>
    <row r="5787" spans="1:5" x14ac:dyDescent="0.25">
      <c r="A5787" s="28"/>
      <c r="B5787" s="180"/>
      <c r="C5787" s="35"/>
      <c r="D5787" s="36"/>
      <c r="E5787" s="36"/>
    </row>
    <row r="5788" spans="1:5" x14ac:dyDescent="0.25">
      <c r="A5788" s="28"/>
      <c r="B5788" s="180"/>
      <c r="C5788" s="35"/>
      <c r="D5788" s="36"/>
      <c r="E5788" s="36"/>
    </row>
    <row r="5789" spans="1:5" x14ac:dyDescent="0.25">
      <c r="A5789" s="28"/>
      <c r="B5789" s="180"/>
      <c r="C5789" s="35"/>
      <c r="D5789" s="36"/>
      <c r="E5789" s="36"/>
    </row>
    <row r="5790" spans="1:5" x14ac:dyDescent="0.25">
      <c r="A5790" s="28"/>
      <c r="B5790" s="180"/>
      <c r="C5790" s="35"/>
      <c r="D5790" s="36"/>
      <c r="E5790" s="36"/>
    </row>
    <row r="5791" spans="1:5" x14ac:dyDescent="0.25">
      <c r="A5791" s="28"/>
      <c r="B5791" s="180"/>
      <c r="C5791" s="35"/>
      <c r="D5791" s="36"/>
      <c r="E5791" s="36"/>
    </row>
    <row r="5792" spans="1:5" x14ac:dyDescent="0.25">
      <c r="A5792" s="28"/>
      <c r="B5792" s="180"/>
      <c r="C5792" s="35"/>
      <c r="D5792" s="36"/>
      <c r="E5792" s="36"/>
    </row>
    <row r="5793" spans="1:5" x14ac:dyDescent="0.25">
      <c r="A5793" s="28"/>
      <c r="B5793" s="180"/>
      <c r="C5793" s="35"/>
      <c r="D5793" s="36"/>
      <c r="E5793" s="36"/>
    </row>
    <row r="5794" spans="1:5" x14ac:dyDescent="0.25">
      <c r="A5794" s="28"/>
      <c r="B5794" s="180"/>
      <c r="C5794" s="35"/>
      <c r="D5794" s="36"/>
      <c r="E5794" s="36"/>
    </row>
    <row r="5795" spans="1:5" x14ac:dyDescent="0.25">
      <c r="A5795" s="28"/>
      <c r="B5795" s="180"/>
      <c r="C5795" s="35"/>
      <c r="D5795" s="36"/>
      <c r="E5795" s="36"/>
    </row>
    <row r="5796" spans="1:5" x14ac:dyDescent="0.25">
      <c r="A5796" s="28"/>
      <c r="B5796" s="180"/>
      <c r="C5796" s="35"/>
      <c r="D5796" s="36"/>
      <c r="E5796" s="36"/>
    </row>
    <row r="5797" spans="1:5" x14ac:dyDescent="0.25">
      <c r="A5797" s="28"/>
      <c r="B5797" s="180"/>
      <c r="C5797" s="35"/>
      <c r="D5797" s="36"/>
      <c r="E5797" s="36"/>
    </row>
    <row r="5798" spans="1:5" x14ac:dyDescent="0.25">
      <c r="A5798" s="28"/>
      <c r="B5798" s="180"/>
      <c r="C5798" s="35"/>
      <c r="D5798" s="36"/>
      <c r="E5798" s="36"/>
    </row>
    <row r="5799" spans="1:5" x14ac:dyDescent="0.25">
      <c r="A5799" s="28"/>
      <c r="B5799" s="180"/>
      <c r="C5799" s="35"/>
      <c r="D5799" s="36"/>
      <c r="E5799" s="36"/>
    </row>
    <row r="5800" spans="1:5" x14ac:dyDescent="0.25">
      <c r="A5800" s="28"/>
      <c r="B5800" s="180"/>
      <c r="C5800" s="35"/>
      <c r="D5800" s="36"/>
      <c r="E5800" s="36"/>
    </row>
    <row r="5801" spans="1:5" x14ac:dyDescent="0.25">
      <c r="A5801" s="28"/>
      <c r="B5801" s="180"/>
      <c r="C5801" s="35"/>
      <c r="D5801" s="36"/>
      <c r="E5801" s="36"/>
    </row>
    <row r="5802" spans="1:5" x14ac:dyDescent="0.25">
      <c r="A5802" s="28"/>
      <c r="B5802" s="180"/>
      <c r="C5802" s="35"/>
      <c r="D5802" s="36"/>
      <c r="E5802" s="36"/>
    </row>
    <row r="5803" spans="1:5" x14ac:dyDescent="0.25">
      <c r="A5803" s="28"/>
      <c r="B5803" s="180"/>
      <c r="C5803" s="35"/>
      <c r="D5803" s="36"/>
      <c r="E5803" s="36"/>
    </row>
    <row r="5804" spans="1:5" x14ac:dyDescent="0.25">
      <c r="A5804" s="28"/>
      <c r="B5804" s="180"/>
      <c r="C5804" s="35"/>
      <c r="D5804" s="36"/>
      <c r="E5804" s="36"/>
    </row>
    <row r="5805" spans="1:5" x14ac:dyDescent="0.25">
      <c r="A5805" s="28"/>
      <c r="B5805" s="180"/>
      <c r="C5805" s="35"/>
      <c r="D5805" s="36"/>
      <c r="E5805" s="36"/>
    </row>
    <row r="5806" spans="1:5" x14ac:dyDescent="0.25">
      <c r="A5806" s="28"/>
      <c r="B5806" s="180"/>
      <c r="C5806" s="35"/>
      <c r="D5806" s="36"/>
      <c r="E5806" s="36"/>
    </row>
    <row r="5807" spans="1:5" x14ac:dyDescent="0.25">
      <c r="A5807" s="28"/>
      <c r="B5807" s="180"/>
      <c r="C5807" s="35"/>
      <c r="D5807" s="36"/>
      <c r="E5807" s="36"/>
    </row>
    <row r="5808" spans="1:5" x14ac:dyDescent="0.25">
      <c r="A5808" s="28"/>
      <c r="B5808" s="180"/>
      <c r="C5808" s="35"/>
      <c r="D5808" s="36"/>
      <c r="E5808" s="36"/>
    </row>
    <row r="5809" spans="1:5" x14ac:dyDescent="0.25">
      <c r="A5809" s="28"/>
      <c r="B5809" s="180"/>
      <c r="C5809" s="35"/>
      <c r="D5809" s="36"/>
      <c r="E5809" s="36"/>
    </row>
    <row r="5810" spans="1:5" x14ac:dyDescent="0.25">
      <c r="A5810" s="28"/>
      <c r="B5810" s="180"/>
      <c r="C5810" s="35"/>
      <c r="D5810" s="36"/>
      <c r="E5810" s="36"/>
    </row>
    <row r="5811" spans="1:5" x14ac:dyDescent="0.25">
      <c r="A5811" s="28"/>
      <c r="B5811" s="180"/>
      <c r="C5811" s="35"/>
      <c r="D5811" s="36"/>
      <c r="E5811" s="36"/>
    </row>
    <row r="5812" spans="1:5" x14ac:dyDescent="0.25">
      <c r="A5812" s="28"/>
      <c r="B5812" s="180"/>
      <c r="C5812" s="35"/>
      <c r="D5812" s="36"/>
      <c r="E5812" s="36"/>
    </row>
    <row r="5813" spans="1:5" x14ac:dyDescent="0.25">
      <c r="A5813" s="28"/>
      <c r="B5813" s="180"/>
      <c r="C5813" s="35"/>
      <c r="D5813" s="36"/>
      <c r="E5813" s="36"/>
    </row>
    <row r="5814" spans="1:5" x14ac:dyDescent="0.25">
      <c r="A5814" s="28"/>
      <c r="B5814" s="180"/>
      <c r="C5814" s="35"/>
      <c r="D5814" s="36"/>
      <c r="E5814" s="36"/>
    </row>
    <row r="5815" spans="1:5" x14ac:dyDescent="0.25">
      <c r="A5815" s="28"/>
      <c r="B5815" s="180"/>
      <c r="C5815" s="35"/>
      <c r="D5815" s="36"/>
      <c r="E5815" s="36"/>
    </row>
    <row r="5816" spans="1:5" x14ac:dyDescent="0.25">
      <c r="A5816" s="28"/>
      <c r="B5816" s="180"/>
      <c r="C5816" s="35"/>
      <c r="D5816" s="36"/>
      <c r="E5816" s="36"/>
    </row>
    <row r="5817" spans="1:5" x14ac:dyDescent="0.25">
      <c r="A5817" s="28"/>
      <c r="B5817" s="180"/>
      <c r="C5817" s="35"/>
      <c r="D5817" s="36"/>
      <c r="E5817" s="36"/>
    </row>
    <row r="5818" spans="1:5" x14ac:dyDescent="0.25">
      <c r="A5818" s="28"/>
      <c r="B5818" s="180"/>
      <c r="C5818" s="35"/>
      <c r="D5818" s="36"/>
      <c r="E5818" s="36"/>
    </row>
    <row r="5819" spans="1:5" x14ac:dyDescent="0.25">
      <c r="A5819" s="28"/>
      <c r="B5819" s="180"/>
      <c r="C5819" s="35"/>
      <c r="D5819" s="36"/>
      <c r="E5819" s="36"/>
    </row>
    <row r="5820" spans="1:5" x14ac:dyDescent="0.25">
      <c r="A5820" s="28"/>
      <c r="B5820" s="180"/>
      <c r="C5820" s="35"/>
      <c r="D5820" s="36"/>
      <c r="E5820" s="36"/>
    </row>
    <row r="5821" spans="1:5" x14ac:dyDescent="0.25">
      <c r="A5821" s="28"/>
      <c r="B5821" s="180"/>
      <c r="C5821" s="35"/>
      <c r="D5821" s="36"/>
      <c r="E5821" s="36"/>
    </row>
    <row r="5822" spans="1:5" x14ac:dyDescent="0.25">
      <c r="A5822" s="28"/>
      <c r="B5822" s="180"/>
      <c r="C5822" s="35"/>
      <c r="D5822" s="36"/>
      <c r="E5822" s="36"/>
    </row>
    <row r="5823" spans="1:5" x14ac:dyDescent="0.25">
      <c r="A5823" s="28"/>
      <c r="B5823" s="180"/>
      <c r="C5823" s="35"/>
      <c r="D5823" s="36"/>
      <c r="E5823" s="36"/>
    </row>
    <row r="5824" spans="1:5" x14ac:dyDescent="0.25">
      <c r="A5824" s="28"/>
      <c r="B5824" s="180"/>
      <c r="C5824" s="35"/>
      <c r="D5824" s="36"/>
      <c r="E5824" s="36"/>
    </row>
    <row r="5825" spans="1:5" x14ac:dyDescent="0.25">
      <c r="A5825" s="28"/>
      <c r="B5825" s="180"/>
      <c r="C5825" s="35"/>
      <c r="D5825" s="36"/>
      <c r="E5825" s="36"/>
    </row>
    <row r="5826" spans="1:5" x14ac:dyDescent="0.25">
      <c r="A5826" s="28"/>
      <c r="B5826" s="180"/>
      <c r="C5826" s="35"/>
      <c r="D5826" s="36"/>
      <c r="E5826" s="36"/>
    </row>
    <row r="5827" spans="1:5" x14ac:dyDescent="0.25">
      <c r="A5827" s="28"/>
      <c r="B5827" s="180"/>
      <c r="C5827" s="35"/>
      <c r="D5827" s="36"/>
      <c r="E5827" s="36"/>
    </row>
    <row r="5828" spans="1:5" x14ac:dyDescent="0.25">
      <c r="A5828" s="28"/>
      <c r="B5828" s="180"/>
      <c r="C5828" s="35"/>
      <c r="D5828" s="36"/>
      <c r="E5828" s="36"/>
    </row>
    <row r="5829" spans="1:5" x14ac:dyDescent="0.25">
      <c r="A5829" s="28"/>
      <c r="B5829" s="180"/>
      <c r="C5829" s="35"/>
      <c r="D5829" s="36"/>
      <c r="E5829" s="36"/>
    </row>
    <row r="5830" spans="1:5" x14ac:dyDescent="0.25">
      <c r="A5830" s="28"/>
      <c r="B5830" s="180"/>
      <c r="C5830" s="35"/>
      <c r="D5830" s="36"/>
      <c r="E5830" s="36"/>
    </row>
    <row r="5831" spans="1:5" x14ac:dyDescent="0.25">
      <c r="A5831" s="28"/>
      <c r="B5831" s="180"/>
      <c r="C5831" s="35"/>
      <c r="D5831" s="36"/>
      <c r="E5831" s="36"/>
    </row>
    <row r="5832" spans="1:5" x14ac:dyDescent="0.25">
      <c r="A5832" s="28"/>
      <c r="B5832" s="180"/>
      <c r="C5832" s="35"/>
      <c r="D5832" s="36"/>
      <c r="E5832" s="36"/>
    </row>
    <row r="5833" spans="1:5" x14ac:dyDescent="0.25">
      <c r="A5833" s="28"/>
      <c r="B5833" s="180"/>
      <c r="C5833" s="35"/>
      <c r="D5833" s="36"/>
      <c r="E5833" s="36"/>
    </row>
    <row r="5834" spans="1:5" x14ac:dyDescent="0.25">
      <c r="A5834" s="28"/>
      <c r="B5834" s="180"/>
      <c r="C5834" s="35"/>
      <c r="D5834" s="36"/>
      <c r="E5834" s="36"/>
    </row>
    <row r="5835" spans="1:5" x14ac:dyDescent="0.25">
      <c r="A5835" s="28"/>
      <c r="B5835" s="180"/>
      <c r="C5835" s="35"/>
      <c r="D5835" s="36"/>
      <c r="E5835" s="36"/>
    </row>
    <row r="5836" spans="1:5" x14ac:dyDescent="0.25">
      <c r="A5836" s="28"/>
      <c r="B5836" s="180"/>
      <c r="C5836" s="35"/>
      <c r="D5836" s="36"/>
      <c r="E5836" s="36"/>
    </row>
    <row r="5837" spans="1:5" x14ac:dyDescent="0.25">
      <c r="A5837" s="28"/>
      <c r="B5837" s="180"/>
      <c r="C5837" s="35"/>
      <c r="D5837" s="36"/>
      <c r="E5837" s="36"/>
    </row>
    <row r="5838" spans="1:5" x14ac:dyDescent="0.25">
      <c r="A5838" s="28"/>
      <c r="B5838" s="180"/>
      <c r="C5838" s="35"/>
      <c r="D5838" s="36"/>
      <c r="E5838" s="36"/>
    </row>
    <row r="5839" spans="1:5" x14ac:dyDescent="0.25">
      <c r="A5839" s="28"/>
      <c r="B5839" s="180"/>
      <c r="C5839" s="35"/>
      <c r="D5839" s="36"/>
      <c r="E5839" s="36"/>
    </row>
    <row r="5840" spans="1:5" x14ac:dyDescent="0.25">
      <c r="A5840" s="28"/>
      <c r="B5840" s="180"/>
      <c r="C5840" s="35"/>
      <c r="D5840" s="36"/>
      <c r="E5840" s="36"/>
    </row>
    <row r="5841" spans="1:5" x14ac:dyDescent="0.25">
      <c r="A5841" s="28"/>
      <c r="B5841" s="180"/>
      <c r="C5841" s="35"/>
      <c r="D5841" s="36"/>
      <c r="E5841" s="36"/>
    </row>
    <row r="5842" spans="1:5" x14ac:dyDescent="0.25">
      <c r="A5842" s="28"/>
      <c r="B5842" s="180"/>
      <c r="C5842" s="35"/>
      <c r="D5842" s="36"/>
      <c r="E5842" s="36"/>
    </row>
    <row r="5843" spans="1:5" x14ac:dyDescent="0.25">
      <c r="A5843" s="28"/>
      <c r="B5843" s="180"/>
      <c r="C5843" s="35"/>
      <c r="D5843" s="36"/>
      <c r="E5843" s="36"/>
    </row>
    <row r="5844" spans="1:5" x14ac:dyDescent="0.25">
      <c r="A5844" s="28"/>
      <c r="B5844" s="180"/>
      <c r="C5844" s="35"/>
      <c r="D5844" s="36"/>
      <c r="E5844" s="36"/>
    </row>
    <row r="5845" spans="1:5" x14ac:dyDescent="0.25">
      <c r="A5845" s="28"/>
      <c r="B5845" s="180"/>
      <c r="C5845" s="35"/>
      <c r="D5845" s="36"/>
      <c r="E5845" s="36"/>
    </row>
    <row r="5846" spans="1:5" x14ac:dyDescent="0.25">
      <c r="A5846" s="28"/>
      <c r="B5846" s="180"/>
      <c r="C5846" s="35"/>
      <c r="D5846" s="36"/>
      <c r="E5846" s="36"/>
    </row>
    <row r="5847" spans="1:5" x14ac:dyDescent="0.25">
      <c r="A5847" s="28"/>
      <c r="B5847" s="180"/>
      <c r="C5847" s="35"/>
      <c r="D5847" s="36"/>
      <c r="E5847" s="36"/>
    </row>
    <row r="5848" spans="1:5" x14ac:dyDescent="0.25">
      <c r="A5848" s="28"/>
      <c r="B5848" s="180"/>
      <c r="C5848" s="35"/>
      <c r="D5848" s="36"/>
      <c r="E5848" s="36"/>
    </row>
    <row r="5849" spans="1:5" x14ac:dyDescent="0.25">
      <c r="A5849" s="28"/>
      <c r="B5849" s="180"/>
      <c r="C5849" s="35"/>
      <c r="D5849" s="36"/>
      <c r="E5849" s="36"/>
    </row>
    <row r="5850" spans="1:5" x14ac:dyDescent="0.25">
      <c r="A5850" s="28"/>
      <c r="B5850" s="180"/>
      <c r="C5850" s="35"/>
      <c r="D5850" s="36"/>
      <c r="E5850" s="36"/>
    </row>
    <row r="5851" spans="1:5" x14ac:dyDescent="0.25">
      <c r="A5851" s="28"/>
      <c r="B5851" s="180"/>
      <c r="C5851" s="35"/>
      <c r="D5851" s="36"/>
      <c r="E5851" s="36"/>
    </row>
    <row r="5852" spans="1:5" x14ac:dyDescent="0.25">
      <c r="A5852" s="28"/>
      <c r="B5852" s="180"/>
      <c r="C5852" s="35"/>
      <c r="D5852" s="36"/>
      <c r="E5852" s="36"/>
    </row>
    <row r="5853" spans="1:5" x14ac:dyDescent="0.25">
      <c r="A5853" s="28"/>
      <c r="B5853" s="180"/>
      <c r="C5853" s="35"/>
      <c r="D5853" s="36"/>
      <c r="E5853" s="36"/>
    </row>
    <row r="5854" spans="1:5" x14ac:dyDescent="0.25">
      <c r="A5854" s="28"/>
      <c r="B5854" s="180"/>
      <c r="C5854" s="35"/>
      <c r="D5854" s="36"/>
      <c r="E5854" s="36"/>
    </row>
    <row r="5855" spans="1:5" x14ac:dyDescent="0.25">
      <c r="A5855" s="28"/>
      <c r="B5855" s="180"/>
      <c r="C5855" s="35"/>
      <c r="D5855" s="36"/>
      <c r="E5855" s="36"/>
    </row>
    <row r="5856" spans="1:5" x14ac:dyDescent="0.25">
      <c r="A5856" s="28"/>
      <c r="B5856" s="180"/>
      <c r="C5856" s="35"/>
      <c r="D5856" s="36"/>
      <c r="E5856" s="36"/>
    </row>
    <row r="5857" spans="1:5" x14ac:dyDescent="0.25">
      <c r="A5857" s="28"/>
      <c r="B5857" s="180"/>
      <c r="C5857" s="35"/>
      <c r="D5857" s="36"/>
      <c r="E5857" s="36"/>
    </row>
    <row r="5858" spans="1:5" x14ac:dyDescent="0.25">
      <c r="A5858" s="28"/>
      <c r="B5858" s="180"/>
      <c r="C5858" s="35"/>
      <c r="D5858" s="36"/>
      <c r="E5858" s="36"/>
    </row>
    <row r="5859" spans="1:5" x14ac:dyDescent="0.25">
      <c r="A5859" s="28"/>
      <c r="B5859" s="180"/>
      <c r="C5859" s="35"/>
      <c r="D5859" s="36"/>
      <c r="E5859" s="36"/>
    </row>
    <row r="5860" spans="1:5" x14ac:dyDescent="0.25">
      <c r="A5860" s="28"/>
      <c r="B5860" s="180"/>
      <c r="C5860" s="35"/>
      <c r="D5860" s="36"/>
      <c r="E5860" s="36"/>
    </row>
    <row r="5861" spans="1:5" x14ac:dyDescent="0.25">
      <c r="A5861" s="28"/>
      <c r="B5861" s="180"/>
      <c r="C5861" s="35"/>
      <c r="D5861" s="36"/>
      <c r="E5861" s="36"/>
    </row>
    <row r="5862" spans="1:5" x14ac:dyDescent="0.25">
      <c r="A5862" s="28"/>
      <c r="B5862" s="180"/>
      <c r="C5862" s="35"/>
      <c r="D5862" s="36"/>
      <c r="E5862" s="36"/>
    </row>
    <row r="5863" spans="1:5" x14ac:dyDescent="0.25">
      <c r="A5863" s="28"/>
      <c r="B5863" s="180"/>
      <c r="C5863" s="35"/>
      <c r="D5863" s="36"/>
      <c r="E5863" s="36"/>
    </row>
    <row r="5864" spans="1:5" x14ac:dyDescent="0.25">
      <c r="A5864" s="28"/>
      <c r="B5864" s="180"/>
      <c r="C5864" s="35"/>
      <c r="D5864" s="36"/>
      <c r="E5864" s="36"/>
    </row>
    <row r="5865" spans="1:5" x14ac:dyDescent="0.25">
      <c r="A5865" s="28"/>
      <c r="B5865" s="180"/>
      <c r="C5865" s="35"/>
      <c r="D5865" s="36"/>
      <c r="E5865" s="36"/>
    </row>
    <row r="5866" spans="1:5" x14ac:dyDescent="0.25">
      <c r="A5866" s="28"/>
      <c r="B5866" s="180"/>
      <c r="C5866" s="35"/>
      <c r="D5866" s="36"/>
      <c r="E5866" s="36"/>
    </row>
    <row r="5867" spans="1:5" x14ac:dyDescent="0.25">
      <c r="A5867" s="28"/>
      <c r="B5867" s="180"/>
      <c r="C5867" s="35"/>
      <c r="D5867" s="36"/>
      <c r="E5867" s="36"/>
    </row>
    <row r="5868" spans="1:5" x14ac:dyDescent="0.25">
      <c r="A5868" s="28"/>
      <c r="B5868" s="180"/>
      <c r="C5868" s="35"/>
      <c r="D5868" s="36"/>
      <c r="E5868" s="36"/>
    </row>
    <row r="5869" spans="1:5" x14ac:dyDescent="0.25">
      <c r="A5869" s="28"/>
      <c r="B5869" s="180"/>
      <c r="C5869" s="35"/>
      <c r="D5869" s="36"/>
      <c r="E5869" s="36"/>
    </row>
    <row r="5870" spans="1:5" x14ac:dyDescent="0.25">
      <c r="A5870" s="28"/>
      <c r="B5870" s="180"/>
      <c r="C5870" s="35"/>
      <c r="D5870" s="36"/>
      <c r="E5870" s="36"/>
    </row>
    <row r="5871" spans="1:5" x14ac:dyDescent="0.25">
      <c r="A5871" s="28"/>
      <c r="B5871" s="180"/>
      <c r="C5871" s="35"/>
      <c r="D5871" s="36"/>
      <c r="E5871" s="36"/>
    </row>
    <row r="5872" spans="1:5" x14ac:dyDescent="0.25">
      <c r="A5872" s="28"/>
      <c r="B5872" s="180"/>
      <c r="C5872" s="35"/>
      <c r="D5872" s="36"/>
      <c r="E5872" s="36"/>
    </row>
    <row r="5873" spans="1:5" x14ac:dyDescent="0.25">
      <c r="A5873" s="28"/>
      <c r="B5873" s="180"/>
      <c r="C5873" s="35"/>
      <c r="D5873" s="36"/>
      <c r="E5873" s="36"/>
    </row>
    <row r="5874" spans="1:5" x14ac:dyDescent="0.25">
      <c r="A5874" s="28"/>
      <c r="B5874" s="180"/>
      <c r="C5874" s="35"/>
      <c r="D5874" s="36"/>
      <c r="E5874" s="36"/>
    </row>
    <row r="5875" spans="1:5" x14ac:dyDescent="0.25">
      <c r="A5875" s="28"/>
      <c r="B5875" s="180"/>
      <c r="C5875" s="35"/>
      <c r="D5875" s="36"/>
      <c r="E5875" s="36"/>
    </row>
    <row r="5876" spans="1:5" x14ac:dyDescent="0.25">
      <c r="A5876" s="28"/>
      <c r="B5876" s="180"/>
      <c r="C5876" s="35"/>
      <c r="D5876" s="36"/>
      <c r="E5876" s="36"/>
    </row>
    <row r="5877" spans="1:5" x14ac:dyDescent="0.25">
      <c r="A5877" s="28"/>
      <c r="B5877" s="180"/>
      <c r="C5877" s="35"/>
      <c r="D5877" s="36"/>
      <c r="E5877" s="36"/>
    </row>
    <row r="5878" spans="1:5" x14ac:dyDescent="0.25">
      <c r="A5878" s="28"/>
      <c r="B5878" s="180"/>
      <c r="C5878" s="35"/>
      <c r="D5878" s="36"/>
      <c r="E5878" s="36"/>
    </row>
    <row r="5879" spans="1:5" x14ac:dyDescent="0.25">
      <c r="A5879" s="28"/>
      <c r="B5879" s="180"/>
      <c r="C5879" s="35"/>
      <c r="D5879" s="36"/>
      <c r="E5879" s="36"/>
    </row>
    <row r="5880" spans="1:5" x14ac:dyDescent="0.25">
      <c r="A5880" s="28"/>
      <c r="B5880" s="180"/>
      <c r="C5880" s="35"/>
      <c r="D5880" s="36"/>
      <c r="E5880" s="36"/>
    </row>
    <row r="5881" spans="1:5" x14ac:dyDescent="0.25">
      <c r="A5881" s="28"/>
      <c r="B5881" s="180"/>
      <c r="C5881" s="35"/>
      <c r="D5881" s="36"/>
      <c r="E5881" s="36"/>
    </row>
    <row r="5882" spans="1:5" x14ac:dyDescent="0.25">
      <c r="A5882" s="28"/>
      <c r="B5882" s="180"/>
      <c r="C5882" s="35"/>
      <c r="D5882" s="36"/>
      <c r="E5882" s="36"/>
    </row>
    <row r="5883" spans="1:5" x14ac:dyDescent="0.25">
      <c r="A5883" s="28"/>
      <c r="B5883" s="180"/>
      <c r="C5883" s="35"/>
      <c r="D5883" s="36"/>
      <c r="E5883" s="36"/>
    </row>
    <row r="5884" spans="1:5" x14ac:dyDescent="0.25">
      <c r="A5884" s="28"/>
      <c r="B5884" s="180"/>
      <c r="C5884" s="35"/>
      <c r="D5884" s="36"/>
      <c r="E5884" s="36"/>
    </row>
    <row r="5885" spans="1:5" x14ac:dyDescent="0.25">
      <c r="A5885" s="28"/>
      <c r="B5885" s="180"/>
      <c r="C5885" s="35"/>
      <c r="D5885" s="36"/>
      <c r="E5885" s="36"/>
    </row>
    <row r="5886" spans="1:5" x14ac:dyDescent="0.25">
      <c r="A5886" s="28"/>
      <c r="B5886" s="180"/>
      <c r="C5886" s="35"/>
      <c r="D5886" s="36"/>
      <c r="E5886" s="36"/>
    </row>
    <row r="5887" spans="1:5" x14ac:dyDescent="0.25">
      <c r="A5887" s="28"/>
      <c r="B5887" s="180"/>
      <c r="C5887" s="35"/>
      <c r="D5887" s="36"/>
      <c r="E5887" s="36"/>
    </row>
    <row r="5888" spans="1:5" x14ac:dyDescent="0.25">
      <c r="A5888" s="28"/>
      <c r="B5888" s="180"/>
      <c r="C5888" s="35"/>
      <c r="D5888" s="36"/>
      <c r="E5888" s="36"/>
    </row>
    <row r="5889" spans="1:5" x14ac:dyDescent="0.25">
      <c r="A5889" s="28"/>
      <c r="B5889" s="180"/>
      <c r="C5889" s="35"/>
      <c r="D5889" s="36"/>
      <c r="E5889" s="36"/>
    </row>
    <row r="5890" spans="1:5" x14ac:dyDescent="0.25">
      <c r="A5890" s="28"/>
      <c r="B5890" s="180"/>
      <c r="C5890" s="35"/>
      <c r="D5890" s="36"/>
      <c r="E5890" s="36"/>
    </row>
    <row r="5891" spans="1:5" x14ac:dyDescent="0.25">
      <c r="A5891" s="28"/>
      <c r="B5891" s="180"/>
      <c r="C5891" s="35"/>
      <c r="D5891" s="36"/>
      <c r="E5891" s="36"/>
    </row>
    <row r="5892" spans="1:5" x14ac:dyDescent="0.25">
      <c r="A5892" s="28"/>
      <c r="B5892" s="180"/>
      <c r="C5892" s="35"/>
      <c r="D5892" s="36"/>
      <c r="E5892" s="36"/>
    </row>
    <row r="5893" spans="1:5" x14ac:dyDescent="0.25">
      <c r="A5893" s="28"/>
      <c r="B5893" s="180"/>
      <c r="C5893" s="35"/>
      <c r="D5893" s="36"/>
      <c r="E5893" s="36"/>
    </row>
    <row r="5894" spans="1:5" x14ac:dyDescent="0.25">
      <c r="A5894" s="28"/>
      <c r="B5894" s="180"/>
      <c r="C5894" s="35"/>
      <c r="D5894" s="36"/>
      <c r="E5894" s="36"/>
    </row>
    <row r="5895" spans="1:5" x14ac:dyDescent="0.25">
      <c r="A5895" s="28"/>
      <c r="B5895" s="180"/>
      <c r="C5895" s="35"/>
      <c r="D5895" s="36"/>
      <c r="E5895" s="36"/>
    </row>
    <row r="5896" spans="1:5" x14ac:dyDescent="0.25">
      <c r="A5896" s="28"/>
      <c r="B5896" s="180"/>
      <c r="C5896" s="35"/>
      <c r="D5896" s="36"/>
      <c r="E5896" s="36"/>
    </row>
    <row r="5897" spans="1:5" x14ac:dyDescent="0.25">
      <c r="A5897" s="28"/>
      <c r="B5897" s="180"/>
      <c r="C5897" s="35"/>
      <c r="D5897" s="36"/>
      <c r="E5897" s="36"/>
    </row>
    <row r="5898" spans="1:5" x14ac:dyDescent="0.25">
      <c r="A5898" s="28"/>
      <c r="B5898" s="180"/>
      <c r="C5898" s="35"/>
      <c r="D5898" s="36"/>
      <c r="E5898" s="36"/>
    </row>
    <row r="5899" spans="1:5" x14ac:dyDescent="0.25">
      <c r="A5899" s="28"/>
      <c r="B5899" s="180"/>
      <c r="C5899" s="35"/>
      <c r="D5899" s="36"/>
      <c r="E5899" s="36"/>
    </row>
    <row r="5900" spans="1:5" x14ac:dyDescent="0.25">
      <c r="A5900" s="28"/>
      <c r="B5900" s="180"/>
      <c r="C5900" s="35"/>
      <c r="D5900" s="36"/>
      <c r="E5900" s="36"/>
    </row>
    <row r="5901" spans="1:5" x14ac:dyDescent="0.25">
      <c r="A5901" s="28"/>
      <c r="B5901" s="180"/>
      <c r="C5901" s="35"/>
      <c r="D5901" s="36"/>
      <c r="E5901" s="36"/>
    </row>
    <row r="5902" spans="1:5" x14ac:dyDescent="0.25">
      <c r="A5902" s="28"/>
      <c r="B5902" s="180"/>
      <c r="C5902" s="35"/>
      <c r="D5902" s="36"/>
      <c r="E5902" s="36"/>
    </row>
    <row r="5903" spans="1:5" x14ac:dyDescent="0.25">
      <c r="A5903" s="28"/>
      <c r="B5903" s="180"/>
      <c r="C5903" s="35"/>
      <c r="D5903" s="36"/>
      <c r="E5903" s="36"/>
    </row>
    <row r="5904" spans="1:5" x14ac:dyDescent="0.25">
      <c r="A5904" s="28"/>
      <c r="B5904" s="180"/>
      <c r="C5904" s="35"/>
      <c r="D5904" s="36"/>
      <c r="E5904" s="36"/>
    </row>
    <row r="5905" spans="1:5" x14ac:dyDescent="0.25">
      <c r="A5905" s="28"/>
      <c r="B5905" s="180"/>
      <c r="C5905" s="35"/>
      <c r="D5905" s="36"/>
      <c r="E5905" s="36"/>
    </row>
    <row r="5906" spans="1:5" x14ac:dyDescent="0.25">
      <c r="A5906" s="28"/>
      <c r="B5906" s="180"/>
      <c r="C5906" s="35"/>
      <c r="D5906" s="36"/>
      <c r="E5906" s="36"/>
    </row>
    <row r="5907" spans="1:5" x14ac:dyDescent="0.25">
      <c r="A5907" s="28"/>
      <c r="B5907" s="180"/>
      <c r="C5907" s="35"/>
      <c r="D5907" s="36"/>
      <c r="E5907" s="36"/>
    </row>
    <row r="5908" spans="1:5" x14ac:dyDescent="0.25">
      <c r="A5908" s="28"/>
      <c r="B5908" s="180"/>
      <c r="C5908" s="35"/>
      <c r="D5908" s="36"/>
      <c r="E5908" s="36"/>
    </row>
    <row r="5909" spans="1:5" x14ac:dyDescent="0.25">
      <c r="A5909" s="28"/>
      <c r="B5909" s="180"/>
      <c r="C5909" s="35"/>
      <c r="D5909" s="36"/>
      <c r="E5909" s="36"/>
    </row>
    <row r="5910" spans="1:5" x14ac:dyDescent="0.25">
      <c r="A5910" s="28"/>
      <c r="B5910" s="180"/>
      <c r="C5910" s="35"/>
      <c r="D5910" s="36"/>
      <c r="E5910" s="36"/>
    </row>
    <row r="5911" spans="1:5" x14ac:dyDescent="0.25">
      <c r="A5911" s="28"/>
      <c r="B5911" s="180"/>
      <c r="C5911" s="35"/>
      <c r="D5911" s="36"/>
      <c r="E5911" s="36"/>
    </row>
    <row r="5912" spans="1:5" x14ac:dyDescent="0.25">
      <c r="A5912" s="28"/>
      <c r="B5912" s="180"/>
      <c r="C5912" s="35"/>
      <c r="D5912" s="36"/>
      <c r="E5912" s="36"/>
    </row>
    <row r="5913" spans="1:5" x14ac:dyDescent="0.25">
      <c r="A5913" s="28"/>
      <c r="B5913" s="180"/>
      <c r="C5913" s="35"/>
      <c r="D5913" s="36"/>
      <c r="E5913" s="36"/>
    </row>
    <row r="5914" spans="1:5" x14ac:dyDescent="0.25">
      <c r="A5914" s="28"/>
      <c r="B5914" s="180"/>
      <c r="C5914" s="35"/>
      <c r="D5914" s="36"/>
      <c r="E5914" s="36"/>
    </row>
    <row r="5915" spans="1:5" x14ac:dyDescent="0.25">
      <c r="A5915" s="28"/>
      <c r="B5915" s="180"/>
      <c r="C5915" s="35"/>
      <c r="D5915" s="36"/>
      <c r="E5915" s="36"/>
    </row>
    <row r="5916" spans="1:5" x14ac:dyDescent="0.25">
      <c r="A5916" s="28"/>
      <c r="B5916" s="180"/>
      <c r="C5916" s="35"/>
      <c r="D5916" s="36"/>
      <c r="E5916" s="36"/>
    </row>
    <row r="5917" spans="1:5" x14ac:dyDescent="0.25">
      <c r="A5917" s="28"/>
      <c r="B5917" s="180"/>
      <c r="C5917" s="35"/>
      <c r="D5917" s="36"/>
      <c r="E5917" s="36"/>
    </row>
    <row r="5918" spans="1:5" x14ac:dyDescent="0.25">
      <c r="A5918" s="28"/>
      <c r="B5918" s="180"/>
      <c r="C5918" s="35"/>
      <c r="D5918" s="36"/>
      <c r="E5918" s="36"/>
    </row>
    <row r="5919" spans="1:5" x14ac:dyDescent="0.25">
      <c r="A5919" s="28"/>
      <c r="B5919" s="180"/>
      <c r="C5919" s="35"/>
      <c r="D5919" s="36"/>
      <c r="E5919" s="36"/>
    </row>
    <row r="5920" spans="1:5" x14ac:dyDescent="0.25">
      <c r="A5920" s="28"/>
      <c r="B5920" s="180"/>
      <c r="C5920" s="35"/>
      <c r="D5920" s="36"/>
      <c r="E5920" s="36"/>
    </row>
    <row r="5921" spans="1:5" x14ac:dyDescent="0.25">
      <c r="A5921" s="28"/>
      <c r="B5921" s="180"/>
      <c r="C5921" s="35"/>
      <c r="D5921" s="36"/>
      <c r="E5921" s="36"/>
    </row>
    <row r="5922" spans="1:5" x14ac:dyDescent="0.25">
      <c r="A5922" s="28"/>
      <c r="B5922" s="180"/>
      <c r="C5922" s="35"/>
      <c r="D5922" s="36"/>
      <c r="E5922" s="36"/>
    </row>
    <row r="5923" spans="1:5" x14ac:dyDescent="0.25">
      <c r="A5923" s="28"/>
      <c r="B5923" s="180"/>
      <c r="C5923" s="35"/>
      <c r="D5923" s="36"/>
      <c r="E5923" s="36"/>
    </row>
    <row r="5924" spans="1:5" x14ac:dyDescent="0.25">
      <c r="A5924" s="28"/>
      <c r="B5924" s="180"/>
      <c r="C5924" s="35"/>
      <c r="D5924" s="36"/>
      <c r="E5924" s="36"/>
    </row>
    <row r="5925" spans="1:5" x14ac:dyDescent="0.25">
      <c r="A5925" s="28"/>
      <c r="B5925" s="180"/>
      <c r="C5925" s="35"/>
      <c r="D5925" s="36"/>
      <c r="E5925" s="36"/>
    </row>
    <row r="5926" spans="1:5" x14ac:dyDescent="0.25">
      <c r="A5926" s="28"/>
      <c r="B5926" s="180"/>
      <c r="C5926" s="35"/>
      <c r="D5926" s="36"/>
      <c r="E5926" s="36"/>
    </row>
    <row r="5927" spans="1:5" x14ac:dyDescent="0.25">
      <c r="A5927" s="28"/>
      <c r="B5927" s="180"/>
      <c r="C5927" s="35"/>
      <c r="D5927" s="36"/>
      <c r="E5927" s="36"/>
    </row>
    <row r="5928" spans="1:5" x14ac:dyDescent="0.25">
      <c r="A5928" s="28"/>
      <c r="B5928" s="180"/>
      <c r="C5928" s="35"/>
      <c r="D5928" s="36"/>
      <c r="E5928" s="36"/>
    </row>
    <row r="5929" spans="1:5" x14ac:dyDescent="0.25">
      <c r="A5929" s="28"/>
      <c r="B5929" s="180"/>
      <c r="C5929" s="35"/>
      <c r="D5929" s="36"/>
      <c r="E5929" s="36"/>
    </row>
    <row r="5930" spans="1:5" x14ac:dyDescent="0.25">
      <c r="A5930" s="28"/>
      <c r="B5930" s="180"/>
      <c r="C5930" s="35"/>
      <c r="D5930" s="36"/>
      <c r="E5930" s="36"/>
    </row>
    <row r="5931" spans="1:5" x14ac:dyDescent="0.25">
      <c r="A5931" s="28"/>
      <c r="B5931" s="180"/>
      <c r="C5931" s="35"/>
      <c r="D5931" s="36"/>
      <c r="E5931" s="36"/>
    </row>
    <row r="5932" spans="1:5" x14ac:dyDescent="0.25">
      <c r="A5932" s="28"/>
      <c r="B5932" s="180"/>
      <c r="C5932" s="35"/>
      <c r="D5932" s="36"/>
      <c r="E5932" s="36"/>
    </row>
    <row r="5933" spans="1:5" x14ac:dyDescent="0.25">
      <c r="A5933" s="28"/>
      <c r="B5933" s="180"/>
      <c r="C5933" s="35"/>
      <c r="D5933" s="36"/>
      <c r="E5933" s="36"/>
    </row>
    <row r="5934" spans="1:5" x14ac:dyDescent="0.25">
      <c r="A5934" s="28"/>
      <c r="B5934" s="180"/>
      <c r="C5934" s="35"/>
      <c r="D5934" s="36"/>
      <c r="E5934" s="36"/>
    </row>
    <row r="5935" spans="1:5" x14ac:dyDescent="0.25">
      <c r="A5935" s="28"/>
      <c r="B5935" s="180"/>
      <c r="C5935" s="35"/>
      <c r="D5935" s="36"/>
      <c r="E5935" s="36"/>
    </row>
    <row r="5936" spans="1:5" x14ac:dyDescent="0.25">
      <c r="A5936" s="28"/>
      <c r="B5936" s="180"/>
      <c r="C5936" s="35"/>
      <c r="D5936" s="36"/>
      <c r="E5936" s="36"/>
    </row>
    <row r="5937" spans="1:5" x14ac:dyDescent="0.25">
      <c r="A5937" s="28"/>
      <c r="B5937" s="180"/>
      <c r="C5937" s="35"/>
      <c r="D5937" s="36"/>
      <c r="E5937" s="36"/>
    </row>
    <row r="5938" spans="1:5" x14ac:dyDescent="0.25">
      <c r="A5938" s="28"/>
      <c r="B5938" s="180"/>
      <c r="C5938" s="35"/>
      <c r="D5938" s="36"/>
      <c r="E5938" s="36"/>
    </row>
    <row r="5939" spans="1:5" x14ac:dyDescent="0.25">
      <c r="A5939" s="28"/>
      <c r="B5939" s="180"/>
      <c r="C5939" s="35"/>
      <c r="D5939" s="36"/>
      <c r="E5939" s="36"/>
    </row>
    <row r="5940" spans="1:5" x14ac:dyDescent="0.25">
      <c r="A5940" s="28"/>
      <c r="B5940" s="180"/>
      <c r="C5940" s="35"/>
      <c r="D5940" s="36"/>
      <c r="E5940" s="36"/>
    </row>
    <row r="5941" spans="1:5" x14ac:dyDescent="0.25">
      <c r="A5941" s="28"/>
      <c r="B5941" s="180"/>
      <c r="C5941" s="35"/>
      <c r="D5941" s="36"/>
      <c r="E5941" s="36"/>
    </row>
    <row r="5942" spans="1:5" x14ac:dyDescent="0.25">
      <c r="A5942" s="28"/>
      <c r="B5942" s="180"/>
      <c r="C5942" s="35"/>
      <c r="D5942" s="36"/>
      <c r="E5942" s="36"/>
    </row>
    <row r="5943" spans="1:5" x14ac:dyDescent="0.25">
      <c r="A5943" s="28"/>
      <c r="B5943" s="180"/>
      <c r="C5943" s="35"/>
      <c r="D5943" s="36"/>
      <c r="E5943" s="36"/>
    </row>
    <row r="5944" spans="1:5" x14ac:dyDescent="0.25">
      <c r="A5944" s="28"/>
      <c r="B5944" s="180"/>
      <c r="C5944" s="35"/>
      <c r="D5944" s="36"/>
      <c r="E5944" s="36"/>
    </row>
    <row r="5945" spans="1:5" x14ac:dyDescent="0.25">
      <c r="A5945" s="28"/>
      <c r="B5945" s="180"/>
      <c r="C5945" s="35"/>
      <c r="D5945" s="36"/>
      <c r="E5945" s="36"/>
    </row>
    <row r="5946" spans="1:5" x14ac:dyDescent="0.25">
      <c r="A5946" s="28"/>
      <c r="B5946" s="180"/>
      <c r="C5946" s="35"/>
      <c r="D5946" s="36"/>
      <c r="E5946" s="36"/>
    </row>
    <row r="5947" spans="1:5" x14ac:dyDescent="0.25">
      <c r="A5947" s="28"/>
      <c r="B5947" s="180"/>
      <c r="C5947" s="35"/>
      <c r="D5947" s="36"/>
      <c r="E5947" s="36"/>
    </row>
    <row r="5948" spans="1:5" x14ac:dyDescent="0.25">
      <c r="A5948" s="28"/>
      <c r="B5948" s="180"/>
      <c r="C5948" s="35"/>
      <c r="D5948" s="36"/>
      <c r="E5948" s="36"/>
    </row>
    <row r="5949" spans="1:5" x14ac:dyDescent="0.25">
      <c r="A5949" s="28"/>
      <c r="B5949" s="180"/>
      <c r="C5949" s="35"/>
      <c r="D5949" s="36"/>
      <c r="E5949" s="36"/>
    </row>
    <row r="5950" spans="1:5" x14ac:dyDescent="0.25">
      <c r="A5950" s="28"/>
      <c r="B5950" s="180"/>
      <c r="C5950" s="35"/>
      <c r="D5950" s="36"/>
      <c r="E5950" s="36"/>
    </row>
    <row r="5951" spans="1:5" x14ac:dyDescent="0.25">
      <c r="A5951" s="28"/>
      <c r="B5951" s="180"/>
      <c r="C5951" s="35"/>
      <c r="D5951" s="36"/>
      <c r="E5951" s="36"/>
    </row>
    <row r="5952" spans="1:5" x14ac:dyDescent="0.25">
      <c r="A5952" s="28"/>
      <c r="B5952" s="180"/>
      <c r="C5952" s="35"/>
      <c r="D5952" s="36"/>
      <c r="E5952" s="36"/>
    </row>
    <row r="5953" spans="1:5" x14ac:dyDescent="0.25">
      <c r="A5953" s="28"/>
      <c r="B5953" s="180"/>
      <c r="C5953" s="35"/>
      <c r="D5953" s="36"/>
      <c r="E5953" s="36"/>
    </row>
    <row r="5954" spans="1:5" x14ac:dyDescent="0.25">
      <c r="A5954" s="28"/>
      <c r="B5954" s="180"/>
      <c r="C5954" s="35"/>
      <c r="D5954" s="36"/>
      <c r="E5954" s="36"/>
    </row>
    <row r="5955" spans="1:5" x14ac:dyDescent="0.25">
      <c r="A5955" s="28"/>
      <c r="B5955" s="180"/>
      <c r="C5955" s="35"/>
      <c r="D5955" s="36"/>
      <c r="E5955" s="36"/>
    </row>
    <row r="5956" spans="1:5" x14ac:dyDescent="0.25">
      <c r="A5956" s="28"/>
      <c r="B5956" s="180"/>
      <c r="C5956" s="35"/>
      <c r="D5956" s="36"/>
      <c r="E5956" s="36"/>
    </row>
    <row r="5957" spans="1:5" x14ac:dyDescent="0.25">
      <c r="A5957" s="28"/>
      <c r="B5957" s="180"/>
      <c r="C5957" s="35"/>
      <c r="D5957" s="36"/>
      <c r="E5957" s="36"/>
    </row>
    <row r="5958" spans="1:5" x14ac:dyDescent="0.25">
      <c r="A5958" s="28"/>
      <c r="B5958" s="180"/>
      <c r="C5958" s="35"/>
      <c r="D5958" s="36"/>
      <c r="E5958" s="36"/>
    </row>
    <row r="5959" spans="1:5" x14ac:dyDescent="0.25">
      <c r="A5959" s="28"/>
      <c r="B5959" s="180"/>
      <c r="C5959" s="35"/>
      <c r="D5959" s="36"/>
      <c r="E5959" s="36"/>
    </row>
    <row r="5960" spans="1:5" x14ac:dyDescent="0.25">
      <c r="A5960" s="28"/>
      <c r="B5960" s="180"/>
      <c r="C5960" s="35"/>
      <c r="D5960" s="36"/>
      <c r="E5960" s="36"/>
    </row>
    <row r="5961" spans="1:5" x14ac:dyDescent="0.25">
      <c r="A5961" s="28"/>
      <c r="B5961" s="180"/>
      <c r="C5961" s="35"/>
      <c r="D5961" s="36"/>
      <c r="E5961" s="36"/>
    </row>
    <row r="5962" spans="1:5" x14ac:dyDescent="0.25">
      <c r="A5962" s="28"/>
      <c r="B5962" s="180"/>
      <c r="C5962" s="35"/>
      <c r="D5962" s="36"/>
      <c r="E5962" s="36"/>
    </row>
    <row r="5963" spans="1:5" x14ac:dyDescent="0.25">
      <c r="A5963" s="28"/>
      <c r="B5963" s="180"/>
      <c r="C5963" s="35"/>
      <c r="D5963" s="36"/>
      <c r="E5963" s="36"/>
    </row>
    <row r="5964" spans="1:5" x14ac:dyDescent="0.25">
      <c r="A5964" s="28"/>
      <c r="B5964" s="180"/>
      <c r="C5964" s="35"/>
      <c r="D5964" s="36"/>
      <c r="E5964" s="36"/>
    </row>
    <row r="5965" spans="1:5" x14ac:dyDescent="0.25">
      <c r="A5965" s="28"/>
      <c r="B5965" s="180"/>
      <c r="C5965" s="35"/>
      <c r="D5965" s="36"/>
      <c r="E5965" s="36"/>
    </row>
    <row r="5966" spans="1:5" x14ac:dyDescent="0.25">
      <c r="A5966" s="28"/>
      <c r="B5966" s="180"/>
      <c r="C5966" s="35"/>
      <c r="D5966" s="36"/>
      <c r="E5966" s="36"/>
    </row>
    <row r="5967" spans="1:5" x14ac:dyDescent="0.25">
      <c r="A5967" s="28"/>
      <c r="B5967" s="180"/>
      <c r="C5967" s="35"/>
      <c r="D5967" s="36"/>
      <c r="E5967" s="36"/>
    </row>
    <row r="5968" spans="1:5" x14ac:dyDescent="0.25">
      <c r="A5968" s="28"/>
      <c r="B5968" s="180"/>
      <c r="C5968" s="35"/>
      <c r="D5968" s="36"/>
      <c r="E5968" s="36"/>
    </row>
    <row r="5969" spans="1:5" x14ac:dyDescent="0.25">
      <c r="A5969" s="28"/>
      <c r="B5969" s="180"/>
      <c r="C5969" s="35"/>
      <c r="D5969" s="36"/>
      <c r="E5969" s="36"/>
    </row>
    <row r="5970" spans="1:5" x14ac:dyDescent="0.25">
      <c r="A5970" s="28"/>
      <c r="B5970" s="180"/>
      <c r="C5970" s="35"/>
      <c r="D5970" s="36"/>
      <c r="E5970" s="36"/>
    </row>
    <row r="5971" spans="1:5" x14ac:dyDescent="0.25">
      <c r="A5971" s="28"/>
      <c r="B5971" s="180"/>
      <c r="C5971" s="35"/>
      <c r="D5971" s="36"/>
      <c r="E5971" s="36"/>
    </row>
    <row r="5972" spans="1:5" x14ac:dyDescent="0.25">
      <c r="A5972" s="28"/>
      <c r="B5972" s="180"/>
      <c r="C5972" s="35"/>
      <c r="D5972" s="36"/>
      <c r="E5972" s="36"/>
    </row>
    <row r="5973" spans="1:5" x14ac:dyDescent="0.25">
      <c r="A5973" s="28"/>
      <c r="B5973" s="180"/>
      <c r="C5973" s="35"/>
      <c r="D5973" s="36"/>
      <c r="E5973" s="36"/>
    </row>
    <row r="5974" spans="1:5" x14ac:dyDescent="0.25">
      <c r="A5974" s="28"/>
      <c r="B5974" s="180"/>
      <c r="C5974" s="35"/>
      <c r="D5974" s="36"/>
      <c r="E5974" s="36"/>
    </row>
    <row r="5975" spans="1:5" x14ac:dyDescent="0.25">
      <c r="A5975" s="28"/>
      <c r="B5975" s="180"/>
      <c r="C5975" s="35"/>
      <c r="D5975" s="36"/>
      <c r="E5975" s="36"/>
    </row>
    <row r="5976" spans="1:5" x14ac:dyDescent="0.25">
      <c r="A5976" s="28"/>
      <c r="B5976" s="180"/>
      <c r="C5976" s="35"/>
      <c r="D5976" s="36"/>
      <c r="E5976" s="36"/>
    </row>
    <row r="5977" spans="1:5" x14ac:dyDescent="0.25">
      <c r="A5977" s="28"/>
      <c r="B5977" s="180"/>
      <c r="C5977" s="35"/>
      <c r="D5977" s="36"/>
      <c r="E5977" s="36"/>
    </row>
    <row r="5978" spans="1:5" x14ac:dyDescent="0.25">
      <c r="A5978" s="28"/>
      <c r="B5978" s="180"/>
      <c r="C5978" s="35"/>
      <c r="D5978" s="36"/>
      <c r="E5978" s="36"/>
    </row>
    <row r="5979" spans="1:5" x14ac:dyDescent="0.25">
      <c r="A5979" s="28"/>
      <c r="B5979" s="180"/>
      <c r="C5979" s="35"/>
      <c r="D5979" s="36"/>
      <c r="E5979" s="36"/>
    </row>
    <row r="5980" spans="1:5" x14ac:dyDescent="0.25">
      <c r="A5980" s="28"/>
      <c r="B5980" s="180"/>
      <c r="C5980" s="35"/>
      <c r="D5980" s="36"/>
      <c r="E5980" s="36"/>
    </row>
    <row r="5981" spans="1:5" x14ac:dyDescent="0.25">
      <c r="A5981" s="28"/>
      <c r="B5981" s="180"/>
      <c r="C5981" s="35"/>
      <c r="D5981" s="36"/>
      <c r="E5981" s="36"/>
    </row>
    <row r="5982" spans="1:5" x14ac:dyDescent="0.25">
      <c r="A5982" s="28"/>
      <c r="B5982" s="180"/>
      <c r="C5982" s="35"/>
      <c r="D5982" s="36"/>
      <c r="E5982" s="36"/>
    </row>
    <row r="5983" spans="1:5" x14ac:dyDescent="0.25">
      <c r="A5983" s="28"/>
      <c r="B5983" s="180"/>
      <c r="C5983" s="35"/>
      <c r="D5983" s="36"/>
      <c r="E5983" s="36"/>
    </row>
    <row r="5984" spans="1:5" x14ac:dyDescent="0.25">
      <c r="A5984" s="28"/>
      <c r="B5984" s="180"/>
      <c r="C5984" s="35"/>
      <c r="D5984" s="36"/>
      <c r="E5984" s="36"/>
    </row>
    <row r="5985" spans="1:5" x14ac:dyDescent="0.25">
      <c r="A5985" s="28"/>
      <c r="B5985" s="180"/>
      <c r="C5985" s="35"/>
      <c r="D5985" s="36"/>
      <c r="E5985" s="36"/>
    </row>
    <row r="5986" spans="1:5" x14ac:dyDescent="0.25">
      <c r="A5986" s="28"/>
      <c r="B5986" s="180"/>
      <c r="C5986" s="35"/>
      <c r="D5986" s="36"/>
      <c r="E5986" s="36"/>
    </row>
    <row r="5987" spans="1:5" x14ac:dyDescent="0.25">
      <c r="A5987" s="28"/>
      <c r="B5987" s="180"/>
      <c r="C5987" s="35"/>
      <c r="D5987" s="36"/>
      <c r="E5987" s="36"/>
    </row>
    <row r="5988" spans="1:5" x14ac:dyDescent="0.25">
      <c r="A5988" s="28"/>
      <c r="B5988" s="180"/>
      <c r="C5988" s="35"/>
      <c r="D5988" s="36"/>
      <c r="E5988" s="36"/>
    </row>
    <row r="5989" spans="1:5" x14ac:dyDescent="0.25">
      <c r="A5989" s="28"/>
      <c r="B5989" s="180"/>
      <c r="C5989" s="35"/>
      <c r="D5989" s="36"/>
      <c r="E5989" s="36"/>
    </row>
    <row r="5990" spans="1:5" x14ac:dyDescent="0.25">
      <c r="A5990" s="28"/>
      <c r="B5990" s="180"/>
      <c r="C5990" s="35"/>
      <c r="D5990" s="36"/>
      <c r="E5990" s="36"/>
    </row>
    <row r="5991" spans="1:5" x14ac:dyDescent="0.25">
      <c r="A5991" s="28"/>
      <c r="B5991" s="180"/>
      <c r="C5991" s="35"/>
      <c r="D5991" s="36"/>
      <c r="E5991" s="36"/>
    </row>
    <row r="5992" spans="1:5" x14ac:dyDescent="0.25">
      <c r="A5992" s="28"/>
      <c r="B5992" s="180"/>
      <c r="C5992" s="35"/>
      <c r="D5992" s="36"/>
      <c r="E5992" s="36"/>
    </row>
    <row r="5993" spans="1:5" x14ac:dyDescent="0.25">
      <c r="A5993" s="28"/>
      <c r="B5993" s="180"/>
      <c r="C5993" s="35"/>
      <c r="D5993" s="36"/>
      <c r="E5993" s="36"/>
    </row>
    <row r="5994" spans="1:5" x14ac:dyDescent="0.25">
      <c r="A5994" s="28"/>
      <c r="B5994" s="180"/>
      <c r="C5994" s="35"/>
      <c r="D5994" s="36"/>
      <c r="E5994" s="36"/>
    </row>
    <row r="5995" spans="1:5" x14ac:dyDescent="0.25">
      <c r="A5995" s="28"/>
      <c r="B5995" s="180"/>
      <c r="C5995" s="35"/>
      <c r="D5995" s="36"/>
      <c r="E5995" s="36"/>
    </row>
    <row r="5996" spans="1:5" x14ac:dyDescent="0.25">
      <c r="A5996" s="28"/>
      <c r="B5996" s="180"/>
      <c r="C5996" s="35"/>
      <c r="D5996" s="36"/>
      <c r="E5996" s="36"/>
    </row>
    <row r="5997" spans="1:5" x14ac:dyDescent="0.25">
      <c r="A5997" s="28"/>
      <c r="B5997" s="180"/>
      <c r="C5997" s="35"/>
      <c r="D5997" s="36"/>
      <c r="E5997" s="36"/>
    </row>
    <row r="5998" spans="1:5" x14ac:dyDescent="0.25">
      <c r="A5998" s="28"/>
      <c r="B5998" s="180"/>
      <c r="C5998" s="35"/>
      <c r="D5998" s="36"/>
      <c r="E5998" s="36"/>
    </row>
    <row r="5999" spans="1:5" x14ac:dyDescent="0.25">
      <c r="A5999" s="28"/>
      <c r="B5999" s="180"/>
      <c r="C5999" s="35"/>
      <c r="D5999" s="36"/>
      <c r="E5999" s="36"/>
    </row>
    <row r="6000" spans="1:5" x14ac:dyDescent="0.25">
      <c r="A6000" s="28"/>
      <c r="B6000" s="180"/>
      <c r="C6000" s="35"/>
      <c r="D6000" s="36"/>
      <c r="E6000" s="36"/>
    </row>
    <row r="6001" spans="1:5" x14ac:dyDescent="0.25">
      <c r="A6001" s="28"/>
      <c r="B6001" s="180"/>
      <c r="C6001" s="35"/>
      <c r="D6001" s="36"/>
      <c r="E6001" s="36"/>
    </row>
    <row r="6002" spans="1:5" x14ac:dyDescent="0.25">
      <c r="A6002" s="28"/>
      <c r="B6002" s="180"/>
      <c r="C6002" s="35"/>
      <c r="D6002" s="36"/>
      <c r="E6002" s="36"/>
    </row>
    <row r="6003" spans="1:5" x14ac:dyDescent="0.25">
      <c r="A6003" s="28"/>
      <c r="B6003" s="180"/>
      <c r="C6003" s="35"/>
      <c r="D6003" s="36"/>
      <c r="E6003" s="36"/>
    </row>
    <row r="6004" spans="1:5" x14ac:dyDescent="0.25">
      <c r="A6004" s="28"/>
      <c r="B6004" s="180"/>
      <c r="C6004" s="35"/>
      <c r="D6004" s="36"/>
      <c r="E6004" s="36"/>
    </row>
    <row r="6005" spans="1:5" x14ac:dyDescent="0.25">
      <c r="A6005" s="28"/>
      <c r="B6005" s="180"/>
      <c r="C6005" s="35"/>
      <c r="D6005" s="36"/>
      <c r="E6005" s="36"/>
    </row>
    <row r="6006" spans="1:5" x14ac:dyDescent="0.25">
      <c r="A6006" s="28"/>
      <c r="B6006" s="180"/>
      <c r="C6006" s="35"/>
      <c r="D6006" s="36"/>
      <c r="E6006" s="36"/>
    </row>
    <row r="6007" spans="1:5" x14ac:dyDescent="0.25">
      <c r="A6007" s="28"/>
      <c r="B6007" s="180"/>
      <c r="C6007" s="35"/>
      <c r="D6007" s="36"/>
      <c r="E6007" s="36"/>
    </row>
    <row r="6008" spans="1:5" x14ac:dyDescent="0.25">
      <c r="A6008" s="28"/>
      <c r="B6008" s="180"/>
      <c r="C6008" s="35"/>
      <c r="D6008" s="36"/>
      <c r="E6008" s="36"/>
    </row>
    <row r="6009" spans="1:5" x14ac:dyDescent="0.25">
      <c r="A6009" s="28"/>
      <c r="B6009" s="180"/>
      <c r="C6009" s="35"/>
      <c r="D6009" s="36"/>
      <c r="E6009" s="36"/>
    </row>
    <row r="6010" spans="1:5" x14ac:dyDescent="0.25">
      <c r="A6010" s="28"/>
      <c r="B6010" s="180"/>
      <c r="C6010" s="35"/>
      <c r="D6010" s="36"/>
      <c r="E6010" s="36"/>
    </row>
    <row r="6011" spans="1:5" x14ac:dyDescent="0.25">
      <c r="A6011" s="28"/>
      <c r="B6011" s="180"/>
      <c r="C6011" s="35"/>
      <c r="D6011" s="36"/>
      <c r="E6011" s="36"/>
    </row>
    <row r="6012" spans="1:5" x14ac:dyDescent="0.25">
      <c r="A6012" s="28"/>
      <c r="B6012" s="180"/>
      <c r="C6012" s="35"/>
      <c r="D6012" s="36"/>
      <c r="E6012" s="36"/>
    </row>
    <row r="6013" spans="1:5" x14ac:dyDescent="0.25">
      <c r="A6013" s="28"/>
      <c r="B6013" s="180"/>
      <c r="C6013" s="35"/>
      <c r="D6013" s="36"/>
      <c r="E6013" s="36"/>
    </row>
    <row r="6014" spans="1:5" x14ac:dyDescent="0.25">
      <c r="A6014" s="28"/>
      <c r="B6014" s="180"/>
      <c r="C6014" s="35"/>
      <c r="D6014" s="36"/>
      <c r="E6014" s="36"/>
    </row>
    <row r="6015" spans="1:5" x14ac:dyDescent="0.25">
      <c r="A6015" s="28"/>
      <c r="B6015" s="180"/>
      <c r="C6015" s="35"/>
      <c r="D6015" s="36"/>
      <c r="E6015" s="36"/>
    </row>
    <row r="6016" spans="1:5" x14ac:dyDescent="0.25">
      <c r="A6016" s="28"/>
      <c r="B6016" s="180"/>
      <c r="C6016" s="35"/>
      <c r="D6016" s="36"/>
      <c r="E6016" s="36"/>
    </row>
    <row r="6017" spans="1:5" x14ac:dyDescent="0.25">
      <c r="A6017" s="28"/>
      <c r="B6017" s="180"/>
      <c r="C6017" s="35"/>
      <c r="D6017" s="36"/>
      <c r="E6017" s="36"/>
    </row>
    <row r="6018" spans="1:5" x14ac:dyDescent="0.25">
      <c r="A6018" s="28"/>
      <c r="B6018" s="180"/>
      <c r="C6018" s="35"/>
      <c r="D6018" s="36"/>
      <c r="E6018" s="36"/>
    </row>
    <row r="6019" spans="1:5" x14ac:dyDescent="0.25">
      <c r="A6019" s="28"/>
      <c r="B6019" s="180"/>
      <c r="C6019" s="35"/>
      <c r="D6019" s="36"/>
      <c r="E6019" s="36"/>
    </row>
    <row r="6020" spans="1:5" x14ac:dyDescent="0.25">
      <c r="A6020" s="28"/>
      <c r="B6020" s="180"/>
      <c r="C6020" s="35"/>
      <c r="D6020" s="36"/>
      <c r="E6020" s="36"/>
    </row>
    <row r="6021" spans="1:5" x14ac:dyDescent="0.25">
      <c r="A6021" s="28"/>
      <c r="B6021" s="180"/>
      <c r="C6021" s="35"/>
      <c r="D6021" s="36"/>
      <c r="E6021" s="36"/>
    </row>
    <row r="6022" spans="1:5" x14ac:dyDescent="0.25">
      <c r="A6022" s="28"/>
      <c r="B6022" s="180"/>
      <c r="C6022" s="35"/>
      <c r="D6022" s="36"/>
      <c r="E6022" s="36"/>
    </row>
    <row r="6023" spans="1:5" x14ac:dyDescent="0.25">
      <c r="A6023" s="28"/>
      <c r="B6023" s="180"/>
      <c r="C6023" s="35"/>
      <c r="D6023" s="36"/>
      <c r="E6023" s="36"/>
    </row>
    <row r="6024" spans="1:5" x14ac:dyDescent="0.25">
      <c r="A6024" s="28"/>
      <c r="B6024" s="180"/>
      <c r="C6024" s="35"/>
      <c r="D6024" s="36"/>
      <c r="E6024" s="36"/>
    </row>
    <row r="6025" spans="1:5" x14ac:dyDescent="0.25">
      <c r="A6025" s="28"/>
      <c r="B6025" s="180"/>
      <c r="C6025" s="35"/>
      <c r="D6025" s="36"/>
      <c r="E6025" s="36"/>
    </row>
    <row r="6026" spans="1:5" x14ac:dyDescent="0.25">
      <c r="A6026" s="28"/>
      <c r="B6026" s="180"/>
      <c r="C6026" s="35"/>
      <c r="D6026" s="36"/>
      <c r="E6026" s="36"/>
    </row>
    <row r="6027" spans="1:5" x14ac:dyDescent="0.25">
      <c r="A6027" s="28"/>
      <c r="B6027" s="180"/>
      <c r="C6027" s="35"/>
      <c r="D6027" s="36"/>
      <c r="E6027" s="36"/>
    </row>
    <row r="6028" spans="1:5" x14ac:dyDescent="0.25">
      <c r="A6028" s="28"/>
      <c r="B6028" s="180"/>
      <c r="C6028" s="35"/>
      <c r="D6028" s="36"/>
      <c r="E6028" s="36"/>
    </row>
    <row r="6029" spans="1:5" x14ac:dyDescent="0.25">
      <c r="A6029" s="28"/>
      <c r="B6029" s="180"/>
      <c r="C6029" s="35"/>
      <c r="D6029" s="36"/>
      <c r="E6029" s="36"/>
    </row>
    <row r="6030" spans="1:5" x14ac:dyDescent="0.25">
      <c r="A6030" s="28"/>
      <c r="B6030" s="180"/>
      <c r="C6030" s="35"/>
      <c r="D6030" s="36"/>
      <c r="E6030" s="36"/>
    </row>
    <row r="6031" spans="1:5" x14ac:dyDescent="0.25">
      <c r="A6031" s="28"/>
      <c r="B6031" s="180"/>
      <c r="C6031" s="35"/>
      <c r="D6031" s="36"/>
      <c r="E6031" s="36"/>
    </row>
    <row r="6032" spans="1:5" x14ac:dyDescent="0.25">
      <c r="A6032" s="28"/>
      <c r="B6032" s="180"/>
      <c r="C6032" s="35"/>
      <c r="D6032" s="36"/>
      <c r="E6032" s="36"/>
    </row>
    <row r="6033" spans="1:5" x14ac:dyDescent="0.25">
      <c r="A6033" s="28"/>
      <c r="B6033" s="180"/>
      <c r="C6033" s="35"/>
      <c r="D6033" s="36"/>
      <c r="E6033" s="36"/>
    </row>
    <row r="6034" spans="1:5" x14ac:dyDescent="0.25">
      <c r="A6034" s="28"/>
      <c r="B6034" s="180"/>
      <c r="C6034" s="35"/>
      <c r="D6034" s="36"/>
      <c r="E6034" s="36"/>
    </row>
    <row r="6035" spans="1:5" x14ac:dyDescent="0.25">
      <c r="A6035" s="28"/>
      <c r="B6035" s="180"/>
      <c r="C6035" s="35"/>
      <c r="D6035" s="36"/>
      <c r="E6035" s="36"/>
    </row>
    <row r="6036" spans="1:5" x14ac:dyDescent="0.25">
      <c r="A6036" s="28"/>
      <c r="B6036" s="180"/>
      <c r="C6036" s="35"/>
      <c r="D6036" s="36"/>
      <c r="E6036" s="36"/>
    </row>
    <row r="6037" spans="1:5" x14ac:dyDescent="0.25">
      <c r="A6037" s="28"/>
      <c r="B6037" s="180"/>
      <c r="C6037" s="35"/>
      <c r="D6037" s="36"/>
      <c r="E6037" s="36"/>
    </row>
    <row r="6038" spans="1:5" x14ac:dyDescent="0.25">
      <c r="A6038" s="28"/>
      <c r="B6038" s="180"/>
      <c r="C6038" s="35"/>
      <c r="D6038" s="36"/>
      <c r="E6038" s="36"/>
    </row>
    <row r="6039" spans="1:5" x14ac:dyDescent="0.25">
      <c r="A6039" s="28"/>
      <c r="B6039" s="180"/>
      <c r="C6039" s="35"/>
      <c r="D6039" s="36"/>
      <c r="E6039" s="36"/>
    </row>
    <row r="6040" spans="1:5" x14ac:dyDescent="0.25">
      <c r="A6040" s="28"/>
      <c r="B6040" s="180"/>
      <c r="C6040" s="35"/>
      <c r="D6040" s="36"/>
      <c r="E6040" s="36"/>
    </row>
    <row r="6041" spans="1:5" x14ac:dyDescent="0.25">
      <c r="A6041" s="28"/>
      <c r="B6041" s="180"/>
      <c r="C6041" s="35"/>
      <c r="D6041" s="36"/>
      <c r="E6041" s="36"/>
    </row>
    <row r="6042" spans="1:5" x14ac:dyDescent="0.25">
      <c r="A6042" s="28"/>
      <c r="B6042" s="180"/>
      <c r="C6042" s="35"/>
      <c r="D6042" s="36"/>
      <c r="E6042" s="36"/>
    </row>
    <row r="6043" spans="1:5" x14ac:dyDescent="0.25">
      <c r="A6043" s="28"/>
      <c r="B6043" s="180"/>
      <c r="C6043" s="35"/>
      <c r="D6043" s="36"/>
      <c r="E6043" s="36"/>
    </row>
    <row r="6044" spans="1:5" x14ac:dyDescent="0.25">
      <c r="A6044" s="28"/>
      <c r="B6044" s="180"/>
      <c r="C6044" s="35"/>
      <c r="D6044" s="36"/>
      <c r="E6044" s="36"/>
    </row>
    <row r="6045" spans="1:5" x14ac:dyDescent="0.25">
      <c r="A6045" s="28"/>
      <c r="B6045" s="180"/>
      <c r="C6045" s="35"/>
      <c r="D6045" s="36"/>
      <c r="E6045" s="36"/>
    </row>
    <row r="6046" spans="1:5" x14ac:dyDescent="0.25">
      <c r="A6046" s="28"/>
      <c r="B6046" s="180"/>
      <c r="C6046" s="35"/>
      <c r="D6046" s="36"/>
      <c r="E6046" s="36"/>
    </row>
    <row r="6047" spans="1:5" x14ac:dyDescent="0.25">
      <c r="A6047" s="28"/>
      <c r="B6047" s="180"/>
      <c r="C6047" s="35"/>
      <c r="D6047" s="36"/>
      <c r="E6047" s="36"/>
    </row>
    <row r="6048" spans="1:5" x14ac:dyDescent="0.25">
      <c r="A6048" s="28"/>
      <c r="B6048" s="180"/>
      <c r="C6048" s="35"/>
      <c r="D6048" s="36"/>
      <c r="E6048" s="36"/>
    </row>
    <row r="6049" spans="1:5" x14ac:dyDescent="0.25">
      <c r="A6049" s="28"/>
      <c r="B6049" s="180"/>
      <c r="C6049" s="35"/>
      <c r="D6049" s="36"/>
      <c r="E6049" s="36"/>
    </row>
    <row r="6050" spans="1:5" x14ac:dyDescent="0.25">
      <c r="A6050" s="28"/>
      <c r="B6050" s="180"/>
      <c r="C6050" s="35"/>
      <c r="D6050" s="36"/>
      <c r="E6050" s="36"/>
    </row>
    <row r="6051" spans="1:5" x14ac:dyDescent="0.25">
      <c r="A6051" s="28"/>
      <c r="B6051" s="180"/>
      <c r="C6051" s="35"/>
      <c r="D6051" s="36"/>
      <c r="E6051" s="36"/>
    </row>
    <row r="6052" spans="1:5" x14ac:dyDescent="0.25">
      <c r="A6052" s="28"/>
      <c r="B6052" s="180"/>
      <c r="C6052" s="35"/>
      <c r="D6052" s="36"/>
      <c r="E6052" s="36"/>
    </row>
    <row r="6053" spans="1:5" x14ac:dyDescent="0.25">
      <c r="A6053" s="28"/>
      <c r="B6053" s="180"/>
      <c r="C6053" s="35"/>
      <c r="D6053" s="36"/>
      <c r="E6053" s="36"/>
    </row>
    <row r="6054" spans="1:5" x14ac:dyDescent="0.25">
      <c r="A6054" s="28"/>
      <c r="B6054" s="180"/>
      <c r="C6054" s="35"/>
      <c r="D6054" s="36"/>
      <c r="E6054" s="36"/>
    </row>
    <row r="6055" spans="1:5" x14ac:dyDescent="0.25">
      <c r="A6055" s="28"/>
      <c r="B6055" s="180"/>
      <c r="C6055" s="35"/>
      <c r="D6055" s="36"/>
      <c r="E6055" s="36"/>
    </row>
    <row r="6056" spans="1:5" x14ac:dyDescent="0.25">
      <c r="A6056" s="28"/>
      <c r="B6056" s="180"/>
      <c r="C6056" s="35"/>
      <c r="D6056" s="36"/>
      <c r="E6056" s="36"/>
    </row>
    <row r="6057" spans="1:5" x14ac:dyDescent="0.25">
      <c r="A6057" s="28"/>
      <c r="B6057" s="180"/>
      <c r="C6057" s="35"/>
      <c r="D6057" s="36"/>
      <c r="E6057" s="36"/>
    </row>
    <row r="6058" spans="1:5" x14ac:dyDescent="0.25">
      <c r="A6058" s="28"/>
      <c r="B6058" s="180"/>
      <c r="C6058" s="35"/>
      <c r="D6058" s="36"/>
      <c r="E6058" s="36"/>
    </row>
    <row r="6059" spans="1:5" x14ac:dyDescent="0.25">
      <c r="A6059" s="28"/>
      <c r="B6059" s="180"/>
      <c r="C6059" s="35"/>
      <c r="D6059" s="36"/>
      <c r="E6059" s="36"/>
    </row>
    <row r="6060" spans="1:5" x14ac:dyDescent="0.25">
      <c r="A6060" s="28"/>
      <c r="B6060" s="180"/>
      <c r="C6060" s="35"/>
      <c r="D6060" s="36"/>
      <c r="E6060" s="36"/>
    </row>
    <row r="6061" spans="1:5" x14ac:dyDescent="0.25">
      <c r="A6061" s="28"/>
      <c r="B6061" s="180"/>
      <c r="C6061" s="35"/>
      <c r="D6061" s="36"/>
      <c r="E6061" s="36"/>
    </row>
    <row r="6062" spans="1:5" x14ac:dyDescent="0.25">
      <c r="A6062" s="28"/>
      <c r="B6062" s="180"/>
      <c r="C6062" s="35"/>
      <c r="D6062" s="36"/>
      <c r="E6062" s="36"/>
    </row>
    <row r="6063" spans="1:5" x14ac:dyDescent="0.25">
      <c r="A6063" s="28"/>
      <c r="B6063" s="180"/>
      <c r="C6063" s="35"/>
      <c r="D6063" s="36"/>
      <c r="E6063" s="36"/>
    </row>
    <row r="6064" spans="1:5" x14ac:dyDescent="0.25">
      <c r="A6064" s="28"/>
      <c r="B6064" s="180"/>
      <c r="C6064" s="35"/>
      <c r="D6064" s="36"/>
      <c r="E6064" s="36"/>
    </row>
    <row r="6065" spans="1:5" x14ac:dyDescent="0.25">
      <c r="A6065" s="28"/>
      <c r="B6065" s="180"/>
      <c r="C6065" s="35"/>
      <c r="D6065" s="36"/>
      <c r="E6065" s="36"/>
    </row>
    <row r="6066" spans="1:5" x14ac:dyDescent="0.25">
      <c r="A6066" s="28"/>
      <c r="B6066" s="180"/>
      <c r="C6066" s="35"/>
      <c r="D6066" s="36"/>
      <c r="E6066" s="36"/>
    </row>
    <row r="6067" spans="1:5" x14ac:dyDescent="0.25">
      <c r="A6067" s="28"/>
      <c r="B6067" s="180"/>
      <c r="C6067" s="35"/>
      <c r="D6067" s="36"/>
      <c r="E6067" s="36"/>
    </row>
    <row r="6068" spans="1:5" x14ac:dyDescent="0.25">
      <c r="A6068" s="28"/>
      <c r="B6068" s="180"/>
      <c r="C6068" s="35"/>
      <c r="D6068" s="36"/>
      <c r="E6068" s="36"/>
    </row>
    <row r="6069" spans="1:5" x14ac:dyDescent="0.25">
      <c r="A6069" s="28"/>
      <c r="B6069" s="180"/>
      <c r="C6069" s="35"/>
      <c r="D6069" s="36"/>
      <c r="E6069" s="36"/>
    </row>
    <row r="6070" spans="1:5" x14ac:dyDescent="0.25">
      <c r="A6070" s="28"/>
      <c r="B6070" s="180"/>
      <c r="C6070" s="35"/>
      <c r="D6070" s="36"/>
      <c r="E6070" s="36"/>
    </row>
    <row r="6071" spans="1:5" x14ac:dyDescent="0.25">
      <c r="A6071" s="28"/>
      <c r="B6071" s="180"/>
      <c r="C6071" s="35"/>
      <c r="D6071" s="36"/>
      <c r="E6071" s="36"/>
    </row>
    <row r="6072" spans="1:5" x14ac:dyDescent="0.25">
      <c r="A6072" s="28"/>
      <c r="B6072" s="180"/>
      <c r="C6072" s="35"/>
      <c r="D6072" s="36"/>
      <c r="E6072" s="36"/>
    </row>
    <row r="6073" spans="1:5" x14ac:dyDescent="0.25">
      <c r="A6073" s="28"/>
      <c r="B6073" s="180"/>
      <c r="C6073" s="35"/>
      <c r="D6073" s="36"/>
      <c r="E6073" s="36"/>
    </row>
    <row r="6074" spans="1:5" x14ac:dyDescent="0.25">
      <c r="A6074" s="28"/>
      <c r="B6074" s="180"/>
      <c r="C6074" s="35"/>
      <c r="D6074" s="36"/>
      <c r="E6074" s="36"/>
    </row>
    <row r="6075" spans="1:5" x14ac:dyDescent="0.25">
      <c r="A6075" s="28"/>
      <c r="B6075" s="180"/>
      <c r="C6075" s="35"/>
      <c r="D6075" s="36"/>
      <c r="E6075" s="36"/>
    </row>
    <row r="6076" spans="1:5" x14ac:dyDescent="0.25">
      <c r="A6076" s="28"/>
      <c r="B6076" s="180"/>
      <c r="C6076" s="35"/>
      <c r="D6076" s="36"/>
      <c r="E6076" s="36"/>
    </row>
    <row r="6077" spans="1:5" x14ac:dyDescent="0.25">
      <c r="A6077" s="28"/>
      <c r="B6077" s="180"/>
      <c r="C6077" s="35"/>
      <c r="D6077" s="36"/>
      <c r="E6077" s="36"/>
    </row>
    <row r="6078" spans="1:5" x14ac:dyDescent="0.25">
      <c r="A6078" s="28"/>
      <c r="B6078" s="180"/>
      <c r="C6078" s="35"/>
      <c r="D6078" s="36"/>
      <c r="E6078" s="36"/>
    </row>
    <row r="6079" spans="1:5" x14ac:dyDescent="0.25">
      <c r="A6079" s="28"/>
      <c r="B6079" s="180"/>
      <c r="C6079" s="35"/>
      <c r="D6079" s="36"/>
      <c r="E6079" s="36"/>
    </row>
    <row r="6080" spans="1:5" x14ac:dyDescent="0.25">
      <c r="A6080" s="28"/>
      <c r="B6080" s="180"/>
      <c r="C6080" s="35"/>
      <c r="D6080" s="36"/>
      <c r="E6080" s="36"/>
    </row>
    <row r="6081" spans="1:5" x14ac:dyDescent="0.25">
      <c r="A6081" s="28"/>
      <c r="B6081" s="180"/>
      <c r="C6081" s="35"/>
      <c r="D6081" s="36"/>
      <c r="E6081" s="36"/>
    </row>
    <row r="6082" spans="1:5" x14ac:dyDescent="0.25">
      <c r="A6082" s="28"/>
      <c r="B6082" s="180"/>
      <c r="C6082" s="35"/>
      <c r="D6082" s="36"/>
      <c r="E6082" s="36"/>
    </row>
    <row r="6083" spans="1:5" x14ac:dyDescent="0.25">
      <c r="A6083" s="28"/>
      <c r="B6083" s="180"/>
      <c r="C6083" s="35"/>
      <c r="D6083" s="36"/>
      <c r="E6083" s="36"/>
    </row>
    <row r="6084" spans="1:5" x14ac:dyDescent="0.25">
      <c r="A6084" s="28"/>
      <c r="B6084" s="180"/>
      <c r="C6084" s="35"/>
      <c r="D6084" s="36"/>
      <c r="E6084" s="36"/>
    </row>
    <row r="6085" spans="1:5" x14ac:dyDescent="0.25">
      <c r="A6085" s="28"/>
      <c r="B6085" s="180"/>
      <c r="C6085" s="35"/>
      <c r="D6085" s="36"/>
      <c r="E6085" s="36"/>
    </row>
    <row r="6086" spans="1:5" x14ac:dyDescent="0.25">
      <c r="A6086" s="28"/>
      <c r="B6086" s="180"/>
      <c r="C6086" s="35"/>
      <c r="D6086" s="36"/>
      <c r="E6086" s="36"/>
    </row>
    <row r="6087" spans="1:5" x14ac:dyDescent="0.25">
      <c r="A6087" s="28"/>
      <c r="B6087" s="180"/>
      <c r="C6087" s="35"/>
      <c r="D6087" s="36"/>
      <c r="E6087" s="36"/>
    </row>
    <row r="6088" spans="1:5" x14ac:dyDescent="0.25">
      <c r="A6088" s="28"/>
      <c r="B6088" s="180"/>
      <c r="C6088" s="35"/>
      <c r="D6088" s="36"/>
      <c r="E6088" s="36"/>
    </row>
    <row r="6089" spans="1:5" x14ac:dyDescent="0.25">
      <c r="A6089" s="28"/>
      <c r="B6089" s="180"/>
      <c r="C6089" s="35"/>
      <c r="D6089" s="36"/>
      <c r="E6089" s="36"/>
    </row>
    <row r="6090" spans="1:5" x14ac:dyDescent="0.25">
      <c r="A6090" s="28"/>
      <c r="B6090" s="180"/>
      <c r="C6090" s="35"/>
      <c r="D6090" s="36"/>
      <c r="E6090" s="36"/>
    </row>
    <row r="6091" spans="1:5" x14ac:dyDescent="0.25">
      <c r="A6091" s="28"/>
      <c r="B6091" s="180"/>
      <c r="C6091" s="35"/>
      <c r="D6091" s="36"/>
      <c r="E6091" s="36"/>
    </row>
    <row r="6092" spans="1:5" x14ac:dyDescent="0.25">
      <c r="A6092" s="28"/>
      <c r="B6092" s="180"/>
      <c r="C6092" s="35"/>
      <c r="D6092" s="36"/>
      <c r="E6092" s="36"/>
    </row>
    <row r="6093" spans="1:5" x14ac:dyDescent="0.25">
      <c r="A6093" s="28"/>
      <c r="B6093" s="180"/>
      <c r="C6093" s="35"/>
      <c r="D6093" s="36"/>
      <c r="E6093" s="36"/>
    </row>
    <row r="6094" spans="1:5" x14ac:dyDescent="0.25">
      <c r="A6094" s="28"/>
      <c r="B6094" s="180"/>
      <c r="C6094" s="35"/>
      <c r="D6094" s="36"/>
      <c r="E6094" s="36"/>
    </row>
    <row r="6095" spans="1:5" x14ac:dyDescent="0.25">
      <c r="A6095" s="28"/>
      <c r="B6095" s="180"/>
      <c r="C6095" s="35"/>
      <c r="D6095" s="36"/>
      <c r="E6095" s="36"/>
    </row>
    <row r="6096" spans="1:5" x14ac:dyDescent="0.25">
      <c r="A6096" s="28"/>
      <c r="B6096" s="180"/>
      <c r="C6096" s="35"/>
      <c r="D6096" s="36"/>
      <c r="E6096" s="36"/>
    </row>
    <row r="6097" spans="1:5" x14ac:dyDescent="0.25">
      <c r="A6097" s="28"/>
      <c r="B6097" s="180"/>
      <c r="C6097" s="35"/>
      <c r="D6097" s="36"/>
      <c r="E6097" s="36"/>
    </row>
    <row r="6098" spans="1:5" x14ac:dyDescent="0.25">
      <c r="A6098" s="28"/>
      <c r="B6098" s="180"/>
      <c r="C6098" s="35"/>
      <c r="D6098" s="36"/>
      <c r="E6098" s="36"/>
    </row>
    <row r="6099" spans="1:5" x14ac:dyDescent="0.25">
      <c r="A6099" s="28"/>
      <c r="B6099" s="180"/>
      <c r="C6099" s="35"/>
      <c r="D6099" s="36"/>
      <c r="E6099" s="36"/>
    </row>
    <row r="6100" spans="1:5" x14ac:dyDescent="0.25">
      <c r="A6100" s="28"/>
      <c r="B6100" s="180"/>
      <c r="C6100" s="35"/>
      <c r="D6100" s="36"/>
      <c r="E6100" s="36"/>
    </row>
    <row r="6101" spans="1:5" x14ac:dyDescent="0.25">
      <c r="A6101" s="28"/>
      <c r="B6101" s="180"/>
      <c r="C6101" s="35"/>
      <c r="D6101" s="36"/>
      <c r="E6101" s="36"/>
    </row>
    <row r="6102" spans="1:5" x14ac:dyDescent="0.25">
      <c r="A6102" s="28"/>
      <c r="B6102" s="180"/>
      <c r="C6102" s="35"/>
      <c r="D6102" s="36"/>
      <c r="E6102" s="36"/>
    </row>
    <row r="6103" spans="1:5" x14ac:dyDescent="0.25">
      <c r="A6103" s="28"/>
      <c r="B6103" s="180"/>
      <c r="C6103" s="35"/>
      <c r="D6103" s="36"/>
      <c r="E6103" s="36"/>
    </row>
    <row r="6104" spans="1:5" x14ac:dyDescent="0.25">
      <c r="A6104" s="28"/>
      <c r="B6104" s="180"/>
      <c r="C6104" s="35"/>
      <c r="D6104" s="36"/>
      <c r="E6104" s="36"/>
    </row>
    <row r="6105" spans="1:5" x14ac:dyDescent="0.25">
      <c r="A6105" s="28"/>
      <c r="B6105" s="180"/>
      <c r="C6105" s="35"/>
      <c r="D6105" s="36"/>
      <c r="E6105" s="36"/>
    </row>
    <row r="6106" spans="1:5" x14ac:dyDescent="0.25">
      <c r="A6106" s="28"/>
      <c r="B6106" s="180"/>
      <c r="C6106" s="35"/>
      <c r="D6106" s="36"/>
      <c r="E6106" s="36"/>
    </row>
    <row r="6107" spans="1:5" x14ac:dyDescent="0.25">
      <c r="A6107" s="28"/>
      <c r="B6107" s="180"/>
      <c r="C6107" s="35"/>
      <c r="D6107" s="36"/>
      <c r="E6107" s="36"/>
    </row>
    <row r="6108" spans="1:5" x14ac:dyDescent="0.25">
      <c r="A6108" s="28"/>
      <c r="B6108" s="180"/>
      <c r="C6108" s="35"/>
      <c r="D6108" s="36"/>
      <c r="E6108" s="36"/>
    </row>
    <row r="6109" spans="1:5" x14ac:dyDescent="0.25">
      <c r="A6109" s="28"/>
      <c r="B6109" s="180"/>
      <c r="C6109" s="35"/>
      <c r="D6109" s="36"/>
      <c r="E6109" s="36"/>
    </row>
    <row r="6110" spans="1:5" x14ac:dyDescent="0.25">
      <c r="A6110" s="28"/>
      <c r="B6110" s="180"/>
      <c r="C6110" s="35"/>
      <c r="D6110" s="36"/>
      <c r="E6110" s="36"/>
    </row>
    <row r="6111" spans="1:5" x14ac:dyDescent="0.25">
      <c r="A6111" s="28"/>
      <c r="B6111" s="180"/>
      <c r="C6111" s="35"/>
      <c r="D6111" s="36"/>
      <c r="E6111" s="36"/>
    </row>
    <row r="6112" spans="1:5" x14ac:dyDescent="0.25">
      <c r="A6112" s="28"/>
      <c r="B6112" s="180"/>
      <c r="C6112" s="35"/>
      <c r="D6112" s="36"/>
      <c r="E6112" s="36"/>
    </row>
    <row r="6113" spans="1:5" x14ac:dyDescent="0.25">
      <c r="A6113" s="28"/>
      <c r="B6113" s="180"/>
      <c r="C6113" s="35"/>
      <c r="D6113" s="36"/>
      <c r="E6113" s="36"/>
    </row>
    <row r="6114" spans="1:5" x14ac:dyDescent="0.25">
      <c r="A6114" s="28"/>
      <c r="B6114" s="180"/>
      <c r="C6114" s="35"/>
      <c r="D6114" s="36"/>
      <c r="E6114" s="36"/>
    </row>
    <row r="6115" spans="1:5" x14ac:dyDescent="0.25">
      <c r="A6115" s="28"/>
      <c r="B6115" s="180"/>
      <c r="C6115" s="35"/>
      <c r="D6115" s="36"/>
      <c r="E6115" s="36"/>
    </row>
    <row r="6116" spans="1:5" x14ac:dyDescent="0.25">
      <c r="A6116" s="28"/>
      <c r="B6116" s="180"/>
      <c r="C6116" s="35"/>
      <c r="D6116" s="36"/>
      <c r="E6116" s="36"/>
    </row>
    <row r="6117" spans="1:5" x14ac:dyDescent="0.25">
      <c r="A6117" s="28"/>
      <c r="B6117" s="180"/>
      <c r="C6117" s="35"/>
      <c r="D6117" s="36"/>
      <c r="E6117" s="36"/>
    </row>
    <row r="6118" spans="1:5" x14ac:dyDescent="0.25">
      <c r="A6118" s="28"/>
      <c r="B6118" s="180"/>
      <c r="C6118" s="35"/>
      <c r="D6118" s="36"/>
      <c r="E6118" s="36"/>
    </row>
    <row r="6119" spans="1:5" x14ac:dyDescent="0.25">
      <c r="A6119" s="28"/>
      <c r="B6119" s="180"/>
      <c r="C6119" s="35"/>
      <c r="D6119" s="36"/>
      <c r="E6119" s="36"/>
    </row>
    <row r="6120" spans="1:5" x14ac:dyDescent="0.25">
      <c r="A6120" s="28"/>
      <c r="B6120" s="180"/>
      <c r="C6120" s="35"/>
      <c r="D6120" s="36"/>
      <c r="E6120" s="36"/>
    </row>
    <row r="6121" spans="1:5" x14ac:dyDescent="0.25">
      <c r="A6121" s="28"/>
      <c r="B6121" s="180"/>
      <c r="C6121" s="35"/>
      <c r="D6121" s="36"/>
      <c r="E6121" s="36"/>
    </row>
    <row r="6122" spans="1:5" x14ac:dyDescent="0.25">
      <c r="A6122" s="28"/>
      <c r="B6122" s="180"/>
      <c r="C6122" s="35"/>
      <c r="D6122" s="36"/>
      <c r="E6122" s="36"/>
    </row>
    <row r="6123" spans="1:5" x14ac:dyDescent="0.25">
      <c r="A6123" s="28"/>
      <c r="B6123" s="180"/>
      <c r="C6123" s="35"/>
      <c r="D6123" s="36"/>
      <c r="E6123" s="36"/>
    </row>
    <row r="6124" spans="1:5" x14ac:dyDescent="0.25">
      <c r="A6124" s="28"/>
      <c r="B6124" s="180"/>
      <c r="C6124" s="35"/>
      <c r="D6124" s="36"/>
      <c r="E6124" s="36"/>
    </row>
    <row r="6125" spans="1:5" x14ac:dyDescent="0.25">
      <c r="A6125" s="28"/>
      <c r="B6125" s="180"/>
      <c r="C6125" s="35"/>
      <c r="D6125" s="36"/>
      <c r="E6125" s="36"/>
    </row>
    <row r="6126" spans="1:5" x14ac:dyDescent="0.25">
      <c r="A6126" s="28"/>
      <c r="B6126" s="180"/>
      <c r="C6126" s="35"/>
      <c r="D6126" s="36"/>
      <c r="E6126" s="36"/>
    </row>
    <row r="6127" spans="1:5" x14ac:dyDescent="0.25">
      <c r="A6127" s="28"/>
      <c r="B6127" s="180"/>
      <c r="C6127" s="35"/>
      <c r="D6127" s="36"/>
      <c r="E6127" s="36"/>
    </row>
    <row r="6128" spans="1:5" x14ac:dyDescent="0.25">
      <c r="A6128" s="28"/>
      <c r="B6128" s="180"/>
      <c r="C6128" s="35"/>
      <c r="D6128" s="36"/>
      <c r="E6128" s="36"/>
    </row>
    <row r="6129" spans="1:5" x14ac:dyDescent="0.25">
      <c r="A6129" s="28"/>
      <c r="B6129" s="180"/>
      <c r="C6129" s="35"/>
      <c r="D6129" s="36"/>
      <c r="E6129" s="36"/>
    </row>
    <row r="6130" spans="1:5" x14ac:dyDescent="0.25">
      <c r="A6130" s="28"/>
      <c r="B6130" s="180"/>
      <c r="C6130" s="35"/>
      <c r="D6130" s="36"/>
      <c r="E6130" s="36"/>
    </row>
    <row r="6131" spans="1:5" x14ac:dyDescent="0.25">
      <c r="A6131" s="28"/>
      <c r="B6131" s="180"/>
      <c r="C6131" s="35"/>
      <c r="D6131" s="36"/>
      <c r="E6131" s="36"/>
    </row>
    <row r="6132" spans="1:5" x14ac:dyDescent="0.25">
      <c r="A6132" s="28"/>
      <c r="B6132" s="180"/>
      <c r="C6132" s="35"/>
      <c r="D6132" s="36"/>
      <c r="E6132" s="36"/>
    </row>
    <row r="6133" spans="1:5" x14ac:dyDescent="0.25">
      <c r="A6133" s="28"/>
      <c r="B6133" s="180"/>
      <c r="C6133" s="35"/>
      <c r="D6133" s="36"/>
      <c r="E6133" s="36"/>
    </row>
    <row r="6134" spans="1:5" x14ac:dyDescent="0.25">
      <c r="A6134" s="28"/>
      <c r="B6134" s="180"/>
      <c r="C6134" s="35"/>
      <c r="D6134" s="36"/>
      <c r="E6134" s="36"/>
    </row>
    <row r="6135" spans="1:5" x14ac:dyDescent="0.25">
      <c r="A6135" s="28"/>
      <c r="B6135" s="180"/>
      <c r="C6135" s="35"/>
      <c r="D6135" s="36"/>
      <c r="E6135" s="36"/>
    </row>
    <row r="6136" spans="1:5" x14ac:dyDescent="0.25">
      <c r="A6136" s="28"/>
      <c r="B6136" s="180"/>
      <c r="C6136" s="35"/>
      <c r="D6136" s="36"/>
      <c r="E6136" s="36"/>
    </row>
    <row r="6137" spans="1:5" x14ac:dyDescent="0.25">
      <c r="A6137" s="28"/>
      <c r="B6137" s="180"/>
      <c r="C6137" s="35"/>
      <c r="D6137" s="36"/>
      <c r="E6137" s="36"/>
    </row>
    <row r="6138" spans="1:5" x14ac:dyDescent="0.25">
      <c r="A6138" s="28"/>
      <c r="B6138" s="180"/>
      <c r="C6138" s="35"/>
      <c r="D6138" s="36"/>
      <c r="E6138" s="36"/>
    </row>
    <row r="6139" spans="1:5" x14ac:dyDescent="0.25">
      <c r="A6139" s="28"/>
      <c r="B6139" s="180"/>
      <c r="C6139" s="35"/>
      <c r="D6139" s="36"/>
      <c r="E6139" s="36"/>
    </row>
    <row r="6140" spans="1:5" x14ac:dyDescent="0.25">
      <c r="A6140" s="28"/>
      <c r="B6140" s="180"/>
      <c r="C6140" s="35"/>
      <c r="D6140" s="36"/>
      <c r="E6140" s="36"/>
    </row>
    <row r="6141" spans="1:5" x14ac:dyDescent="0.25">
      <c r="A6141" s="28"/>
      <c r="B6141" s="180"/>
      <c r="C6141" s="35"/>
      <c r="D6141" s="36"/>
      <c r="E6141" s="36"/>
    </row>
    <row r="6142" spans="1:5" x14ac:dyDescent="0.25">
      <c r="A6142" s="28"/>
      <c r="B6142" s="180"/>
      <c r="C6142" s="35"/>
      <c r="D6142" s="36"/>
      <c r="E6142" s="36"/>
    </row>
    <row r="6143" spans="1:5" x14ac:dyDescent="0.25">
      <c r="A6143" s="28"/>
      <c r="B6143" s="180"/>
      <c r="C6143" s="35"/>
      <c r="D6143" s="36"/>
      <c r="E6143" s="36"/>
    </row>
    <row r="6144" spans="1:5" x14ac:dyDescent="0.25">
      <c r="A6144" s="28"/>
      <c r="B6144" s="180"/>
      <c r="C6144" s="35"/>
      <c r="D6144" s="36"/>
      <c r="E6144" s="36"/>
    </row>
    <row r="6145" spans="1:5" x14ac:dyDescent="0.25">
      <c r="A6145" s="28"/>
      <c r="B6145" s="180"/>
      <c r="C6145" s="35"/>
      <c r="D6145" s="36"/>
      <c r="E6145" s="36"/>
    </row>
    <row r="6146" spans="1:5" x14ac:dyDescent="0.25">
      <c r="A6146" s="28"/>
      <c r="B6146" s="180"/>
      <c r="C6146" s="35"/>
      <c r="D6146" s="36"/>
      <c r="E6146" s="36"/>
    </row>
    <row r="6147" spans="1:5" x14ac:dyDescent="0.25">
      <c r="A6147" s="28"/>
      <c r="B6147" s="180"/>
      <c r="C6147" s="35"/>
      <c r="D6147" s="36"/>
      <c r="E6147" s="36"/>
    </row>
    <row r="6148" spans="1:5" x14ac:dyDescent="0.25">
      <c r="A6148" s="28"/>
      <c r="B6148" s="180"/>
      <c r="C6148" s="35"/>
      <c r="D6148" s="36"/>
      <c r="E6148" s="36"/>
    </row>
    <row r="6149" spans="1:5" x14ac:dyDescent="0.25">
      <c r="A6149" s="28"/>
      <c r="B6149" s="180"/>
      <c r="C6149" s="35"/>
      <c r="D6149" s="36"/>
      <c r="E6149" s="36"/>
    </row>
    <row r="6150" spans="1:5" x14ac:dyDescent="0.25">
      <c r="A6150" s="28"/>
      <c r="B6150" s="180"/>
      <c r="C6150" s="35"/>
      <c r="D6150" s="36"/>
      <c r="E6150" s="36"/>
    </row>
    <row r="6151" spans="1:5" x14ac:dyDescent="0.25">
      <c r="A6151" s="28"/>
      <c r="B6151" s="180"/>
      <c r="C6151" s="35"/>
      <c r="D6151" s="36"/>
      <c r="E6151" s="36"/>
    </row>
    <row r="6152" spans="1:5" x14ac:dyDescent="0.25">
      <c r="A6152" s="28"/>
      <c r="B6152" s="180"/>
      <c r="C6152" s="35"/>
      <c r="D6152" s="36"/>
      <c r="E6152" s="36"/>
    </row>
    <row r="6153" spans="1:5" x14ac:dyDescent="0.25">
      <c r="A6153" s="28"/>
      <c r="B6153" s="180"/>
      <c r="C6153" s="35"/>
      <c r="D6153" s="36"/>
      <c r="E6153" s="36"/>
    </row>
    <row r="6154" spans="1:5" x14ac:dyDescent="0.25">
      <c r="A6154" s="28"/>
      <c r="B6154" s="180"/>
      <c r="C6154" s="35"/>
      <c r="D6154" s="36"/>
      <c r="E6154" s="36"/>
    </row>
    <row r="6155" spans="1:5" x14ac:dyDescent="0.25">
      <c r="A6155" s="28"/>
      <c r="B6155" s="180"/>
      <c r="C6155" s="35"/>
      <c r="D6155" s="36"/>
      <c r="E6155" s="36"/>
    </row>
    <row r="6156" spans="1:5" x14ac:dyDescent="0.25">
      <c r="A6156" s="28"/>
      <c r="B6156" s="180"/>
      <c r="C6156" s="35"/>
      <c r="D6156" s="36"/>
      <c r="E6156" s="36"/>
    </row>
    <row r="6157" spans="1:5" x14ac:dyDescent="0.25">
      <c r="A6157" s="28"/>
      <c r="B6157" s="180"/>
      <c r="C6157" s="35"/>
      <c r="D6157" s="36"/>
      <c r="E6157" s="36"/>
    </row>
    <row r="6158" spans="1:5" x14ac:dyDescent="0.25">
      <c r="A6158" s="28"/>
      <c r="B6158" s="180"/>
      <c r="C6158" s="35"/>
      <c r="D6158" s="36"/>
      <c r="E6158" s="36"/>
    </row>
    <row r="6159" spans="1:5" x14ac:dyDescent="0.25">
      <c r="A6159" s="28"/>
      <c r="B6159" s="180"/>
      <c r="C6159" s="35"/>
      <c r="D6159" s="36"/>
      <c r="E6159" s="36"/>
    </row>
    <row r="6160" spans="1:5" x14ac:dyDescent="0.25">
      <c r="A6160" s="28"/>
      <c r="B6160" s="180"/>
      <c r="C6160" s="35"/>
      <c r="D6160" s="36"/>
      <c r="E6160" s="36"/>
    </row>
    <row r="6161" spans="1:5" x14ac:dyDescent="0.25">
      <c r="A6161" s="28"/>
      <c r="B6161" s="180"/>
      <c r="C6161" s="35"/>
      <c r="D6161" s="36"/>
      <c r="E6161" s="36"/>
    </row>
    <row r="6162" spans="1:5" x14ac:dyDescent="0.25">
      <c r="A6162" s="28"/>
      <c r="B6162" s="180"/>
      <c r="C6162" s="35"/>
      <c r="D6162" s="36"/>
      <c r="E6162" s="36"/>
    </row>
    <row r="6163" spans="1:5" x14ac:dyDescent="0.25">
      <c r="A6163" s="28"/>
      <c r="B6163" s="180"/>
      <c r="C6163" s="35"/>
      <c r="D6163" s="36"/>
      <c r="E6163" s="36"/>
    </row>
    <row r="6164" spans="1:5" x14ac:dyDescent="0.25">
      <c r="A6164" s="28"/>
      <c r="B6164" s="180"/>
      <c r="C6164" s="35"/>
      <c r="D6164" s="36"/>
      <c r="E6164" s="36"/>
    </row>
    <row r="6165" spans="1:5" x14ac:dyDescent="0.25">
      <c r="A6165" s="28"/>
      <c r="B6165" s="180"/>
      <c r="C6165" s="35"/>
      <c r="D6165" s="36"/>
      <c r="E6165" s="36"/>
    </row>
    <row r="6166" spans="1:5" x14ac:dyDescent="0.25">
      <c r="A6166" s="28"/>
      <c r="B6166" s="180"/>
      <c r="C6166" s="35"/>
      <c r="D6166" s="36"/>
      <c r="E6166" s="36"/>
    </row>
    <row r="6167" spans="1:5" x14ac:dyDescent="0.25">
      <c r="A6167" s="28"/>
      <c r="B6167" s="180"/>
      <c r="C6167" s="35"/>
      <c r="D6167" s="36"/>
      <c r="E6167" s="36"/>
    </row>
    <row r="6168" spans="1:5" x14ac:dyDescent="0.25">
      <c r="A6168" s="28"/>
      <c r="B6168" s="180"/>
      <c r="C6168" s="35"/>
      <c r="D6168" s="36"/>
      <c r="E6168" s="36"/>
    </row>
    <row r="6169" spans="1:5" x14ac:dyDescent="0.25">
      <c r="A6169" s="28"/>
      <c r="B6169" s="180"/>
      <c r="C6169" s="35"/>
      <c r="D6169" s="36"/>
      <c r="E6169" s="36"/>
    </row>
    <row r="6170" spans="1:5" x14ac:dyDescent="0.25">
      <c r="A6170" s="28"/>
      <c r="B6170" s="180"/>
      <c r="C6170" s="35"/>
      <c r="D6170" s="36"/>
      <c r="E6170" s="36"/>
    </row>
    <row r="6171" spans="1:5" x14ac:dyDescent="0.25">
      <c r="A6171" s="28"/>
      <c r="B6171" s="180"/>
      <c r="C6171" s="35"/>
      <c r="D6171" s="36"/>
      <c r="E6171" s="36"/>
    </row>
    <row r="6172" spans="1:5" x14ac:dyDescent="0.25">
      <c r="A6172" s="28"/>
      <c r="B6172" s="180"/>
      <c r="C6172" s="35"/>
      <c r="D6172" s="36"/>
      <c r="E6172" s="36"/>
    </row>
    <row r="6173" spans="1:5" x14ac:dyDescent="0.25">
      <c r="A6173" s="28"/>
      <c r="B6173" s="180"/>
      <c r="C6173" s="35"/>
      <c r="D6173" s="36"/>
      <c r="E6173" s="36"/>
    </row>
    <row r="6174" spans="1:5" x14ac:dyDescent="0.25">
      <c r="A6174" s="28"/>
      <c r="B6174" s="180"/>
      <c r="C6174" s="35"/>
      <c r="D6174" s="36"/>
      <c r="E6174" s="36"/>
    </row>
    <row r="6175" spans="1:5" x14ac:dyDescent="0.25">
      <c r="A6175" s="28"/>
      <c r="B6175" s="180"/>
      <c r="C6175" s="35"/>
      <c r="D6175" s="36"/>
      <c r="E6175" s="36"/>
    </row>
    <row r="6176" spans="1:5" x14ac:dyDescent="0.25">
      <c r="A6176" s="28"/>
      <c r="B6176" s="180"/>
      <c r="C6176" s="35"/>
      <c r="D6176" s="36"/>
      <c r="E6176" s="36"/>
    </row>
    <row r="6177" spans="1:5" x14ac:dyDescent="0.25">
      <c r="A6177" s="28"/>
      <c r="B6177" s="180"/>
      <c r="C6177" s="35"/>
      <c r="D6177" s="36"/>
      <c r="E6177" s="36"/>
    </row>
    <row r="6178" spans="1:5" x14ac:dyDescent="0.25">
      <c r="A6178" s="28"/>
      <c r="B6178" s="180"/>
      <c r="C6178" s="35"/>
      <c r="D6178" s="36"/>
      <c r="E6178" s="36"/>
    </row>
    <row r="6179" spans="1:5" x14ac:dyDescent="0.25">
      <c r="A6179" s="28"/>
      <c r="B6179" s="180"/>
      <c r="C6179" s="35"/>
      <c r="D6179" s="36"/>
      <c r="E6179" s="36"/>
    </row>
    <row r="6180" spans="1:5" x14ac:dyDescent="0.25">
      <c r="A6180" s="28"/>
      <c r="B6180" s="180"/>
      <c r="C6180" s="35"/>
      <c r="D6180" s="36"/>
      <c r="E6180" s="36"/>
    </row>
    <row r="6181" spans="1:5" x14ac:dyDescent="0.25">
      <c r="A6181" s="28"/>
      <c r="B6181" s="180"/>
      <c r="C6181" s="35"/>
      <c r="D6181" s="36"/>
      <c r="E6181" s="36"/>
    </row>
    <row r="6182" spans="1:5" x14ac:dyDescent="0.25">
      <c r="A6182" s="28"/>
      <c r="B6182" s="180"/>
      <c r="C6182" s="35"/>
      <c r="D6182" s="36"/>
      <c r="E6182" s="36"/>
    </row>
    <row r="6183" spans="1:5" x14ac:dyDescent="0.25">
      <c r="A6183" s="28"/>
      <c r="B6183" s="180"/>
      <c r="C6183" s="35"/>
      <c r="D6183" s="36"/>
      <c r="E6183" s="36"/>
    </row>
    <row r="6184" spans="1:5" x14ac:dyDescent="0.25">
      <c r="A6184" s="28"/>
      <c r="B6184" s="180"/>
      <c r="C6184" s="35"/>
      <c r="D6184" s="36"/>
      <c r="E6184" s="36"/>
    </row>
    <row r="6185" spans="1:5" x14ac:dyDescent="0.25">
      <c r="A6185" s="28"/>
      <c r="B6185" s="180"/>
      <c r="C6185" s="35"/>
      <c r="D6185" s="36"/>
      <c r="E6185" s="36"/>
    </row>
    <row r="6186" spans="1:5" x14ac:dyDescent="0.25">
      <c r="A6186" s="28"/>
      <c r="B6186" s="180"/>
      <c r="C6186" s="35"/>
      <c r="D6186" s="36"/>
      <c r="E6186" s="36"/>
    </row>
    <row r="6187" spans="1:5" x14ac:dyDescent="0.25">
      <c r="A6187" s="28"/>
      <c r="B6187" s="180"/>
      <c r="C6187" s="35"/>
      <c r="D6187" s="36"/>
      <c r="E6187" s="36"/>
    </row>
    <row r="6188" spans="1:5" x14ac:dyDescent="0.25">
      <c r="A6188" s="28"/>
      <c r="B6188" s="180"/>
      <c r="C6188" s="35"/>
      <c r="D6188" s="36"/>
      <c r="E6188" s="36"/>
    </row>
    <row r="6189" spans="1:5" x14ac:dyDescent="0.25">
      <c r="A6189" s="28"/>
      <c r="B6189" s="180"/>
      <c r="C6189" s="35"/>
      <c r="D6189" s="36"/>
      <c r="E6189" s="36"/>
    </row>
    <row r="6190" spans="1:5" x14ac:dyDescent="0.25">
      <c r="A6190" s="28"/>
      <c r="B6190" s="180"/>
      <c r="C6190" s="35"/>
      <c r="D6190" s="36"/>
      <c r="E6190" s="36"/>
    </row>
    <row r="6191" spans="1:5" x14ac:dyDescent="0.25">
      <c r="A6191" s="28"/>
      <c r="B6191" s="180"/>
      <c r="C6191" s="35"/>
      <c r="D6191" s="36"/>
      <c r="E6191" s="36"/>
    </row>
    <row r="6192" spans="1:5" x14ac:dyDescent="0.25">
      <c r="A6192" s="28"/>
      <c r="B6192" s="180"/>
      <c r="C6192" s="35"/>
      <c r="D6192" s="36"/>
      <c r="E6192" s="36"/>
    </row>
    <row r="6193" spans="1:5" x14ac:dyDescent="0.25">
      <c r="A6193" s="28"/>
      <c r="B6193" s="180"/>
      <c r="C6193" s="35"/>
      <c r="D6193" s="36"/>
      <c r="E6193" s="36"/>
    </row>
    <row r="6194" spans="1:5" x14ac:dyDescent="0.25">
      <c r="A6194" s="28"/>
      <c r="B6194" s="180"/>
      <c r="C6194" s="35"/>
      <c r="D6194" s="36"/>
      <c r="E6194" s="36"/>
    </row>
    <row r="6195" spans="1:5" x14ac:dyDescent="0.25">
      <c r="A6195" s="28"/>
      <c r="B6195" s="180"/>
      <c r="C6195" s="35"/>
      <c r="D6195" s="36"/>
      <c r="E6195" s="36"/>
    </row>
    <row r="6196" spans="1:5" x14ac:dyDescent="0.25">
      <c r="A6196" s="28"/>
      <c r="B6196" s="180"/>
      <c r="C6196" s="35"/>
      <c r="D6196" s="36"/>
      <c r="E6196" s="36"/>
    </row>
    <row r="6197" spans="1:5" x14ac:dyDescent="0.25">
      <c r="A6197" s="28"/>
      <c r="B6197" s="180"/>
      <c r="C6197" s="35"/>
      <c r="D6197" s="36"/>
      <c r="E6197" s="36"/>
    </row>
    <row r="6198" spans="1:5" x14ac:dyDescent="0.25">
      <c r="A6198" s="28"/>
      <c r="B6198" s="180"/>
      <c r="C6198" s="35"/>
      <c r="D6198" s="36"/>
      <c r="E6198" s="36"/>
    </row>
    <row r="6199" spans="1:5" x14ac:dyDescent="0.25">
      <c r="A6199" s="28"/>
      <c r="B6199" s="180"/>
      <c r="C6199" s="35"/>
      <c r="D6199" s="36"/>
      <c r="E6199" s="36"/>
    </row>
    <row r="6200" spans="1:5" x14ac:dyDescent="0.25">
      <c r="A6200" s="28"/>
      <c r="B6200" s="180"/>
      <c r="C6200" s="35"/>
      <c r="D6200" s="36"/>
      <c r="E6200" s="36"/>
    </row>
    <row r="6201" spans="1:5" x14ac:dyDescent="0.25">
      <c r="A6201" s="28"/>
      <c r="B6201" s="180"/>
      <c r="C6201" s="35"/>
      <c r="D6201" s="36"/>
      <c r="E6201" s="36"/>
    </row>
    <row r="6202" spans="1:5" x14ac:dyDescent="0.25">
      <c r="A6202" s="28"/>
      <c r="B6202" s="180"/>
      <c r="C6202" s="35"/>
      <c r="D6202" s="36"/>
      <c r="E6202" s="36"/>
    </row>
    <row r="6203" spans="1:5" x14ac:dyDescent="0.25">
      <c r="A6203" s="28"/>
      <c r="B6203" s="180"/>
      <c r="C6203" s="35"/>
      <c r="D6203" s="36"/>
      <c r="E6203" s="36"/>
    </row>
    <row r="6204" spans="1:5" x14ac:dyDescent="0.25">
      <c r="A6204" s="28"/>
      <c r="B6204" s="180"/>
      <c r="C6204" s="35"/>
      <c r="D6204" s="36"/>
      <c r="E6204" s="36"/>
    </row>
    <row r="6205" spans="1:5" x14ac:dyDescent="0.25">
      <c r="A6205" s="28"/>
      <c r="B6205" s="180"/>
      <c r="C6205" s="35"/>
      <c r="D6205" s="36"/>
      <c r="E6205" s="36"/>
    </row>
    <row r="6206" spans="1:5" x14ac:dyDescent="0.25">
      <c r="A6206" s="28"/>
      <c r="B6206" s="180"/>
      <c r="C6206" s="35"/>
      <c r="D6206" s="36"/>
      <c r="E6206" s="36"/>
    </row>
    <row r="6207" spans="1:5" x14ac:dyDescent="0.25">
      <c r="A6207" s="28"/>
      <c r="B6207" s="180"/>
      <c r="C6207" s="35"/>
      <c r="D6207" s="36"/>
      <c r="E6207" s="36"/>
    </row>
    <row r="6208" spans="1:5" x14ac:dyDescent="0.25">
      <c r="A6208" s="28"/>
      <c r="B6208" s="180"/>
      <c r="C6208" s="35"/>
      <c r="D6208" s="36"/>
      <c r="E6208" s="36"/>
    </row>
    <row r="6209" spans="1:5" x14ac:dyDescent="0.25">
      <c r="A6209" s="28"/>
      <c r="B6209" s="180"/>
      <c r="C6209" s="35"/>
      <c r="D6209" s="36"/>
      <c r="E6209" s="36"/>
    </row>
    <row r="6210" spans="1:5" x14ac:dyDescent="0.25">
      <c r="A6210" s="28"/>
      <c r="B6210" s="180"/>
      <c r="C6210" s="35"/>
      <c r="D6210" s="36"/>
      <c r="E6210" s="36"/>
    </row>
    <row r="6211" spans="1:5" x14ac:dyDescent="0.25">
      <c r="A6211" s="28"/>
      <c r="B6211" s="180"/>
      <c r="C6211" s="35"/>
      <c r="D6211" s="36"/>
      <c r="E6211" s="36"/>
    </row>
    <row r="6212" spans="1:5" x14ac:dyDescent="0.25">
      <c r="A6212" s="28"/>
      <c r="B6212" s="180"/>
      <c r="C6212" s="35"/>
      <c r="D6212" s="36"/>
      <c r="E6212" s="36"/>
    </row>
    <row r="6213" spans="1:5" x14ac:dyDescent="0.25">
      <c r="A6213" s="28"/>
      <c r="B6213" s="180"/>
      <c r="C6213" s="35"/>
      <c r="D6213" s="36"/>
      <c r="E6213" s="36"/>
    </row>
    <row r="6214" spans="1:5" x14ac:dyDescent="0.25">
      <c r="A6214" s="28"/>
      <c r="B6214" s="180"/>
      <c r="C6214" s="35"/>
      <c r="D6214" s="36"/>
      <c r="E6214" s="36"/>
    </row>
    <row r="6215" spans="1:5" x14ac:dyDescent="0.25">
      <c r="A6215" s="28"/>
      <c r="B6215" s="180"/>
      <c r="C6215" s="35"/>
      <c r="D6215" s="36"/>
      <c r="E6215" s="36"/>
    </row>
    <row r="6216" spans="1:5" x14ac:dyDescent="0.25">
      <c r="A6216" s="28"/>
      <c r="B6216" s="180"/>
      <c r="C6216" s="35"/>
      <c r="D6216" s="36"/>
      <c r="E6216" s="36"/>
    </row>
    <row r="6217" spans="1:5" x14ac:dyDescent="0.25">
      <c r="A6217" s="28"/>
      <c r="B6217" s="180"/>
      <c r="C6217" s="35"/>
      <c r="D6217" s="36"/>
      <c r="E6217" s="36"/>
    </row>
    <row r="6218" spans="1:5" x14ac:dyDescent="0.25">
      <c r="A6218" s="28"/>
      <c r="B6218" s="180"/>
      <c r="C6218" s="35"/>
      <c r="D6218" s="36"/>
      <c r="E6218" s="36"/>
    </row>
    <row r="6219" spans="1:5" x14ac:dyDescent="0.25">
      <c r="A6219" s="28"/>
      <c r="B6219" s="180"/>
      <c r="C6219" s="35"/>
      <c r="D6219" s="36"/>
      <c r="E6219" s="36"/>
    </row>
    <row r="6220" spans="1:5" x14ac:dyDescent="0.25">
      <c r="A6220" s="28"/>
      <c r="B6220" s="180"/>
      <c r="C6220" s="35"/>
      <c r="D6220" s="36"/>
      <c r="E6220" s="36"/>
    </row>
    <row r="6221" spans="1:5" x14ac:dyDescent="0.25">
      <c r="A6221" s="28"/>
      <c r="B6221" s="180"/>
      <c r="C6221" s="35"/>
      <c r="D6221" s="36"/>
      <c r="E6221" s="36"/>
    </row>
    <row r="6222" spans="1:5" x14ac:dyDescent="0.25">
      <c r="A6222" s="28"/>
      <c r="B6222" s="180"/>
      <c r="C6222" s="35"/>
      <c r="D6222" s="36"/>
      <c r="E6222" s="36"/>
    </row>
    <row r="6223" spans="1:5" x14ac:dyDescent="0.25">
      <c r="A6223" s="28"/>
      <c r="B6223" s="180"/>
      <c r="C6223" s="35"/>
      <c r="D6223" s="36"/>
      <c r="E6223" s="36"/>
    </row>
    <row r="6224" spans="1:5" x14ac:dyDescent="0.25">
      <c r="A6224" s="28"/>
      <c r="B6224" s="180"/>
      <c r="C6224" s="35"/>
      <c r="D6224" s="36"/>
      <c r="E6224" s="36"/>
    </row>
    <row r="6225" spans="1:5" x14ac:dyDescent="0.25">
      <c r="A6225" s="28"/>
      <c r="B6225" s="180"/>
      <c r="C6225" s="35"/>
      <c r="D6225" s="36"/>
      <c r="E6225" s="36"/>
    </row>
    <row r="6226" spans="1:5" x14ac:dyDescent="0.25">
      <c r="A6226" s="28"/>
      <c r="B6226" s="180"/>
      <c r="C6226" s="35"/>
      <c r="D6226" s="36"/>
      <c r="E6226" s="36"/>
    </row>
    <row r="6227" spans="1:5" x14ac:dyDescent="0.25">
      <c r="A6227" s="28"/>
      <c r="B6227" s="180"/>
      <c r="C6227" s="35"/>
      <c r="D6227" s="36"/>
      <c r="E6227" s="36"/>
    </row>
    <row r="6228" spans="1:5" x14ac:dyDescent="0.25">
      <c r="A6228" s="28"/>
      <c r="B6228" s="180"/>
      <c r="C6228" s="35"/>
      <c r="D6228" s="36"/>
      <c r="E6228" s="36"/>
    </row>
    <row r="6229" spans="1:5" x14ac:dyDescent="0.25">
      <c r="A6229" s="28"/>
      <c r="B6229" s="180"/>
      <c r="C6229" s="35"/>
      <c r="D6229" s="36"/>
      <c r="E6229" s="36"/>
    </row>
    <row r="6230" spans="1:5" x14ac:dyDescent="0.25">
      <c r="A6230" s="28"/>
      <c r="B6230" s="180"/>
      <c r="C6230" s="35"/>
      <c r="D6230" s="36"/>
      <c r="E6230" s="36"/>
    </row>
    <row r="6231" spans="1:5" x14ac:dyDescent="0.25">
      <c r="A6231" s="28"/>
      <c r="B6231" s="180"/>
      <c r="C6231" s="35"/>
      <c r="D6231" s="36"/>
      <c r="E6231" s="36"/>
    </row>
    <row r="6232" spans="1:5" x14ac:dyDescent="0.25">
      <c r="A6232" s="28"/>
      <c r="B6232" s="180"/>
      <c r="C6232" s="35"/>
      <c r="D6232" s="36"/>
      <c r="E6232" s="36"/>
    </row>
    <row r="6233" spans="1:5" x14ac:dyDescent="0.25">
      <c r="A6233" s="28"/>
      <c r="B6233" s="180"/>
      <c r="C6233" s="35"/>
      <c r="D6233" s="36"/>
      <c r="E6233" s="36"/>
    </row>
    <row r="6234" spans="1:5" x14ac:dyDescent="0.25">
      <c r="A6234" s="28"/>
      <c r="B6234" s="180"/>
      <c r="C6234" s="35"/>
      <c r="D6234" s="36"/>
      <c r="E6234" s="36"/>
    </row>
    <row r="6235" spans="1:5" x14ac:dyDescent="0.25">
      <c r="A6235" s="28"/>
      <c r="B6235" s="180"/>
      <c r="C6235" s="35"/>
      <c r="D6235" s="36"/>
      <c r="E6235" s="36"/>
    </row>
    <row r="6236" spans="1:5" x14ac:dyDescent="0.25">
      <c r="A6236" s="28"/>
      <c r="B6236" s="180"/>
      <c r="C6236" s="35"/>
      <c r="D6236" s="36"/>
      <c r="E6236" s="36"/>
    </row>
    <row r="6237" spans="1:5" x14ac:dyDescent="0.25">
      <c r="A6237" s="28"/>
      <c r="B6237" s="180"/>
      <c r="C6237" s="35"/>
      <c r="D6237" s="36"/>
      <c r="E6237" s="36"/>
    </row>
    <row r="6238" spans="1:5" x14ac:dyDescent="0.25">
      <c r="A6238" s="28"/>
      <c r="B6238" s="180"/>
      <c r="C6238" s="35"/>
      <c r="D6238" s="36"/>
      <c r="E6238" s="36"/>
    </row>
    <row r="6239" spans="1:5" x14ac:dyDescent="0.25">
      <c r="A6239" s="28"/>
      <c r="B6239" s="180"/>
      <c r="C6239" s="35"/>
      <c r="D6239" s="36"/>
      <c r="E6239" s="36"/>
    </row>
    <row r="6240" spans="1:5" x14ac:dyDescent="0.25">
      <c r="A6240" s="28"/>
      <c r="B6240" s="180"/>
      <c r="C6240" s="35"/>
      <c r="D6240" s="36"/>
      <c r="E6240" s="36"/>
    </row>
    <row r="6241" spans="1:5" x14ac:dyDescent="0.25">
      <c r="A6241" s="28"/>
      <c r="B6241" s="180"/>
      <c r="C6241" s="35"/>
      <c r="D6241" s="36"/>
      <c r="E6241" s="36"/>
    </row>
    <row r="6242" spans="1:5" x14ac:dyDescent="0.25">
      <c r="A6242" s="28"/>
      <c r="B6242" s="180"/>
      <c r="C6242" s="35"/>
      <c r="D6242" s="36"/>
      <c r="E6242" s="36"/>
    </row>
    <row r="6243" spans="1:5" x14ac:dyDescent="0.25">
      <c r="A6243" s="28"/>
      <c r="B6243" s="180"/>
      <c r="C6243" s="35"/>
      <c r="D6243" s="36"/>
      <c r="E6243" s="36"/>
    </row>
    <row r="6244" spans="1:5" x14ac:dyDescent="0.25">
      <c r="A6244" s="28"/>
      <c r="B6244" s="180"/>
      <c r="C6244" s="35"/>
      <c r="D6244" s="36"/>
      <c r="E6244" s="36"/>
    </row>
    <row r="6245" spans="1:5" x14ac:dyDescent="0.25">
      <c r="A6245" s="28"/>
      <c r="B6245" s="180"/>
      <c r="C6245" s="35"/>
      <c r="D6245" s="36"/>
      <c r="E6245" s="36"/>
    </row>
    <row r="6246" spans="1:5" x14ac:dyDescent="0.25">
      <c r="A6246" s="28"/>
      <c r="B6246" s="180"/>
      <c r="C6246" s="35"/>
      <c r="D6246" s="36"/>
      <c r="E6246" s="36"/>
    </row>
    <row r="6247" spans="1:5" x14ac:dyDescent="0.25">
      <c r="A6247" s="28"/>
      <c r="B6247" s="180"/>
      <c r="C6247" s="35"/>
      <c r="D6247" s="36"/>
      <c r="E6247" s="36"/>
    </row>
    <row r="6248" spans="1:5" x14ac:dyDescent="0.25">
      <c r="A6248" s="28"/>
      <c r="B6248" s="180"/>
      <c r="C6248" s="35"/>
      <c r="D6248" s="36"/>
      <c r="E6248" s="36"/>
    </row>
    <row r="6249" spans="1:5" x14ac:dyDescent="0.25">
      <c r="A6249" s="28"/>
      <c r="B6249" s="180"/>
      <c r="C6249" s="35"/>
      <c r="D6249" s="36"/>
      <c r="E6249" s="36"/>
    </row>
    <row r="6250" spans="1:5" x14ac:dyDescent="0.25">
      <c r="A6250" s="28"/>
      <c r="B6250" s="180"/>
      <c r="C6250" s="35"/>
      <c r="D6250" s="36"/>
      <c r="E6250" s="36"/>
    </row>
    <row r="6251" spans="1:5" x14ac:dyDescent="0.25">
      <c r="A6251" s="28"/>
      <c r="B6251" s="180"/>
      <c r="C6251" s="35"/>
      <c r="D6251" s="36"/>
      <c r="E6251" s="36"/>
    </row>
    <row r="6252" spans="1:5" x14ac:dyDescent="0.25">
      <c r="A6252" s="28"/>
      <c r="B6252" s="180"/>
      <c r="C6252" s="35"/>
      <c r="D6252" s="36"/>
      <c r="E6252" s="36"/>
    </row>
    <row r="6253" spans="1:5" x14ac:dyDescent="0.25">
      <c r="A6253" s="28"/>
      <c r="B6253" s="180"/>
      <c r="C6253" s="35"/>
      <c r="D6253" s="36"/>
      <c r="E6253" s="36"/>
    </row>
    <row r="6254" spans="1:5" x14ac:dyDescent="0.25">
      <c r="A6254" s="28"/>
      <c r="B6254" s="180"/>
      <c r="C6254" s="35"/>
      <c r="D6254" s="36"/>
      <c r="E6254" s="36"/>
    </row>
    <row r="6255" spans="1:5" x14ac:dyDescent="0.25">
      <c r="A6255" s="28"/>
      <c r="B6255" s="180"/>
      <c r="C6255" s="35"/>
      <c r="D6255" s="36"/>
      <c r="E6255" s="36"/>
    </row>
    <row r="6256" spans="1:5" x14ac:dyDescent="0.25">
      <c r="A6256" s="28"/>
      <c r="B6256" s="180"/>
      <c r="C6256" s="35"/>
      <c r="D6256" s="36"/>
      <c r="E6256" s="36"/>
    </row>
    <row r="6257" spans="1:5" x14ac:dyDescent="0.25">
      <c r="A6257" s="28"/>
      <c r="B6257" s="180"/>
      <c r="C6257" s="35"/>
      <c r="D6257" s="36"/>
      <c r="E6257" s="36"/>
    </row>
    <row r="6258" spans="1:5" x14ac:dyDescent="0.25">
      <c r="A6258" s="28"/>
      <c r="B6258" s="180"/>
      <c r="C6258" s="35"/>
      <c r="D6258" s="36"/>
      <c r="E6258" s="36"/>
    </row>
    <row r="6259" spans="1:5" x14ac:dyDescent="0.25">
      <c r="A6259" s="28"/>
      <c r="B6259" s="180"/>
      <c r="C6259" s="35"/>
      <c r="D6259" s="36"/>
      <c r="E6259" s="36"/>
    </row>
    <row r="6260" spans="1:5" x14ac:dyDescent="0.25">
      <c r="A6260" s="28"/>
      <c r="B6260" s="180"/>
      <c r="C6260" s="35"/>
      <c r="D6260" s="36"/>
      <c r="E6260" s="36"/>
    </row>
    <row r="6261" spans="1:5" x14ac:dyDescent="0.25">
      <c r="A6261" s="28"/>
      <c r="B6261" s="180"/>
      <c r="C6261" s="35"/>
      <c r="D6261" s="36"/>
      <c r="E6261" s="36"/>
    </row>
    <row r="6262" spans="1:5" x14ac:dyDescent="0.25">
      <c r="A6262" s="28"/>
      <c r="B6262" s="180"/>
      <c r="C6262" s="35"/>
      <c r="D6262" s="36"/>
      <c r="E6262" s="36"/>
    </row>
    <row r="6263" spans="1:5" x14ac:dyDescent="0.25">
      <c r="A6263" s="28"/>
      <c r="B6263" s="180"/>
      <c r="C6263" s="35"/>
      <c r="D6263" s="36"/>
      <c r="E6263" s="36"/>
    </row>
    <row r="6264" spans="1:5" x14ac:dyDescent="0.25">
      <c r="A6264" s="28"/>
      <c r="B6264" s="180"/>
      <c r="C6264" s="35"/>
      <c r="D6264" s="36"/>
      <c r="E6264" s="36"/>
    </row>
    <row r="6265" spans="1:5" x14ac:dyDescent="0.25">
      <c r="A6265" s="28"/>
      <c r="B6265" s="180"/>
      <c r="C6265" s="35"/>
      <c r="D6265" s="36"/>
      <c r="E6265" s="36"/>
    </row>
    <row r="6266" spans="1:5" x14ac:dyDescent="0.25">
      <c r="A6266" s="28"/>
      <c r="B6266" s="180"/>
      <c r="C6266" s="35"/>
      <c r="D6266" s="36"/>
      <c r="E6266" s="36"/>
    </row>
    <row r="6267" spans="1:5" x14ac:dyDescent="0.25">
      <c r="A6267" s="28"/>
      <c r="B6267" s="180"/>
      <c r="C6267" s="35"/>
      <c r="D6267" s="36"/>
      <c r="E6267" s="36"/>
    </row>
    <row r="6268" spans="1:5" x14ac:dyDescent="0.25">
      <c r="A6268" s="28"/>
      <c r="B6268" s="180"/>
      <c r="C6268" s="35"/>
      <c r="D6268" s="36"/>
      <c r="E6268" s="36"/>
    </row>
    <row r="6269" spans="1:5" x14ac:dyDescent="0.25">
      <c r="A6269" s="28"/>
      <c r="B6269" s="180"/>
      <c r="C6269" s="35"/>
      <c r="D6269" s="36"/>
      <c r="E6269" s="36"/>
    </row>
    <row r="6270" spans="1:5" x14ac:dyDescent="0.25">
      <c r="A6270" s="28"/>
      <c r="B6270" s="180"/>
      <c r="C6270" s="35"/>
      <c r="D6270" s="36"/>
      <c r="E6270" s="36"/>
    </row>
    <row r="6271" spans="1:5" x14ac:dyDescent="0.25">
      <c r="A6271" s="28"/>
      <c r="B6271" s="180"/>
      <c r="C6271" s="35"/>
      <c r="D6271" s="36"/>
      <c r="E6271" s="36"/>
    </row>
    <row r="6272" spans="1:5" x14ac:dyDescent="0.25">
      <c r="A6272" s="28"/>
      <c r="B6272" s="180"/>
      <c r="C6272" s="35"/>
      <c r="D6272" s="36"/>
      <c r="E6272" s="36"/>
    </row>
    <row r="6273" spans="1:5" x14ac:dyDescent="0.25">
      <c r="A6273" s="28"/>
      <c r="B6273" s="180"/>
      <c r="C6273" s="35"/>
      <c r="D6273" s="36"/>
      <c r="E6273" s="36"/>
    </row>
    <row r="6274" spans="1:5" x14ac:dyDescent="0.25">
      <c r="A6274" s="28"/>
      <c r="B6274" s="180"/>
      <c r="C6274" s="35"/>
      <c r="D6274" s="36"/>
      <c r="E6274" s="36"/>
    </row>
    <row r="6275" spans="1:5" x14ac:dyDescent="0.25">
      <c r="A6275" s="28"/>
      <c r="B6275" s="180"/>
      <c r="C6275" s="35"/>
      <c r="D6275" s="36"/>
      <c r="E6275" s="36"/>
    </row>
    <row r="6276" spans="1:5" x14ac:dyDescent="0.25">
      <c r="A6276" s="28"/>
      <c r="B6276" s="180"/>
      <c r="C6276" s="35"/>
      <c r="D6276" s="36"/>
      <c r="E6276" s="36"/>
    </row>
    <row r="6277" spans="1:5" x14ac:dyDescent="0.25">
      <c r="A6277" s="28"/>
      <c r="B6277" s="180"/>
      <c r="C6277" s="35"/>
      <c r="D6277" s="36"/>
      <c r="E6277" s="36"/>
    </row>
    <row r="6278" spans="1:5" x14ac:dyDescent="0.25">
      <c r="A6278" s="28"/>
      <c r="B6278" s="180"/>
      <c r="C6278" s="35"/>
      <c r="D6278" s="36"/>
      <c r="E6278" s="36"/>
    </row>
    <row r="6279" spans="1:5" x14ac:dyDescent="0.25">
      <c r="A6279" s="28"/>
      <c r="B6279" s="180"/>
      <c r="C6279" s="35"/>
      <c r="D6279" s="36"/>
      <c r="E6279" s="36"/>
    </row>
    <row r="6280" spans="1:5" x14ac:dyDescent="0.25">
      <c r="A6280" s="28"/>
      <c r="B6280" s="180"/>
      <c r="C6280" s="35"/>
      <c r="D6280" s="36"/>
      <c r="E6280" s="36"/>
    </row>
    <row r="6281" spans="1:5" x14ac:dyDescent="0.25">
      <c r="A6281" s="28"/>
      <c r="B6281" s="180"/>
      <c r="C6281" s="35"/>
      <c r="D6281" s="36"/>
      <c r="E6281" s="36"/>
    </row>
    <row r="6282" spans="1:5" x14ac:dyDescent="0.25">
      <c r="A6282" s="28"/>
      <c r="B6282" s="180"/>
      <c r="C6282" s="35"/>
      <c r="D6282" s="36"/>
      <c r="E6282" s="36"/>
    </row>
    <row r="6283" spans="1:5" x14ac:dyDescent="0.25">
      <c r="A6283" s="28"/>
      <c r="B6283" s="180"/>
      <c r="C6283" s="35"/>
      <c r="D6283" s="36"/>
      <c r="E6283" s="36"/>
    </row>
    <row r="6284" spans="1:5" x14ac:dyDescent="0.25">
      <c r="A6284" s="28"/>
      <c r="B6284" s="180"/>
      <c r="C6284" s="35"/>
      <c r="D6284" s="36"/>
      <c r="E6284" s="36"/>
    </row>
    <row r="6285" spans="1:5" x14ac:dyDescent="0.25">
      <c r="A6285" s="28"/>
      <c r="B6285" s="180"/>
      <c r="C6285" s="35"/>
      <c r="D6285" s="36"/>
      <c r="E6285" s="36"/>
    </row>
    <row r="6286" spans="1:5" x14ac:dyDescent="0.25">
      <c r="A6286" s="28"/>
      <c r="B6286" s="180"/>
      <c r="C6286" s="35"/>
      <c r="D6286" s="36"/>
      <c r="E6286" s="36"/>
    </row>
    <row r="6287" spans="1:5" x14ac:dyDescent="0.25">
      <c r="A6287" s="28"/>
      <c r="B6287" s="180"/>
      <c r="C6287" s="35"/>
      <c r="D6287" s="36"/>
      <c r="E6287" s="36"/>
    </row>
    <row r="6288" spans="1:5" x14ac:dyDescent="0.25">
      <c r="A6288" s="28"/>
      <c r="B6288" s="180"/>
      <c r="C6288" s="35"/>
      <c r="D6288" s="36"/>
      <c r="E6288" s="36"/>
    </row>
    <row r="6289" spans="1:5" x14ac:dyDescent="0.25">
      <c r="A6289" s="28"/>
      <c r="B6289" s="180"/>
      <c r="C6289" s="35"/>
      <c r="D6289" s="36"/>
      <c r="E6289" s="36"/>
    </row>
    <row r="6290" spans="1:5" x14ac:dyDescent="0.25">
      <c r="A6290" s="28"/>
      <c r="B6290" s="180"/>
      <c r="C6290" s="35"/>
      <c r="D6290" s="36"/>
      <c r="E6290" s="36"/>
    </row>
    <row r="6291" spans="1:5" x14ac:dyDescent="0.25">
      <c r="A6291" s="28"/>
      <c r="B6291" s="180"/>
      <c r="C6291" s="35"/>
      <c r="D6291" s="36"/>
      <c r="E6291" s="36"/>
    </row>
    <row r="6292" spans="1:5" x14ac:dyDescent="0.25">
      <c r="A6292" s="28"/>
      <c r="B6292" s="180"/>
      <c r="C6292" s="35"/>
      <c r="D6292" s="36"/>
      <c r="E6292" s="36"/>
    </row>
    <row r="6293" spans="1:5" x14ac:dyDescent="0.25">
      <c r="A6293" s="28"/>
      <c r="B6293" s="180"/>
      <c r="C6293" s="35"/>
      <c r="D6293" s="36"/>
      <c r="E6293" s="36"/>
    </row>
    <row r="6294" spans="1:5" x14ac:dyDescent="0.25">
      <c r="A6294" s="28"/>
      <c r="B6294" s="180"/>
      <c r="C6294" s="35"/>
      <c r="D6294" s="36"/>
      <c r="E6294" s="36"/>
    </row>
    <row r="6295" spans="1:5" x14ac:dyDescent="0.25">
      <c r="A6295" s="28"/>
      <c r="B6295" s="180"/>
      <c r="C6295" s="35"/>
      <c r="D6295" s="36"/>
      <c r="E6295" s="36"/>
    </row>
    <row r="6296" spans="1:5" x14ac:dyDescent="0.25">
      <c r="A6296" s="28"/>
      <c r="B6296" s="180"/>
      <c r="C6296" s="35"/>
      <c r="D6296" s="36"/>
      <c r="E6296" s="36"/>
    </row>
    <row r="6297" spans="1:5" x14ac:dyDescent="0.25">
      <c r="A6297" s="28"/>
      <c r="B6297" s="180"/>
      <c r="C6297" s="35"/>
      <c r="D6297" s="36"/>
      <c r="E6297" s="36"/>
    </row>
    <row r="6298" spans="1:5" x14ac:dyDescent="0.25">
      <c r="A6298" s="28"/>
      <c r="B6298" s="180"/>
      <c r="C6298" s="35"/>
      <c r="D6298" s="36"/>
      <c r="E6298" s="36"/>
    </row>
    <row r="6299" spans="1:5" x14ac:dyDescent="0.25">
      <c r="A6299" s="28"/>
      <c r="B6299" s="180"/>
      <c r="C6299" s="35"/>
      <c r="D6299" s="36"/>
      <c r="E6299" s="36"/>
    </row>
    <row r="6300" spans="1:5" x14ac:dyDescent="0.25">
      <c r="A6300" s="28"/>
      <c r="B6300" s="180"/>
      <c r="C6300" s="35"/>
      <c r="D6300" s="36"/>
      <c r="E6300" s="36"/>
    </row>
    <row r="6301" spans="1:5" x14ac:dyDescent="0.25">
      <c r="A6301" s="28"/>
      <c r="B6301" s="180"/>
      <c r="C6301" s="35"/>
      <c r="D6301" s="36"/>
      <c r="E6301" s="36"/>
    </row>
    <row r="6302" spans="1:5" x14ac:dyDescent="0.25">
      <c r="A6302" s="28"/>
      <c r="B6302" s="180"/>
      <c r="C6302" s="35"/>
      <c r="D6302" s="36"/>
      <c r="E6302" s="36"/>
    </row>
    <row r="6303" spans="1:5" x14ac:dyDescent="0.25">
      <c r="A6303" s="28"/>
      <c r="B6303" s="180"/>
      <c r="C6303" s="35"/>
      <c r="D6303" s="36"/>
      <c r="E6303" s="36"/>
    </row>
    <row r="6304" spans="1:5" x14ac:dyDescent="0.25">
      <c r="A6304" s="28"/>
      <c r="B6304" s="180"/>
      <c r="C6304" s="35"/>
      <c r="D6304" s="36"/>
      <c r="E6304" s="36"/>
    </row>
    <row r="6305" spans="1:5" x14ac:dyDescent="0.25">
      <c r="A6305" s="28"/>
      <c r="B6305" s="180"/>
      <c r="C6305" s="35"/>
      <c r="D6305" s="36"/>
      <c r="E6305" s="36"/>
    </row>
    <row r="6306" spans="1:5" x14ac:dyDescent="0.25">
      <c r="A6306" s="28"/>
      <c r="B6306" s="180"/>
      <c r="C6306" s="35"/>
      <c r="D6306" s="36"/>
      <c r="E6306" s="36"/>
    </row>
    <row r="6307" spans="1:5" x14ac:dyDescent="0.25">
      <c r="A6307" s="28"/>
      <c r="B6307" s="180"/>
      <c r="C6307" s="35"/>
      <c r="D6307" s="36"/>
      <c r="E6307" s="36"/>
    </row>
    <row r="6308" spans="1:5" x14ac:dyDescent="0.25">
      <c r="A6308" s="28"/>
      <c r="B6308" s="180"/>
      <c r="C6308" s="35"/>
      <c r="D6308" s="36"/>
      <c r="E6308" s="36"/>
    </row>
    <row r="6309" spans="1:5" x14ac:dyDescent="0.25">
      <c r="A6309" s="28"/>
      <c r="B6309" s="180"/>
      <c r="C6309" s="35"/>
      <c r="D6309" s="36"/>
      <c r="E6309" s="36"/>
    </row>
    <row r="6310" spans="1:5" x14ac:dyDescent="0.25">
      <c r="A6310" s="28"/>
      <c r="B6310" s="180"/>
      <c r="C6310" s="35"/>
      <c r="D6310" s="36"/>
      <c r="E6310" s="36"/>
    </row>
    <row r="6311" spans="1:5" x14ac:dyDescent="0.25">
      <c r="A6311" s="28"/>
      <c r="B6311" s="180"/>
      <c r="C6311" s="35"/>
      <c r="D6311" s="36"/>
      <c r="E6311" s="36"/>
    </row>
    <row r="6312" spans="1:5" x14ac:dyDescent="0.25">
      <c r="A6312" s="28"/>
      <c r="B6312" s="180"/>
      <c r="C6312" s="35"/>
      <c r="D6312" s="36"/>
      <c r="E6312" s="36"/>
    </row>
    <row r="6313" spans="1:5" x14ac:dyDescent="0.25">
      <c r="A6313" s="28"/>
      <c r="B6313" s="180"/>
      <c r="C6313" s="35"/>
      <c r="D6313" s="36"/>
      <c r="E6313" s="36"/>
    </row>
    <row r="6314" spans="1:5" x14ac:dyDescent="0.25">
      <c r="A6314" s="28"/>
      <c r="B6314" s="180"/>
      <c r="C6314" s="35"/>
      <c r="D6314" s="36"/>
      <c r="E6314" s="36"/>
    </row>
    <row r="6315" spans="1:5" x14ac:dyDescent="0.25">
      <c r="A6315" s="28"/>
      <c r="B6315" s="180"/>
      <c r="C6315" s="35"/>
      <c r="D6315" s="36"/>
      <c r="E6315" s="36"/>
    </row>
    <row r="6316" spans="1:5" x14ac:dyDescent="0.25">
      <c r="A6316" s="28"/>
      <c r="B6316" s="180"/>
      <c r="C6316" s="35"/>
      <c r="D6316" s="36"/>
      <c r="E6316" s="36"/>
    </row>
    <row r="6317" spans="1:5" x14ac:dyDescent="0.25">
      <c r="A6317" s="28"/>
      <c r="B6317" s="180"/>
      <c r="C6317" s="35"/>
      <c r="D6317" s="36"/>
      <c r="E6317" s="36"/>
    </row>
    <row r="6318" spans="1:5" x14ac:dyDescent="0.25">
      <c r="A6318" s="28"/>
      <c r="B6318" s="180"/>
      <c r="C6318" s="35"/>
      <c r="D6318" s="36"/>
      <c r="E6318" s="36"/>
    </row>
    <row r="6319" spans="1:5" x14ac:dyDescent="0.25">
      <c r="A6319" s="28"/>
      <c r="B6319" s="180"/>
      <c r="C6319" s="35"/>
      <c r="D6319" s="36"/>
      <c r="E6319" s="36"/>
    </row>
    <row r="6320" spans="1:5" x14ac:dyDescent="0.25">
      <c r="A6320" s="28"/>
      <c r="B6320" s="180"/>
      <c r="C6320" s="35"/>
      <c r="D6320" s="36"/>
      <c r="E6320" s="36"/>
    </row>
    <row r="6321" spans="1:5" x14ac:dyDescent="0.25">
      <c r="A6321" s="28"/>
      <c r="B6321" s="180"/>
      <c r="C6321" s="35"/>
      <c r="D6321" s="36"/>
      <c r="E6321" s="36"/>
    </row>
    <row r="6322" spans="1:5" x14ac:dyDescent="0.25">
      <c r="A6322" s="28"/>
      <c r="B6322" s="180"/>
      <c r="C6322" s="35"/>
      <c r="D6322" s="36"/>
      <c r="E6322" s="36"/>
    </row>
    <row r="6323" spans="1:5" x14ac:dyDescent="0.25">
      <c r="A6323" s="28"/>
      <c r="B6323" s="180"/>
      <c r="C6323" s="35"/>
      <c r="D6323" s="36"/>
      <c r="E6323" s="36"/>
    </row>
    <row r="6324" spans="1:5" x14ac:dyDescent="0.25">
      <c r="A6324" s="28"/>
      <c r="B6324" s="180"/>
      <c r="C6324" s="35"/>
      <c r="D6324" s="36"/>
      <c r="E6324" s="36"/>
    </row>
    <row r="6325" spans="1:5" x14ac:dyDescent="0.25">
      <c r="A6325" s="28"/>
      <c r="B6325" s="180"/>
      <c r="C6325" s="35"/>
      <c r="D6325" s="36"/>
      <c r="E6325" s="36"/>
    </row>
    <row r="6326" spans="1:5" x14ac:dyDescent="0.25">
      <c r="A6326" s="28"/>
      <c r="B6326" s="180"/>
      <c r="C6326" s="35"/>
      <c r="D6326" s="36"/>
      <c r="E6326" s="36"/>
    </row>
    <row r="6327" spans="1:5" x14ac:dyDescent="0.25">
      <c r="A6327" s="28"/>
      <c r="B6327" s="180"/>
      <c r="C6327" s="35"/>
      <c r="D6327" s="36"/>
      <c r="E6327" s="36"/>
    </row>
    <row r="6328" spans="1:5" x14ac:dyDescent="0.25">
      <c r="A6328" s="28"/>
      <c r="B6328" s="180"/>
      <c r="C6328" s="35"/>
      <c r="D6328" s="36"/>
      <c r="E6328" s="36"/>
    </row>
    <row r="6329" spans="1:5" x14ac:dyDescent="0.25">
      <c r="A6329" s="28"/>
      <c r="B6329" s="180"/>
      <c r="C6329" s="35"/>
      <c r="D6329" s="36"/>
      <c r="E6329" s="36"/>
    </row>
    <row r="6330" spans="1:5" x14ac:dyDescent="0.25">
      <c r="A6330" s="28"/>
      <c r="B6330" s="180"/>
      <c r="C6330" s="35"/>
      <c r="D6330" s="36"/>
      <c r="E6330" s="36"/>
    </row>
    <row r="6331" spans="1:5" x14ac:dyDescent="0.25">
      <c r="A6331" s="28"/>
      <c r="B6331" s="180"/>
      <c r="C6331" s="35"/>
      <c r="D6331" s="36"/>
      <c r="E6331" s="36"/>
    </row>
    <row r="6332" spans="1:5" x14ac:dyDescent="0.25">
      <c r="A6332" s="28"/>
      <c r="B6332" s="180"/>
      <c r="C6332" s="35"/>
      <c r="D6332" s="36"/>
      <c r="E6332" s="36"/>
    </row>
    <row r="6333" spans="1:5" x14ac:dyDescent="0.25">
      <c r="A6333" s="28"/>
      <c r="B6333" s="180"/>
      <c r="C6333" s="35"/>
      <c r="D6333" s="36"/>
      <c r="E6333" s="36"/>
    </row>
    <row r="6334" spans="1:5" x14ac:dyDescent="0.25">
      <c r="A6334" s="28"/>
      <c r="B6334" s="180"/>
      <c r="C6334" s="35"/>
      <c r="D6334" s="36"/>
      <c r="E6334" s="36"/>
    </row>
    <row r="6335" spans="1:5" x14ac:dyDescent="0.25">
      <c r="A6335" s="28"/>
      <c r="B6335" s="180"/>
      <c r="C6335" s="35"/>
      <c r="D6335" s="36"/>
      <c r="E6335" s="36"/>
    </row>
    <row r="6336" spans="1:5" x14ac:dyDescent="0.25">
      <c r="A6336" s="28"/>
      <c r="B6336" s="180"/>
      <c r="C6336" s="35"/>
      <c r="D6336" s="36"/>
      <c r="E6336" s="36"/>
    </row>
    <row r="6337" spans="1:5" x14ac:dyDescent="0.25">
      <c r="A6337" s="28"/>
      <c r="B6337" s="180"/>
      <c r="C6337" s="35"/>
      <c r="D6337" s="36"/>
      <c r="E6337" s="36"/>
    </row>
    <row r="6338" spans="1:5" x14ac:dyDescent="0.25">
      <c r="A6338" s="28"/>
      <c r="B6338" s="180"/>
      <c r="C6338" s="35"/>
      <c r="D6338" s="36"/>
      <c r="E6338" s="36"/>
    </row>
    <row r="6339" spans="1:5" x14ac:dyDescent="0.25">
      <c r="A6339" s="28"/>
      <c r="B6339" s="180"/>
      <c r="C6339" s="35"/>
      <c r="D6339" s="36"/>
      <c r="E6339" s="36"/>
    </row>
    <row r="6340" spans="1:5" x14ac:dyDescent="0.25">
      <c r="A6340" s="28"/>
      <c r="B6340" s="180"/>
      <c r="C6340" s="35"/>
      <c r="D6340" s="36"/>
      <c r="E6340" s="36"/>
    </row>
    <row r="6341" spans="1:5" x14ac:dyDescent="0.25">
      <c r="A6341" s="28"/>
      <c r="B6341" s="180"/>
      <c r="C6341" s="35"/>
      <c r="D6341" s="36"/>
      <c r="E6341" s="36"/>
    </row>
    <row r="6342" spans="1:5" x14ac:dyDescent="0.25">
      <c r="A6342" s="28"/>
      <c r="B6342" s="180"/>
      <c r="C6342" s="35"/>
      <c r="D6342" s="36"/>
      <c r="E6342" s="36"/>
    </row>
    <row r="6343" spans="1:5" x14ac:dyDescent="0.25">
      <c r="A6343" s="28"/>
      <c r="B6343" s="180"/>
      <c r="C6343" s="35"/>
      <c r="D6343" s="36"/>
      <c r="E6343" s="36"/>
    </row>
    <row r="6344" spans="1:5" x14ac:dyDescent="0.25">
      <c r="A6344" s="28"/>
      <c r="B6344" s="180"/>
      <c r="C6344" s="35"/>
      <c r="D6344" s="36"/>
      <c r="E6344" s="36"/>
    </row>
    <row r="6345" spans="1:5" x14ac:dyDescent="0.25">
      <c r="A6345" s="28"/>
      <c r="B6345" s="180"/>
      <c r="C6345" s="35"/>
      <c r="D6345" s="36"/>
      <c r="E6345" s="36"/>
    </row>
    <row r="6346" spans="1:5" x14ac:dyDescent="0.25">
      <c r="A6346" s="28"/>
      <c r="B6346" s="180"/>
      <c r="C6346" s="35"/>
      <c r="D6346" s="36"/>
      <c r="E6346" s="36"/>
    </row>
    <row r="6347" spans="1:5" x14ac:dyDescent="0.25">
      <c r="A6347" s="28"/>
      <c r="B6347" s="180"/>
      <c r="C6347" s="35"/>
      <c r="D6347" s="36"/>
      <c r="E6347" s="36"/>
    </row>
    <row r="6348" spans="1:5" x14ac:dyDescent="0.25">
      <c r="A6348" s="28"/>
      <c r="B6348" s="180"/>
      <c r="C6348" s="35"/>
      <c r="D6348" s="36"/>
      <c r="E6348" s="36"/>
    </row>
    <row r="6349" spans="1:5" x14ac:dyDescent="0.25">
      <c r="A6349" s="28"/>
      <c r="B6349" s="180"/>
      <c r="C6349" s="35"/>
      <c r="D6349" s="36"/>
      <c r="E6349" s="36"/>
    </row>
    <row r="6350" spans="1:5" x14ac:dyDescent="0.25">
      <c r="A6350" s="28"/>
      <c r="B6350" s="180"/>
      <c r="C6350" s="35"/>
      <c r="D6350" s="36"/>
      <c r="E6350" s="36"/>
    </row>
    <row r="6351" spans="1:5" x14ac:dyDescent="0.25">
      <c r="A6351" s="28"/>
      <c r="B6351" s="180"/>
      <c r="C6351" s="35"/>
      <c r="D6351" s="36"/>
      <c r="E6351" s="36"/>
    </row>
    <row r="6352" spans="1:5" x14ac:dyDescent="0.25">
      <c r="A6352" s="28"/>
      <c r="B6352" s="180"/>
      <c r="C6352" s="35"/>
      <c r="D6352" s="36"/>
      <c r="E6352" s="36"/>
    </row>
    <row r="6353" spans="1:5" x14ac:dyDescent="0.25">
      <c r="A6353" s="28"/>
      <c r="B6353" s="180"/>
      <c r="C6353" s="35"/>
      <c r="D6353" s="36"/>
      <c r="E6353" s="36"/>
    </row>
    <row r="6354" spans="1:5" x14ac:dyDescent="0.25">
      <c r="A6354" s="28"/>
      <c r="B6354" s="180"/>
      <c r="C6354" s="35"/>
      <c r="D6354" s="36"/>
      <c r="E6354" s="36"/>
    </row>
    <row r="6355" spans="1:5" x14ac:dyDescent="0.25">
      <c r="A6355" s="28"/>
      <c r="B6355" s="180"/>
      <c r="C6355" s="35"/>
      <c r="D6355" s="36"/>
      <c r="E6355" s="36"/>
    </row>
    <row r="6356" spans="1:5" x14ac:dyDescent="0.25">
      <c r="A6356" s="28"/>
      <c r="B6356" s="180"/>
      <c r="C6356" s="35"/>
      <c r="D6356" s="36"/>
      <c r="E6356" s="36"/>
    </row>
    <row r="6357" spans="1:5" x14ac:dyDescent="0.25">
      <c r="A6357" s="28"/>
      <c r="B6357" s="180"/>
      <c r="C6357" s="35"/>
      <c r="D6357" s="36"/>
      <c r="E6357" s="36"/>
    </row>
    <row r="6358" spans="1:5" x14ac:dyDescent="0.25">
      <c r="A6358" s="28"/>
      <c r="B6358" s="180"/>
      <c r="C6358" s="35"/>
      <c r="D6358" s="36"/>
      <c r="E6358" s="36"/>
    </row>
    <row r="6359" spans="1:5" x14ac:dyDescent="0.25">
      <c r="A6359" s="28"/>
      <c r="B6359" s="180"/>
      <c r="C6359" s="35"/>
      <c r="D6359" s="36"/>
      <c r="E6359" s="36"/>
    </row>
    <row r="6360" spans="1:5" x14ac:dyDescent="0.25">
      <c r="A6360" s="28"/>
      <c r="B6360" s="180"/>
      <c r="C6360" s="35"/>
      <c r="D6360" s="36"/>
      <c r="E6360" s="36"/>
    </row>
    <row r="6361" spans="1:5" x14ac:dyDescent="0.25">
      <c r="A6361" s="28"/>
      <c r="B6361" s="180"/>
      <c r="C6361" s="35"/>
      <c r="D6361" s="36"/>
      <c r="E6361" s="36"/>
    </row>
    <row r="6362" spans="1:5" x14ac:dyDescent="0.25">
      <c r="A6362" s="28"/>
      <c r="B6362" s="180"/>
      <c r="C6362" s="35"/>
      <c r="D6362" s="36"/>
      <c r="E6362" s="36"/>
    </row>
    <row r="6363" spans="1:5" x14ac:dyDescent="0.25">
      <c r="A6363" s="28"/>
      <c r="B6363" s="180"/>
      <c r="C6363" s="35"/>
      <c r="D6363" s="36"/>
      <c r="E6363" s="36"/>
    </row>
    <row r="6364" spans="1:5" x14ac:dyDescent="0.25">
      <c r="A6364" s="28"/>
      <c r="B6364" s="180"/>
      <c r="C6364" s="35"/>
      <c r="D6364" s="36"/>
      <c r="E6364" s="36"/>
    </row>
    <row r="6365" spans="1:5" x14ac:dyDescent="0.25">
      <c r="A6365" s="28"/>
      <c r="B6365" s="180"/>
      <c r="C6365" s="35"/>
      <c r="D6365" s="36"/>
      <c r="E6365" s="36"/>
    </row>
    <row r="6366" spans="1:5" x14ac:dyDescent="0.25">
      <c r="A6366" s="28"/>
      <c r="B6366" s="180"/>
      <c r="C6366" s="35"/>
      <c r="D6366" s="36"/>
      <c r="E6366" s="36"/>
    </row>
    <row r="6367" spans="1:5" x14ac:dyDescent="0.25">
      <c r="A6367" s="28"/>
      <c r="B6367" s="180"/>
      <c r="C6367" s="35"/>
      <c r="D6367" s="36"/>
      <c r="E6367" s="36"/>
    </row>
    <row r="6368" spans="1:5" x14ac:dyDescent="0.25">
      <c r="A6368" s="28"/>
      <c r="B6368" s="180"/>
      <c r="C6368" s="35"/>
      <c r="D6368" s="36"/>
      <c r="E6368" s="36"/>
    </row>
    <row r="6369" spans="1:5" x14ac:dyDescent="0.25">
      <c r="A6369" s="28"/>
      <c r="B6369" s="180"/>
      <c r="C6369" s="35"/>
      <c r="D6369" s="36"/>
      <c r="E6369" s="36"/>
    </row>
    <row r="6370" spans="1:5" x14ac:dyDescent="0.25">
      <c r="A6370" s="28"/>
      <c r="B6370" s="180"/>
      <c r="C6370" s="35"/>
      <c r="D6370" s="36"/>
      <c r="E6370" s="36"/>
    </row>
    <row r="6371" spans="1:5" x14ac:dyDescent="0.25">
      <c r="A6371" s="28"/>
      <c r="B6371" s="180"/>
      <c r="C6371" s="35"/>
      <c r="D6371" s="36"/>
      <c r="E6371" s="36"/>
    </row>
    <row r="6372" spans="1:5" x14ac:dyDescent="0.25">
      <c r="A6372" s="28"/>
      <c r="B6372" s="180"/>
      <c r="C6372" s="35"/>
      <c r="D6372" s="36"/>
      <c r="E6372" s="36"/>
    </row>
    <row r="6373" spans="1:5" x14ac:dyDescent="0.25">
      <c r="A6373" s="28"/>
      <c r="B6373" s="180"/>
      <c r="C6373" s="35"/>
      <c r="D6373" s="36"/>
      <c r="E6373" s="36"/>
    </row>
    <row r="6374" spans="1:5" x14ac:dyDescent="0.25">
      <c r="A6374" s="28"/>
      <c r="B6374" s="180"/>
      <c r="C6374" s="35"/>
      <c r="D6374" s="36"/>
      <c r="E6374" s="36"/>
    </row>
    <row r="6375" spans="1:5" x14ac:dyDescent="0.25">
      <c r="A6375" s="28"/>
      <c r="B6375" s="180"/>
      <c r="C6375" s="35"/>
      <c r="D6375" s="36"/>
      <c r="E6375" s="36"/>
    </row>
    <row r="6376" spans="1:5" x14ac:dyDescent="0.25">
      <c r="A6376" s="28"/>
      <c r="B6376" s="180"/>
      <c r="C6376" s="35"/>
      <c r="D6376" s="36"/>
      <c r="E6376" s="36"/>
    </row>
    <row r="6377" spans="1:5" x14ac:dyDescent="0.25">
      <c r="A6377" s="28"/>
      <c r="B6377" s="180"/>
      <c r="C6377" s="35"/>
      <c r="D6377" s="36"/>
      <c r="E6377" s="36"/>
    </row>
    <row r="6378" spans="1:5" x14ac:dyDescent="0.25">
      <c r="A6378" s="28"/>
      <c r="B6378" s="180"/>
      <c r="C6378" s="35"/>
      <c r="D6378" s="36"/>
      <c r="E6378" s="36"/>
    </row>
    <row r="6379" spans="1:5" x14ac:dyDescent="0.25">
      <c r="A6379" s="28"/>
      <c r="B6379" s="180"/>
      <c r="C6379" s="35"/>
      <c r="D6379" s="36"/>
      <c r="E6379" s="36"/>
    </row>
    <row r="6380" spans="1:5" x14ac:dyDescent="0.25">
      <c r="A6380" s="28"/>
      <c r="B6380" s="180"/>
      <c r="C6380" s="35"/>
      <c r="D6380" s="36"/>
      <c r="E6380" s="36"/>
    </row>
    <row r="6381" spans="1:5" x14ac:dyDescent="0.25">
      <c r="A6381" s="28"/>
      <c r="B6381" s="180"/>
      <c r="C6381" s="35"/>
      <c r="D6381" s="36"/>
      <c r="E6381" s="36"/>
    </row>
    <row r="6382" spans="1:5" x14ac:dyDescent="0.25">
      <c r="A6382" s="28"/>
      <c r="B6382" s="180"/>
      <c r="C6382" s="35"/>
      <c r="D6382" s="36"/>
      <c r="E6382" s="36"/>
    </row>
    <row r="6383" spans="1:5" x14ac:dyDescent="0.25">
      <c r="A6383" s="28"/>
      <c r="B6383" s="180"/>
      <c r="C6383" s="35"/>
      <c r="D6383" s="36"/>
      <c r="E6383" s="36"/>
    </row>
    <row r="6384" spans="1:5" x14ac:dyDescent="0.25">
      <c r="A6384" s="28"/>
      <c r="B6384" s="180"/>
      <c r="C6384" s="35"/>
      <c r="D6384" s="36"/>
      <c r="E6384" s="36"/>
    </row>
    <row r="6385" spans="1:5" x14ac:dyDescent="0.25">
      <c r="A6385" s="28"/>
      <c r="B6385" s="180"/>
      <c r="C6385" s="35"/>
      <c r="D6385" s="36"/>
      <c r="E6385" s="36"/>
    </row>
    <row r="6386" spans="1:5" x14ac:dyDescent="0.25">
      <c r="A6386" s="28"/>
      <c r="B6386" s="180"/>
      <c r="C6386" s="35"/>
      <c r="D6386" s="36"/>
      <c r="E6386" s="36"/>
    </row>
    <row r="6387" spans="1:5" x14ac:dyDescent="0.25">
      <c r="A6387" s="28"/>
      <c r="B6387" s="180"/>
      <c r="C6387" s="35"/>
      <c r="D6387" s="36"/>
      <c r="E6387" s="36"/>
    </row>
    <row r="6388" spans="1:5" x14ac:dyDescent="0.25">
      <c r="A6388" s="28"/>
      <c r="B6388" s="180"/>
      <c r="C6388" s="35"/>
      <c r="D6388" s="36"/>
      <c r="E6388" s="36"/>
    </row>
    <row r="6389" spans="1:5" x14ac:dyDescent="0.25">
      <c r="A6389" s="28"/>
      <c r="B6389" s="180"/>
      <c r="C6389" s="35"/>
      <c r="D6389" s="36"/>
      <c r="E6389" s="36"/>
    </row>
    <row r="6390" spans="1:5" x14ac:dyDescent="0.25">
      <c r="A6390" s="28"/>
      <c r="B6390" s="180"/>
      <c r="C6390" s="35"/>
      <c r="D6390" s="36"/>
      <c r="E6390" s="36"/>
    </row>
    <row r="6391" spans="1:5" x14ac:dyDescent="0.25">
      <c r="A6391" s="28"/>
      <c r="B6391" s="180"/>
      <c r="C6391" s="35"/>
      <c r="D6391" s="36"/>
      <c r="E6391" s="36"/>
    </row>
    <row r="6392" spans="1:5" x14ac:dyDescent="0.25">
      <c r="A6392" s="28"/>
      <c r="B6392" s="180"/>
      <c r="C6392" s="35"/>
      <c r="D6392" s="36"/>
      <c r="E6392" s="36"/>
    </row>
    <row r="6393" spans="1:5" x14ac:dyDescent="0.25">
      <c r="A6393" s="28"/>
      <c r="B6393" s="180"/>
      <c r="C6393" s="35"/>
      <c r="D6393" s="36"/>
      <c r="E6393" s="36"/>
    </row>
    <row r="6394" spans="1:5" x14ac:dyDescent="0.25">
      <c r="A6394" s="28"/>
      <c r="B6394" s="180"/>
      <c r="C6394" s="35"/>
      <c r="D6394" s="36"/>
      <c r="E6394" s="36"/>
    </row>
    <row r="6395" spans="1:5" x14ac:dyDescent="0.25">
      <c r="A6395" s="28"/>
      <c r="B6395" s="180"/>
      <c r="C6395" s="35"/>
      <c r="D6395" s="36"/>
      <c r="E6395" s="36"/>
    </row>
    <row r="6396" spans="1:5" x14ac:dyDescent="0.25">
      <c r="A6396" s="28"/>
      <c r="B6396" s="180"/>
      <c r="C6396" s="35"/>
      <c r="D6396" s="36"/>
      <c r="E6396" s="36"/>
    </row>
    <row r="6397" spans="1:5" x14ac:dyDescent="0.25">
      <c r="A6397" s="28"/>
      <c r="B6397" s="180"/>
      <c r="C6397" s="35"/>
      <c r="D6397" s="36"/>
      <c r="E6397" s="36"/>
    </row>
    <row r="6398" spans="1:5" x14ac:dyDescent="0.25">
      <c r="A6398" s="28"/>
      <c r="B6398" s="180"/>
      <c r="C6398" s="35"/>
      <c r="D6398" s="36"/>
      <c r="E6398" s="36"/>
    </row>
    <row r="6399" spans="1:5" x14ac:dyDescent="0.25">
      <c r="A6399" s="28"/>
      <c r="B6399" s="180"/>
      <c r="C6399" s="35"/>
      <c r="D6399" s="36"/>
      <c r="E6399" s="36"/>
    </row>
    <row r="6400" spans="1:5" x14ac:dyDescent="0.25">
      <c r="A6400" s="28"/>
      <c r="B6400" s="180"/>
      <c r="C6400" s="35"/>
      <c r="D6400" s="36"/>
      <c r="E6400" s="36"/>
    </row>
    <row r="6401" spans="1:5" x14ac:dyDescent="0.25">
      <c r="A6401" s="28"/>
      <c r="B6401" s="180"/>
      <c r="C6401" s="35"/>
      <c r="D6401" s="36"/>
      <c r="E6401" s="36"/>
    </row>
    <row r="6402" spans="1:5" x14ac:dyDescent="0.25">
      <c r="A6402" s="28"/>
      <c r="B6402" s="180"/>
      <c r="C6402" s="35"/>
      <c r="D6402" s="36"/>
      <c r="E6402" s="36"/>
    </row>
    <row r="6403" spans="1:5" x14ac:dyDescent="0.25">
      <c r="A6403" s="28"/>
      <c r="B6403" s="180"/>
      <c r="C6403" s="35"/>
      <c r="D6403" s="36"/>
      <c r="E6403" s="36"/>
    </row>
    <row r="6404" spans="1:5" x14ac:dyDescent="0.25">
      <c r="A6404" s="28"/>
      <c r="B6404" s="180"/>
      <c r="C6404" s="35"/>
      <c r="D6404" s="36"/>
      <c r="E6404" s="36"/>
    </row>
    <row r="6405" spans="1:5" x14ac:dyDescent="0.25">
      <c r="A6405" s="28"/>
      <c r="B6405" s="180"/>
      <c r="C6405" s="35"/>
      <c r="D6405" s="36"/>
      <c r="E6405" s="36"/>
    </row>
    <row r="6406" spans="1:5" x14ac:dyDescent="0.25">
      <c r="A6406" s="28"/>
      <c r="B6406" s="180"/>
      <c r="C6406" s="35"/>
      <c r="D6406" s="36"/>
      <c r="E6406" s="36"/>
    </row>
    <row r="6407" spans="1:5" x14ac:dyDescent="0.25">
      <c r="A6407" s="28"/>
      <c r="B6407" s="180"/>
      <c r="C6407" s="35"/>
      <c r="D6407" s="36"/>
      <c r="E6407" s="36"/>
    </row>
    <row r="6408" spans="1:5" x14ac:dyDescent="0.25">
      <c r="A6408" s="28"/>
      <c r="B6408" s="180"/>
      <c r="C6408" s="35"/>
      <c r="D6408" s="36"/>
      <c r="E6408" s="36"/>
    </row>
    <row r="6409" spans="1:5" x14ac:dyDescent="0.25">
      <c r="A6409" s="28"/>
      <c r="B6409" s="180"/>
      <c r="C6409" s="35"/>
      <c r="D6409" s="36"/>
      <c r="E6409" s="36"/>
    </row>
    <row r="6410" spans="1:5" x14ac:dyDescent="0.25">
      <c r="A6410" s="28"/>
      <c r="B6410" s="180"/>
      <c r="C6410" s="35"/>
      <c r="D6410" s="36"/>
      <c r="E6410" s="36"/>
    </row>
    <row r="6411" spans="1:5" x14ac:dyDescent="0.25">
      <c r="A6411" s="28"/>
      <c r="B6411" s="180"/>
      <c r="C6411" s="35"/>
      <c r="D6411" s="36"/>
      <c r="E6411" s="36"/>
    </row>
    <row r="6412" spans="1:5" x14ac:dyDescent="0.25">
      <c r="A6412" s="28"/>
      <c r="B6412" s="180"/>
      <c r="C6412" s="35"/>
      <c r="D6412" s="36"/>
      <c r="E6412" s="36"/>
    </row>
    <row r="6413" spans="1:5" x14ac:dyDescent="0.25">
      <c r="A6413" s="28"/>
      <c r="B6413" s="180"/>
      <c r="C6413" s="35"/>
      <c r="D6413" s="36"/>
      <c r="E6413" s="36"/>
    </row>
    <row r="6414" spans="1:5" x14ac:dyDescent="0.25">
      <c r="A6414" s="28"/>
      <c r="B6414" s="180"/>
      <c r="C6414" s="35"/>
      <c r="D6414" s="36"/>
      <c r="E6414" s="36"/>
    </row>
    <row r="6415" spans="1:5" x14ac:dyDescent="0.25">
      <c r="A6415" s="28"/>
      <c r="B6415" s="180"/>
      <c r="C6415" s="35"/>
      <c r="D6415" s="36"/>
      <c r="E6415" s="36"/>
    </row>
    <row r="6416" spans="1:5" x14ac:dyDescent="0.25">
      <c r="A6416" s="28"/>
      <c r="B6416" s="180"/>
      <c r="C6416" s="35"/>
      <c r="D6416" s="36"/>
      <c r="E6416" s="36"/>
    </row>
    <row r="6417" spans="1:5" x14ac:dyDescent="0.25">
      <c r="A6417" s="28"/>
      <c r="B6417" s="180"/>
      <c r="C6417" s="35"/>
      <c r="D6417" s="36"/>
      <c r="E6417" s="36"/>
    </row>
    <row r="6418" spans="1:5" x14ac:dyDescent="0.25">
      <c r="A6418" s="28"/>
      <c r="B6418" s="180"/>
      <c r="C6418" s="35"/>
      <c r="D6418" s="36"/>
      <c r="E6418" s="36"/>
    </row>
    <row r="6419" spans="1:5" x14ac:dyDescent="0.25">
      <c r="A6419" s="28"/>
      <c r="B6419" s="180"/>
      <c r="C6419" s="35"/>
      <c r="D6419" s="36"/>
      <c r="E6419" s="36"/>
    </row>
    <row r="6420" spans="1:5" x14ac:dyDescent="0.25">
      <c r="A6420" s="28"/>
      <c r="B6420" s="180"/>
      <c r="C6420" s="35"/>
      <c r="D6420" s="36"/>
      <c r="E6420" s="36"/>
    </row>
    <row r="6421" spans="1:5" x14ac:dyDescent="0.25">
      <c r="A6421" s="28"/>
      <c r="B6421" s="180"/>
      <c r="C6421" s="35"/>
      <c r="D6421" s="36"/>
      <c r="E6421" s="36"/>
    </row>
    <row r="6422" spans="1:5" x14ac:dyDescent="0.25">
      <c r="A6422" s="28"/>
      <c r="B6422" s="180"/>
      <c r="C6422" s="35"/>
      <c r="D6422" s="36"/>
      <c r="E6422" s="36"/>
    </row>
    <row r="6423" spans="1:5" x14ac:dyDescent="0.25">
      <c r="A6423" s="28"/>
      <c r="B6423" s="180"/>
      <c r="C6423" s="35"/>
      <c r="D6423" s="36"/>
      <c r="E6423" s="36"/>
    </row>
    <row r="6424" spans="1:5" x14ac:dyDescent="0.25">
      <c r="A6424" s="28"/>
      <c r="B6424" s="180"/>
      <c r="C6424" s="35"/>
      <c r="D6424" s="36"/>
      <c r="E6424" s="36"/>
    </row>
    <row r="6425" spans="1:5" x14ac:dyDescent="0.25">
      <c r="A6425" s="28"/>
      <c r="B6425" s="180"/>
      <c r="C6425" s="35"/>
      <c r="D6425" s="36"/>
      <c r="E6425" s="36"/>
    </row>
    <row r="6426" spans="1:5" x14ac:dyDescent="0.25">
      <c r="A6426" s="28"/>
      <c r="B6426" s="180"/>
      <c r="C6426" s="35"/>
      <c r="D6426" s="36"/>
      <c r="E6426" s="36"/>
    </row>
    <row r="6427" spans="1:5" x14ac:dyDescent="0.25">
      <c r="A6427" s="28"/>
      <c r="B6427" s="180"/>
      <c r="C6427" s="35"/>
      <c r="D6427" s="36"/>
      <c r="E6427" s="36"/>
    </row>
    <row r="6428" spans="1:5" x14ac:dyDescent="0.25">
      <c r="A6428" s="28"/>
      <c r="B6428" s="180"/>
      <c r="C6428" s="35"/>
      <c r="D6428" s="36"/>
      <c r="E6428" s="36"/>
    </row>
    <row r="6429" spans="1:5" x14ac:dyDescent="0.25">
      <c r="A6429" s="28"/>
      <c r="B6429" s="180"/>
      <c r="C6429" s="35"/>
      <c r="D6429" s="36"/>
      <c r="E6429" s="36"/>
    </row>
    <row r="6430" spans="1:5" x14ac:dyDescent="0.25">
      <c r="A6430" s="28"/>
      <c r="B6430" s="180"/>
      <c r="C6430" s="35"/>
      <c r="D6430" s="36"/>
      <c r="E6430" s="36"/>
    </row>
    <row r="6431" spans="1:5" x14ac:dyDescent="0.25">
      <c r="A6431" s="28"/>
      <c r="B6431" s="180"/>
      <c r="C6431" s="35"/>
      <c r="D6431" s="36"/>
      <c r="E6431" s="36"/>
    </row>
    <row r="6432" spans="1:5" x14ac:dyDescent="0.25">
      <c r="A6432" s="28"/>
      <c r="B6432" s="180"/>
      <c r="C6432" s="35"/>
      <c r="D6432" s="36"/>
      <c r="E6432" s="36"/>
    </row>
    <row r="6433" spans="1:5" x14ac:dyDescent="0.25">
      <c r="A6433" s="28"/>
      <c r="B6433" s="180"/>
      <c r="C6433" s="35"/>
      <c r="D6433" s="36"/>
      <c r="E6433" s="36"/>
    </row>
    <row r="6434" spans="1:5" x14ac:dyDescent="0.25">
      <c r="A6434" s="28"/>
      <c r="B6434" s="180"/>
      <c r="C6434" s="35"/>
      <c r="D6434" s="36"/>
      <c r="E6434" s="36"/>
    </row>
    <row r="6435" spans="1:5" x14ac:dyDescent="0.25">
      <c r="A6435" s="28"/>
      <c r="B6435" s="180"/>
      <c r="C6435" s="35"/>
      <c r="D6435" s="36"/>
      <c r="E6435" s="36"/>
    </row>
    <row r="6436" spans="1:5" x14ac:dyDescent="0.25">
      <c r="A6436" s="28"/>
      <c r="B6436" s="180"/>
      <c r="C6436" s="35"/>
      <c r="D6436" s="36"/>
      <c r="E6436" s="36"/>
    </row>
    <row r="6437" spans="1:5" x14ac:dyDescent="0.25">
      <c r="A6437" s="28"/>
      <c r="B6437" s="180"/>
      <c r="C6437" s="35"/>
      <c r="D6437" s="36"/>
      <c r="E6437" s="36"/>
    </row>
    <row r="6438" spans="1:5" x14ac:dyDescent="0.25">
      <c r="A6438" s="28"/>
      <c r="B6438" s="180"/>
      <c r="C6438" s="35"/>
      <c r="D6438" s="36"/>
      <c r="E6438" s="36"/>
    </row>
    <row r="6439" spans="1:5" x14ac:dyDescent="0.25">
      <c r="A6439" s="28"/>
      <c r="B6439" s="180"/>
      <c r="C6439" s="35"/>
      <c r="D6439" s="36"/>
      <c r="E6439" s="36"/>
    </row>
    <row r="6440" spans="1:5" x14ac:dyDescent="0.25">
      <c r="A6440" s="28"/>
      <c r="B6440" s="180"/>
      <c r="C6440" s="35"/>
      <c r="D6440" s="36"/>
      <c r="E6440" s="36"/>
    </row>
    <row r="6441" spans="1:5" x14ac:dyDescent="0.25">
      <c r="A6441" s="28"/>
      <c r="B6441" s="180"/>
      <c r="C6441" s="35"/>
      <c r="D6441" s="36"/>
      <c r="E6441" s="36"/>
    </row>
    <row r="6442" spans="1:5" x14ac:dyDescent="0.25">
      <c r="A6442" s="28"/>
      <c r="B6442" s="180"/>
      <c r="C6442" s="35"/>
      <c r="D6442" s="36"/>
      <c r="E6442" s="36"/>
    </row>
    <row r="6443" spans="1:5" x14ac:dyDescent="0.25">
      <c r="A6443" s="28"/>
      <c r="B6443" s="180"/>
      <c r="C6443" s="35"/>
      <c r="D6443" s="36"/>
      <c r="E6443" s="36"/>
    </row>
    <row r="6444" spans="1:5" x14ac:dyDescent="0.25">
      <c r="A6444" s="28"/>
      <c r="B6444" s="180"/>
      <c r="C6444" s="35"/>
      <c r="D6444" s="36"/>
      <c r="E6444" s="36"/>
    </row>
    <row r="6445" spans="1:5" x14ac:dyDescent="0.25">
      <c r="A6445" s="28"/>
      <c r="B6445" s="180"/>
      <c r="C6445" s="35"/>
      <c r="D6445" s="36"/>
      <c r="E6445" s="36"/>
    </row>
    <row r="6446" spans="1:5" x14ac:dyDescent="0.25">
      <c r="A6446" s="28"/>
      <c r="B6446" s="180"/>
      <c r="C6446" s="35"/>
      <c r="D6446" s="36"/>
      <c r="E6446" s="36"/>
    </row>
    <row r="6447" spans="1:5" x14ac:dyDescent="0.25">
      <c r="A6447" s="28"/>
      <c r="B6447" s="180"/>
      <c r="C6447" s="35"/>
      <c r="D6447" s="36"/>
      <c r="E6447" s="36"/>
    </row>
    <row r="6448" spans="1:5" x14ac:dyDescent="0.25">
      <c r="A6448" s="28"/>
      <c r="B6448" s="180"/>
      <c r="C6448" s="35"/>
      <c r="D6448" s="36"/>
      <c r="E6448" s="36"/>
    </row>
    <row r="6449" spans="1:5" x14ac:dyDescent="0.25">
      <c r="A6449" s="28"/>
      <c r="B6449" s="180"/>
      <c r="C6449" s="35"/>
      <c r="D6449" s="36"/>
      <c r="E6449" s="36"/>
    </row>
    <row r="6450" spans="1:5" x14ac:dyDescent="0.25">
      <c r="A6450" s="28"/>
      <c r="B6450" s="180"/>
      <c r="C6450" s="35"/>
      <c r="D6450" s="36"/>
      <c r="E6450" s="36"/>
    </row>
    <row r="6451" spans="1:5" x14ac:dyDescent="0.25">
      <c r="A6451" s="28"/>
      <c r="B6451" s="180"/>
      <c r="C6451" s="35"/>
      <c r="D6451" s="36"/>
      <c r="E6451" s="36"/>
    </row>
    <row r="6452" spans="1:5" x14ac:dyDescent="0.25">
      <c r="A6452" s="28"/>
      <c r="B6452" s="180"/>
      <c r="C6452" s="35"/>
      <c r="D6452" s="36"/>
      <c r="E6452" s="36"/>
    </row>
    <row r="6453" spans="1:5" x14ac:dyDescent="0.25">
      <c r="A6453" s="28"/>
      <c r="B6453" s="180"/>
      <c r="C6453" s="35"/>
      <c r="D6453" s="36"/>
      <c r="E6453" s="36"/>
    </row>
    <row r="6454" spans="1:5" x14ac:dyDescent="0.25">
      <c r="A6454" s="28"/>
      <c r="B6454" s="180"/>
      <c r="C6454" s="35"/>
      <c r="D6454" s="36"/>
      <c r="E6454" s="36"/>
    </row>
    <row r="6455" spans="1:5" x14ac:dyDescent="0.25">
      <c r="A6455" s="28"/>
      <c r="B6455" s="180"/>
      <c r="C6455" s="35"/>
      <c r="D6455" s="36"/>
      <c r="E6455" s="36"/>
    </row>
    <row r="6456" spans="1:5" x14ac:dyDescent="0.25">
      <c r="A6456" s="28"/>
      <c r="B6456" s="180"/>
      <c r="C6456" s="35"/>
      <c r="D6456" s="36"/>
      <c r="E6456" s="36"/>
    </row>
    <row r="6457" spans="1:5" x14ac:dyDescent="0.25">
      <c r="A6457" s="28"/>
      <c r="B6457" s="180"/>
      <c r="C6457" s="35"/>
      <c r="D6457" s="36"/>
      <c r="E6457" s="36"/>
    </row>
    <row r="6458" spans="1:5" x14ac:dyDescent="0.25">
      <c r="A6458" s="28"/>
      <c r="B6458" s="180"/>
      <c r="C6458" s="35"/>
      <c r="D6458" s="36"/>
      <c r="E6458" s="36"/>
    </row>
    <row r="6459" spans="1:5" x14ac:dyDescent="0.25">
      <c r="A6459" s="28"/>
      <c r="B6459" s="180"/>
      <c r="C6459" s="35"/>
      <c r="D6459" s="36"/>
      <c r="E6459" s="36"/>
    </row>
    <row r="6460" spans="1:5" x14ac:dyDescent="0.25">
      <c r="A6460" s="28"/>
      <c r="B6460" s="180"/>
      <c r="C6460" s="35"/>
      <c r="D6460" s="36"/>
      <c r="E6460" s="36"/>
    </row>
    <row r="6461" spans="1:5" x14ac:dyDescent="0.25">
      <c r="A6461" s="28"/>
      <c r="B6461" s="180"/>
      <c r="C6461" s="35"/>
      <c r="D6461" s="36"/>
      <c r="E6461" s="36"/>
    </row>
    <row r="6462" spans="1:5" x14ac:dyDescent="0.25">
      <c r="A6462" s="28"/>
      <c r="B6462" s="180"/>
      <c r="C6462" s="35"/>
      <c r="D6462" s="36"/>
      <c r="E6462" s="36"/>
    </row>
    <row r="6463" spans="1:5" x14ac:dyDescent="0.25">
      <c r="A6463" s="28"/>
      <c r="B6463" s="180"/>
      <c r="C6463" s="35"/>
      <c r="D6463" s="36"/>
      <c r="E6463" s="36"/>
    </row>
    <row r="6464" spans="1:5" x14ac:dyDescent="0.25">
      <c r="A6464" s="28"/>
      <c r="B6464" s="180"/>
      <c r="C6464" s="35"/>
      <c r="D6464" s="36"/>
      <c r="E6464" s="36"/>
    </row>
    <row r="6465" spans="1:5" x14ac:dyDescent="0.25">
      <c r="A6465" s="28"/>
      <c r="B6465" s="180"/>
      <c r="C6465" s="35"/>
      <c r="D6465" s="36"/>
      <c r="E6465" s="36"/>
    </row>
    <row r="6466" spans="1:5" x14ac:dyDescent="0.25">
      <c r="A6466" s="28"/>
      <c r="B6466" s="180"/>
      <c r="C6466" s="35"/>
      <c r="D6466" s="36"/>
      <c r="E6466" s="36"/>
    </row>
    <row r="6467" spans="1:5" x14ac:dyDescent="0.25">
      <c r="A6467" s="28"/>
      <c r="B6467" s="180"/>
      <c r="C6467" s="35"/>
      <c r="D6467" s="36"/>
      <c r="E6467" s="36"/>
    </row>
    <row r="6468" spans="1:5" x14ac:dyDescent="0.25">
      <c r="A6468" s="28"/>
      <c r="B6468" s="180"/>
      <c r="C6468" s="35"/>
      <c r="D6468" s="36"/>
      <c r="E6468" s="36"/>
    </row>
    <row r="6469" spans="1:5" x14ac:dyDescent="0.25">
      <c r="A6469" s="28"/>
      <c r="B6469" s="180"/>
      <c r="C6469" s="35"/>
      <c r="D6469" s="36"/>
      <c r="E6469" s="36"/>
    </row>
    <row r="6470" spans="1:5" x14ac:dyDescent="0.25">
      <c r="A6470" s="28"/>
      <c r="B6470" s="180"/>
      <c r="C6470" s="35"/>
      <c r="D6470" s="36"/>
      <c r="E6470" s="36"/>
    </row>
    <row r="6471" spans="1:5" x14ac:dyDescent="0.25">
      <c r="A6471" s="28"/>
      <c r="B6471" s="180"/>
      <c r="C6471" s="35"/>
      <c r="D6471" s="36"/>
      <c r="E6471" s="36"/>
    </row>
    <row r="6472" spans="1:5" x14ac:dyDescent="0.25">
      <c r="A6472" s="28"/>
      <c r="B6472" s="180"/>
      <c r="C6472" s="35"/>
      <c r="D6472" s="36"/>
      <c r="E6472" s="36"/>
    </row>
    <row r="6473" spans="1:5" x14ac:dyDescent="0.25">
      <c r="A6473" s="28"/>
      <c r="B6473" s="180"/>
      <c r="C6473" s="35"/>
      <c r="D6473" s="36"/>
      <c r="E6473" s="36"/>
    </row>
    <row r="6474" spans="1:5" x14ac:dyDescent="0.25">
      <c r="A6474" s="28"/>
      <c r="B6474" s="180"/>
      <c r="C6474" s="35"/>
      <c r="D6474" s="36"/>
      <c r="E6474" s="36"/>
    </row>
    <row r="6475" spans="1:5" x14ac:dyDescent="0.25">
      <c r="A6475" s="28"/>
      <c r="B6475" s="180"/>
      <c r="C6475" s="35"/>
      <c r="D6475" s="36"/>
      <c r="E6475" s="36"/>
    </row>
    <row r="6476" spans="1:5" x14ac:dyDescent="0.25">
      <c r="A6476" s="28"/>
      <c r="B6476" s="180"/>
      <c r="C6476" s="35"/>
      <c r="D6476" s="36"/>
      <c r="E6476" s="36"/>
    </row>
    <row r="6477" spans="1:5" x14ac:dyDescent="0.25">
      <c r="A6477" s="28"/>
      <c r="B6477" s="180"/>
      <c r="C6477" s="35"/>
      <c r="D6477" s="36"/>
      <c r="E6477" s="36"/>
    </row>
    <row r="6478" spans="1:5" x14ac:dyDescent="0.25">
      <c r="A6478" s="28"/>
      <c r="B6478" s="180"/>
      <c r="C6478" s="35"/>
      <c r="D6478" s="36"/>
      <c r="E6478" s="36"/>
    </row>
    <row r="6479" spans="1:5" x14ac:dyDescent="0.25">
      <c r="A6479" s="28"/>
      <c r="B6479" s="180"/>
      <c r="C6479" s="35"/>
      <c r="D6479" s="36"/>
      <c r="E6479" s="36"/>
    </row>
    <row r="6480" spans="1:5" x14ac:dyDescent="0.25">
      <c r="A6480" s="28"/>
      <c r="B6480" s="180"/>
      <c r="C6480" s="35"/>
      <c r="D6480" s="36"/>
      <c r="E6480" s="36"/>
    </row>
    <row r="6481" spans="1:5" x14ac:dyDescent="0.25">
      <c r="A6481" s="28"/>
      <c r="B6481" s="180"/>
      <c r="C6481" s="35"/>
      <c r="D6481" s="36"/>
      <c r="E6481" s="36"/>
    </row>
    <row r="6482" spans="1:5" x14ac:dyDescent="0.25">
      <c r="A6482" s="28"/>
      <c r="B6482" s="180"/>
      <c r="C6482" s="35"/>
      <c r="D6482" s="36"/>
      <c r="E6482" s="36"/>
    </row>
    <row r="6483" spans="1:5" x14ac:dyDescent="0.25">
      <c r="A6483" s="28"/>
      <c r="B6483" s="180"/>
      <c r="C6483" s="35"/>
      <c r="D6483" s="36"/>
      <c r="E6483" s="36"/>
    </row>
    <row r="6484" spans="1:5" x14ac:dyDescent="0.25">
      <c r="A6484" s="28"/>
      <c r="B6484" s="180"/>
      <c r="C6484" s="35"/>
      <c r="D6484" s="36"/>
      <c r="E6484" s="36"/>
    </row>
    <row r="6485" spans="1:5" x14ac:dyDescent="0.25">
      <c r="A6485" s="28"/>
      <c r="B6485" s="180"/>
      <c r="C6485" s="35"/>
      <c r="D6485" s="36"/>
      <c r="E6485" s="36"/>
    </row>
    <row r="6486" spans="1:5" x14ac:dyDescent="0.25">
      <c r="A6486" s="28"/>
      <c r="B6486" s="180"/>
      <c r="C6486" s="35"/>
      <c r="D6486" s="36"/>
      <c r="E6486" s="36"/>
    </row>
    <row r="6487" spans="1:5" x14ac:dyDescent="0.25">
      <c r="A6487" s="28"/>
      <c r="B6487" s="180"/>
      <c r="C6487" s="35"/>
      <c r="D6487" s="36"/>
      <c r="E6487" s="36"/>
    </row>
    <row r="6488" spans="1:5" x14ac:dyDescent="0.25">
      <c r="A6488" s="28"/>
      <c r="B6488" s="180"/>
      <c r="C6488" s="35"/>
      <c r="D6488" s="36"/>
      <c r="E6488" s="36"/>
    </row>
    <row r="6489" spans="1:5" x14ac:dyDescent="0.25">
      <c r="A6489" s="28"/>
      <c r="B6489" s="180"/>
      <c r="C6489" s="35"/>
      <c r="D6489" s="36"/>
      <c r="E6489" s="36"/>
    </row>
    <row r="6490" spans="1:5" x14ac:dyDescent="0.25">
      <c r="A6490" s="28"/>
      <c r="B6490" s="180"/>
      <c r="C6490" s="35"/>
      <c r="D6490" s="36"/>
      <c r="E6490" s="36"/>
    </row>
    <row r="6491" spans="1:5" x14ac:dyDescent="0.25">
      <c r="A6491" s="28"/>
      <c r="B6491" s="180"/>
      <c r="C6491" s="35"/>
      <c r="D6491" s="36"/>
      <c r="E6491" s="36"/>
    </row>
    <row r="6492" spans="1:5" x14ac:dyDescent="0.25">
      <c r="A6492" s="28"/>
      <c r="B6492" s="180"/>
      <c r="C6492" s="35"/>
      <c r="D6492" s="36"/>
      <c r="E6492" s="36"/>
    </row>
    <row r="6493" spans="1:5" x14ac:dyDescent="0.25">
      <c r="A6493" s="28"/>
      <c r="B6493" s="180"/>
      <c r="C6493" s="35"/>
      <c r="D6493" s="36"/>
      <c r="E6493" s="36"/>
    </row>
    <row r="6494" spans="1:5" x14ac:dyDescent="0.25">
      <c r="A6494" s="28"/>
      <c r="B6494" s="180"/>
      <c r="C6494" s="35"/>
      <c r="D6494" s="36"/>
      <c r="E6494" s="36"/>
    </row>
    <row r="6495" spans="1:5" x14ac:dyDescent="0.25">
      <c r="A6495" s="28"/>
      <c r="B6495" s="180"/>
      <c r="C6495" s="35"/>
      <c r="D6495" s="36"/>
      <c r="E6495" s="36"/>
    </row>
    <row r="6496" spans="1:5" x14ac:dyDescent="0.25">
      <c r="A6496" s="28"/>
      <c r="B6496" s="180"/>
      <c r="C6496" s="35"/>
      <c r="D6496" s="36"/>
      <c r="E6496" s="36"/>
    </row>
    <row r="6497" spans="1:5" x14ac:dyDescent="0.25">
      <c r="A6497" s="28"/>
      <c r="B6497" s="180"/>
      <c r="C6497" s="35"/>
      <c r="D6497" s="36"/>
      <c r="E6497" s="36"/>
    </row>
    <row r="6498" spans="1:5" x14ac:dyDescent="0.25">
      <c r="A6498" s="28"/>
      <c r="B6498" s="180"/>
      <c r="C6498" s="35"/>
      <c r="D6498" s="36"/>
      <c r="E6498" s="36"/>
    </row>
    <row r="6499" spans="1:5" x14ac:dyDescent="0.25">
      <c r="A6499" s="28"/>
      <c r="B6499" s="180"/>
      <c r="C6499" s="35"/>
      <c r="D6499" s="36"/>
      <c r="E6499" s="36"/>
    </row>
    <row r="6500" spans="1:5" x14ac:dyDescent="0.25">
      <c r="A6500" s="28"/>
      <c r="B6500" s="180"/>
      <c r="C6500" s="35"/>
      <c r="D6500" s="36"/>
      <c r="E6500" s="36"/>
    </row>
    <row r="6501" spans="1:5" x14ac:dyDescent="0.25">
      <c r="A6501" s="28"/>
      <c r="B6501" s="180"/>
      <c r="C6501" s="35"/>
      <c r="D6501" s="36"/>
      <c r="E6501" s="36"/>
    </row>
    <row r="6502" spans="1:5" x14ac:dyDescent="0.25">
      <c r="A6502" s="28"/>
      <c r="B6502" s="180"/>
      <c r="C6502" s="35"/>
      <c r="D6502" s="36"/>
      <c r="E6502" s="36"/>
    </row>
    <row r="6503" spans="1:5" x14ac:dyDescent="0.25">
      <c r="A6503" s="28"/>
      <c r="B6503" s="180"/>
      <c r="C6503" s="35"/>
      <c r="D6503" s="36"/>
      <c r="E6503" s="36"/>
    </row>
    <row r="6504" spans="1:5" x14ac:dyDescent="0.25">
      <c r="A6504" s="28"/>
      <c r="B6504" s="180"/>
      <c r="C6504" s="35"/>
      <c r="D6504" s="36"/>
      <c r="E6504" s="36"/>
    </row>
    <row r="6505" spans="1:5" x14ac:dyDescent="0.25">
      <c r="A6505" s="28"/>
      <c r="B6505" s="180"/>
      <c r="C6505" s="35"/>
      <c r="D6505" s="36"/>
      <c r="E6505" s="36"/>
    </row>
    <row r="6506" spans="1:5" x14ac:dyDescent="0.25">
      <c r="A6506" s="28"/>
      <c r="B6506" s="180"/>
      <c r="C6506" s="35"/>
      <c r="D6506" s="36"/>
      <c r="E6506" s="36"/>
    </row>
    <row r="6507" spans="1:5" x14ac:dyDescent="0.25">
      <c r="A6507" s="28"/>
      <c r="B6507" s="180"/>
      <c r="C6507" s="35"/>
      <c r="D6507" s="36"/>
      <c r="E6507" s="36"/>
    </row>
    <row r="6508" spans="1:5" x14ac:dyDescent="0.25">
      <c r="A6508" s="28"/>
      <c r="B6508" s="180"/>
      <c r="C6508" s="35"/>
      <c r="D6508" s="36"/>
      <c r="E6508" s="36"/>
    </row>
    <row r="6509" spans="1:5" x14ac:dyDescent="0.25">
      <c r="A6509" s="28"/>
      <c r="B6509" s="180"/>
      <c r="C6509" s="35"/>
      <c r="D6509" s="36"/>
      <c r="E6509" s="36"/>
    </row>
    <row r="6510" spans="1:5" x14ac:dyDescent="0.25">
      <c r="A6510" s="28"/>
      <c r="B6510" s="180"/>
      <c r="C6510" s="35"/>
      <c r="D6510" s="36"/>
      <c r="E6510" s="36"/>
    </row>
    <row r="6511" spans="1:5" x14ac:dyDescent="0.25">
      <c r="A6511" s="28"/>
      <c r="B6511" s="180"/>
      <c r="C6511" s="35"/>
      <c r="D6511" s="36"/>
      <c r="E6511" s="36"/>
    </row>
    <row r="6512" spans="1:5" x14ac:dyDescent="0.25">
      <c r="A6512" s="28"/>
      <c r="B6512" s="180"/>
      <c r="C6512" s="35"/>
      <c r="D6512" s="36"/>
      <c r="E6512" s="36"/>
    </row>
    <row r="6513" spans="1:5" x14ac:dyDescent="0.25">
      <c r="A6513" s="28"/>
      <c r="B6513" s="180"/>
      <c r="C6513" s="35"/>
      <c r="D6513" s="36"/>
      <c r="E6513" s="36"/>
    </row>
    <row r="6514" spans="1:5" x14ac:dyDescent="0.25">
      <c r="A6514" s="28"/>
      <c r="B6514" s="180"/>
      <c r="C6514" s="35"/>
      <c r="D6514" s="36"/>
      <c r="E6514" s="36"/>
    </row>
    <row r="6515" spans="1:5" x14ac:dyDescent="0.25">
      <c r="A6515" s="28"/>
      <c r="B6515" s="180"/>
      <c r="C6515" s="35"/>
      <c r="D6515" s="36"/>
      <c r="E6515" s="36"/>
    </row>
    <row r="6516" spans="1:5" x14ac:dyDescent="0.25">
      <c r="A6516" s="28"/>
      <c r="B6516" s="180"/>
      <c r="C6516" s="35"/>
      <c r="D6516" s="36"/>
      <c r="E6516" s="36"/>
    </row>
    <row r="6517" spans="1:5" x14ac:dyDescent="0.25">
      <c r="A6517" s="28"/>
    </row>
  </sheetData>
  <mergeCells count="3">
    <mergeCell ref="B3:G3"/>
    <mergeCell ref="B4:G4"/>
    <mergeCell ref="A8:G8"/>
  </mergeCells>
  <phoneticPr fontId="29" type="noConversion"/>
  <pageMargins left="0.78740157480314965" right="0.78740157480314965" top="0.98425196850393704" bottom="0.98425196850393704" header="0.51181102362204722" footer="0.51181102362204722"/>
  <pageSetup paperSize="9" scale="45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tabSelected="1" view="pageBreakPreview" zoomScale="90" zoomScaleNormal="75" zoomScaleSheetLayoutView="90" workbookViewId="0">
      <selection activeCell="J4" sqref="J4"/>
    </sheetView>
  </sheetViews>
  <sheetFormatPr defaultColWidth="9.28515625" defaultRowHeight="18.75" x14ac:dyDescent="0.2"/>
  <cols>
    <col min="1" max="1" width="80.42578125" style="5" customWidth="1"/>
    <col min="2" max="2" width="9.7109375" style="5" customWidth="1"/>
    <col min="3" max="3" width="9.42578125" style="5" customWidth="1"/>
    <col min="4" max="4" width="15.7109375" style="5" customWidth="1"/>
    <col min="5" max="5" width="16.5703125" style="165" customWidth="1"/>
    <col min="6" max="6" width="15.5703125" style="5" customWidth="1"/>
    <col min="7" max="7" width="9.85546875" style="5" customWidth="1"/>
    <col min="8" max="16384" width="9.28515625" style="5"/>
  </cols>
  <sheetData>
    <row r="1" spans="1:8" s="477" customFormat="1" ht="105.6" customHeight="1" x14ac:dyDescent="0.25">
      <c r="B1" s="626" t="s">
        <v>815</v>
      </c>
      <c r="C1" s="627"/>
      <c r="D1" s="627"/>
      <c r="E1" s="627"/>
      <c r="F1" s="627"/>
      <c r="G1" s="627"/>
    </row>
    <row r="2" spans="1:8" s="29" customFormat="1" ht="12.75" x14ac:dyDescent="0.2">
      <c r="D2" s="638"/>
      <c r="E2" s="638"/>
    </row>
    <row r="3" spans="1:8" s="270" customFormat="1" ht="12.75" x14ac:dyDescent="0.2">
      <c r="D3" s="271"/>
      <c r="E3" s="271"/>
    </row>
    <row r="4" spans="1:8" ht="88.9" customHeight="1" x14ac:dyDescent="0.2">
      <c r="A4" s="641" t="s">
        <v>816</v>
      </c>
      <c r="B4" s="641"/>
      <c r="C4" s="641"/>
      <c r="D4" s="610"/>
      <c r="E4" s="610"/>
      <c r="F4" s="610"/>
      <c r="G4" s="610"/>
      <c r="H4" s="160"/>
    </row>
    <row r="5" spans="1:8" ht="4.1500000000000004" hidden="1" customHeight="1" thickBot="1" x14ac:dyDescent="0.25">
      <c r="A5" s="6"/>
      <c r="B5" s="7"/>
      <c r="C5" s="7"/>
      <c r="E5" s="616"/>
      <c r="F5" s="616"/>
      <c r="G5" s="616"/>
      <c r="H5" s="616"/>
    </row>
    <row r="6" spans="1:8" s="30" customFormat="1" ht="27" customHeight="1" thickBot="1" x14ac:dyDescent="0.25">
      <c r="A6" s="6"/>
      <c r="B6" s="7"/>
      <c r="C6" s="7"/>
      <c r="G6" s="9" t="s">
        <v>153</v>
      </c>
      <c r="H6" s="158"/>
    </row>
    <row r="7" spans="1:8" ht="35.1" customHeight="1" x14ac:dyDescent="0.2">
      <c r="A7" s="628" t="s">
        <v>74</v>
      </c>
      <c r="B7" s="630" t="s">
        <v>0</v>
      </c>
      <c r="C7" s="632" t="s">
        <v>21</v>
      </c>
      <c r="D7" s="634" t="s">
        <v>806</v>
      </c>
      <c r="E7" s="636" t="s">
        <v>807</v>
      </c>
      <c r="F7" s="636" t="s">
        <v>794</v>
      </c>
      <c r="G7" s="639" t="s">
        <v>795</v>
      </c>
    </row>
    <row r="8" spans="1:8" ht="13.9" customHeight="1" thickBot="1" x14ac:dyDescent="0.25">
      <c r="A8" s="629"/>
      <c r="B8" s="631"/>
      <c r="C8" s="633"/>
      <c r="D8" s="635"/>
      <c r="E8" s="637"/>
      <c r="F8" s="637"/>
      <c r="G8" s="640"/>
    </row>
    <row r="9" spans="1:8" ht="16.5" thickBot="1" x14ac:dyDescent="0.25">
      <c r="A9" s="253">
        <v>1</v>
      </c>
      <c r="B9" s="254">
        <v>2</v>
      </c>
      <c r="C9" s="255">
        <v>3</v>
      </c>
      <c r="D9" s="252">
        <v>4</v>
      </c>
      <c r="E9" s="256">
        <v>5</v>
      </c>
      <c r="F9" s="588">
        <v>6</v>
      </c>
      <c r="G9" s="252">
        <v>7</v>
      </c>
    </row>
    <row r="10" spans="1:8" ht="33" customHeight="1" x14ac:dyDescent="0.2">
      <c r="A10" s="379" t="s">
        <v>27</v>
      </c>
      <c r="B10" s="397" t="s">
        <v>31</v>
      </c>
      <c r="C10" s="398"/>
      <c r="D10" s="389">
        <f>D11+D12+D13+D14+D16+D17+D15</f>
        <v>352050.4</v>
      </c>
      <c r="E10" s="389">
        <f t="shared" ref="E10:F10" si="0">E11+E12+E13+E14+E16+E17+E15</f>
        <v>508865.9</v>
      </c>
      <c r="F10" s="589">
        <f t="shared" si="0"/>
        <v>351054</v>
      </c>
      <c r="G10" s="602">
        <f>F10/E10</f>
        <v>0.68987526969286006</v>
      </c>
    </row>
    <row r="11" spans="1:8" ht="45" customHeight="1" x14ac:dyDescent="0.2">
      <c r="A11" s="380" t="s">
        <v>55</v>
      </c>
      <c r="B11" s="234" t="s">
        <v>31</v>
      </c>
      <c r="C11" s="235" t="s">
        <v>32</v>
      </c>
      <c r="D11" s="390">
        <f>'Функц. 2023-2025'!F14</f>
        <v>3395.7</v>
      </c>
      <c r="E11" s="247">
        <f>'Функц. 2023-2025'!H14</f>
        <v>3395.7</v>
      </c>
      <c r="F11" s="590">
        <f>'Функц. 2023-2025'!J14</f>
        <v>3316.9</v>
      </c>
      <c r="G11" s="603">
        <f t="shared" ref="G11:G58" si="1">F11/E11</f>
        <v>0.9767941808758136</v>
      </c>
    </row>
    <row r="12" spans="1:8" ht="63.75" customHeight="1" x14ac:dyDescent="0.2">
      <c r="A12" s="380" t="s">
        <v>56</v>
      </c>
      <c r="B12" s="234" t="s">
        <v>31</v>
      </c>
      <c r="C12" s="235" t="s">
        <v>7</v>
      </c>
      <c r="D12" s="390">
        <f>'Функц. 2023-2025'!F21</f>
        <v>15938</v>
      </c>
      <c r="E12" s="247">
        <f>'Функц. 2023-2025'!H21</f>
        <v>15938</v>
      </c>
      <c r="F12" s="590">
        <f>'Функц. 2023-2025'!J21</f>
        <v>15848.900000000001</v>
      </c>
      <c r="G12" s="603">
        <f t="shared" si="1"/>
        <v>0.99440958715020711</v>
      </c>
    </row>
    <row r="13" spans="1:8" ht="62.25" customHeight="1" x14ac:dyDescent="0.2">
      <c r="A13" s="380" t="s">
        <v>57</v>
      </c>
      <c r="B13" s="234" t="s">
        <v>31</v>
      </c>
      <c r="C13" s="235" t="s">
        <v>51</v>
      </c>
      <c r="D13" s="390">
        <f>'Функц. 2023-2025'!F39</f>
        <v>92237.2</v>
      </c>
      <c r="E13" s="262">
        <f>'Функц. 2023-2025'!H39</f>
        <v>96979.5</v>
      </c>
      <c r="F13" s="591">
        <f>'Функц. 2023-2025'!J39</f>
        <v>95021.2</v>
      </c>
      <c r="G13" s="603">
        <f t="shared" si="1"/>
        <v>0.97980707262875144</v>
      </c>
    </row>
    <row r="14" spans="1:8" ht="46.5" customHeight="1" x14ac:dyDescent="0.2">
      <c r="A14" s="380" t="s">
        <v>75</v>
      </c>
      <c r="B14" s="234" t="s">
        <v>31</v>
      </c>
      <c r="C14" s="235" t="s">
        <v>98</v>
      </c>
      <c r="D14" s="390">
        <f>'Функц. 2023-2025'!F95</f>
        <v>36744</v>
      </c>
      <c r="E14" s="262">
        <f>'Функц. 2023-2025'!H95</f>
        <v>36903.1</v>
      </c>
      <c r="F14" s="591">
        <f>'Функц. 2023-2025'!J95</f>
        <v>36846.1</v>
      </c>
      <c r="G14" s="603">
        <f t="shared" si="1"/>
        <v>0.99845541431478657</v>
      </c>
    </row>
    <row r="15" spans="1:8" s="468" customFormat="1" ht="46.5" customHeight="1" x14ac:dyDescent="0.2">
      <c r="A15" s="466" t="s">
        <v>704</v>
      </c>
      <c r="B15" s="465" t="s">
        <v>31</v>
      </c>
      <c r="C15" s="240" t="s">
        <v>8</v>
      </c>
      <c r="D15" s="390">
        <f>'Функц. 2023-2025'!F135</f>
        <v>89.4</v>
      </c>
      <c r="E15" s="262">
        <f>'Функц. 2023-2025'!H135</f>
        <v>89.4</v>
      </c>
      <c r="F15" s="591">
        <f>'Функц. 2023-2025'!J135</f>
        <v>88.5</v>
      </c>
      <c r="G15" s="603">
        <f t="shared" si="1"/>
        <v>0.98993288590604023</v>
      </c>
    </row>
    <row r="16" spans="1:8" ht="25.5" customHeight="1" x14ac:dyDescent="0.2">
      <c r="A16" s="380" t="s">
        <v>76</v>
      </c>
      <c r="B16" s="234" t="s">
        <v>31</v>
      </c>
      <c r="C16" s="235">
        <v>11</v>
      </c>
      <c r="D16" s="390">
        <f>'Функц. 2023-2025'!F149</f>
        <v>3451.1</v>
      </c>
      <c r="E16" s="262">
        <f>'Функц. 2023-2025'!H149</f>
        <v>3451.1</v>
      </c>
      <c r="F16" s="591">
        <f>'Функц. 2023-2025'!J149</f>
        <v>0</v>
      </c>
      <c r="G16" s="603">
        <f t="shared" si="1"/>
        <v>0</v>
      </c>
    </row>
    <row r="17" spans="1:7" ht="28.5" customHeight="1" x14ac:dyDescent="0.2">
      <c r="A17" s="380" t="s">
        <v>156</v>
      </c>
      <c r="B17" s="234" t="s">
        <v>31</v>
      </c>
      <c r="C17" s="235">
        <v>13</v>
      </c>
      <c r="D17" s="390">
        <f>'Функц. 2023-2025'!F157</f>
        <v>200195</v>
      </c>
      <c r="E17" s="262">
        <f>'Функц. 2023-2025'!H157</f>
        <v>352109.1</v>
      </c>
      <c r="F17" s="591">
        <f>'Функц. 2023-2025'!J157</f>
        <v>199932.4</v>
      </c>
      <c r="G17" s="603">
        <f t="shared" si="1"/>
        <v>0.56781378271677729</v>
      </c>
    </row>
    <row r="18" spans="1:7" ht="32.450000000000003" customHeight="1" x14ac:dyDescent="0.2">
      <c r="A18" s="381" t="s">
        <v>11</v>
      </c>
      <c r="B18" s="236" t="s">
        <v>32</v>
      </c>
      <c r="C18" s="233"/>
      <c r="D18" s="391">
        <f>D19+D20</f>
        <v>4349.3</v>
      </c>
      <c r="E18" s="246">
        <f>E19+E20</f>
        <v>4349.3</v>
      </c>
      <c r="F18" s="592">
        <f>F19+F20</f>
        <v>4349.3</v>
      </c>
      <c r="G18" s="604">
        <f t="shared" si="1"/>
        <v>1</v>
      </c>
    </row>
    <row r="19" spans="1:7" ht="23.25" customHeight="1" x14ac:dyDescent="0.2">
      <c r="A19" s="382" t="s">
        <v>77</v>
      </c>
      <c r="B19" s="234" t="s">
        <v>32</v>
      </c>
      <c r="C19" s="235" t="s">
        <v>7</v>
      </c>
      <c r="D19" s="390">
        <f>'Функц. 2023-2025'!F251</f>
        <v>4067.3</v>
      </c>
      <c r="E19" s="262">
        <f>'Функц. 2023-2025'!H251</f>
        <v>4067.3</v>
      </c>
      <c r="F19" s="591">
        <f>'Функц. 2023-2025'!J251</f>
        <v>4067.3</v>
      </c>
      <c r="G19" s="603">
        <f t="shared" si="1"/>
        <v>1</v>
      </c>
    </row>
    <row r="20" spans="1:7" ht="26.25" customHeight="1" x14ac:dyDescent="0.2">
      <c r="A20" s="380" t="s">
        <v>78</v>
      </c>
      <c r="B20" s="234" t="s">
        <v>32</v>
      </c>
      <c r="C20" s="235" t="s">
        <v>51</v>
      </c>
      <c r="D20" s="390">
        <f>'Функц. 2023-2025'!F258</f>
        <v>282</v>
      </c>
      <c r="E20" s="262">
        <f>'Функц. 2023-2025'!H258</f>
        <v>282</v>
      </c>
      <c r="F20" s="591">
        <f>'Функц. 2023-2025'!J258</f>
        <v>282</v>
      </c>
      <c r="G20" s="603">
        <f t="shared" si="1"/>
        <v>1</v>
      </c>
    </row>
    <row r="21" spans="1:7" ht="30" customHeight="1" x14ac:dyDescent="0.2">
      <c r="A21" s="381" t="s">
        <v>48</v>
      </c>
      <c r="B21" s="236" t="s">
        <v>7</v>
      </c>
      <c r="C21" s="233"/>
      <c r="D21" s="391">
        <f>D22+D24+D23</f>
        <v>41353.300000000003</v>
      </c>
      <c r="E21" s="246">
        <f>E22+E24+E23</f>
        <v>41353.300000000003</v>
      </c>
      <c r="F21" s="592">
        <f>F22+F24+F23</f>
        <v>39451.599999999999</v>
      </c>
      <c r="G21" s="604">
        <f t="shared" si="1"/>
        <v>0.95401334355420231</v>
      </c>
    </row>
    <row r="22" spans="1:7" ht="42.75" customHeight="1" x14ac:dyDescent="0.2">
      <c r="A22" s="380" t="s">
        <v>398</v>
      </c>
      <c r="B22" s="234" t="s">
        <v>7</v>
      </c>
      <c r="C22" s="235" t="s">
        <v>23</v>
      </c>
      <c r="D22" s="390">
        <f>'Функц. 2023-2025'!F266</f>
        <v>1201.5</v>
      </c>
      <c r="E22" s="262">
        <f>'Функц. 2023-2025'!H266</f>
        <v>1201.5</v>
      </c>
      <c r="F22" s="591">
        <f>'Функц. 2023-2025'!J266</f>
        <v>1136.9000000000001</v>
      </c>
      <c r="G22" s="603">
        <f t="shared" si="1"/>
        <v>0.94623387432376205</v>
      </c>
    </row>
    <row r="23" spans="1:7" s="159" customFormat="1" ht="42.75" customHeight="1" x14ac:dyDescent="0.2">
      <c r="A23" s="383" t="s">
        <v>397</v>
      </c>
      <c r="B23" s="234" t="s">
        <v>7</v>
      </c>
      <c r="C23" s="235" t="s">
        <v>38</v>
      </c>
      <c r="D23" s="390">
        <f>'Функц. 2023-2025'!F277</f>
        <v>25679.000000000004</v>
      </c>
      <c r="E23" s="262">
        <f>'Функц. 2023-2025'!H277</f>
        <v>25679.000000000004</v>
      </c>
      <c r="F23" s="591">
        <f>'Функц. 2023-2025'!J277</f>
        <v>25252.799999999999</v>
      </c>
      <c r="G23" s="603">
        <f t="shared" si="1"/>
        <v>0.98340278048210583</v>
      </c>
    </row>
    <row r="24" spans="1:7" ht="42.75" customHeight="1" x14ac:dyDescent="0.2">
      <c r="A24" s="380" t="s">
        <v>79</v>
      </c>
      <c r="B24" s="234" t="s">
        <v>7</v>
      </c>
      <c r="C24" s="235">
        <v>14</v>
      </c>
      <c r="D24" s="390">
        <f>'Функц. 2023-2025'!F315</f>
        <v>14472.8</v>
      </c>
      <c r="E24" s="262">
        <f>'Функц. 2023-2025'!H315</f>
        <v>14472.8</v>
      </c>
      <c r="F24" s="591">
        <f>'Функц. 2023-2025'!J315</f>
        <v>13061.9</v>
      </c>
      <c r="G24" s="603">
        <f t="shared" si="1"/>
        <v>0.90251368083577477</v>
      </c>
    </row>
    <row r="25" spans="1:7" ht="26.25" customHeight="1" x14ac:dyDescent="0.2">
      <c r="A25" s="381" t="s">
        <v>47</v>
      </c>
      <c r="B25" s="236" t="s">
        <v>51</v>
      </c>
      <c r="C25" s="233"/>
      <c r="D25" s="391">
        <f>D27+D30+D28+D29+D26</f>
        <v>157166.70000000001</v>
      </c>
      <c r="E25" s="246">
        <f t="shared" ref="E25:F25" si="2">E27+E30+E28+E29+E26</f>
        <v>157134.1</v>
      </c>
      <c r="F25" s="592">
        <f t="shared" si="2"/>
        <v>156180.70000000001</v>
      </c>
      <c r="G25" s="604">
        <f t="shared" si="1"/>
        <v>0.99393257096963683</v>
      </c>
    </row>
    <row r="26" spans="1:7" s="29" customFormat="1" ht="26.25" customHeight="1" x14ac:dyDescent="0.3">
      <c r="A26" s="384" t="s">
        <v>152</v>
      </c>
      <c r="B26" s="237" t="s">
        <v>51</v>
      </c>
      <c r="C26" s="238" t="s">
        <v>5</v>
      </c>
      <c r="D26" s="390">
        <f>'Функц. 2023-2025'!F323</f>
        <v>1350</v>
      </c>
      <c r="E26" s="262">
        <f>'Функц. 2023-2025'!H323</f>
        <v>1350</v>
      </c>
      <c r="F26" s="591">
        <f>'Функц. 2023-2025'!J323</f>
        <v>1302.0999999999999</v>
      </c>
      <c r="G26" s="603">
        <f t="shared" si="1"/>
        <v>0.96451851851851844</v>
      </c>
    </row>
    <row r="27" spans="1:7" ht="23.45" customHeight="1" x14ac:dyDescent="0.2">
      <c r="A27" s="380" t="s">
        <v>80</v>
      </c>
      <c r="B27" s="234" t="s">
        <v>51</v>
      </c>
      <c r="C27" s="235" t="s">
        <v>17</v>
      </c>
      <c r="D27" s="390">
        <f>'Функц. 2023-2025'!F332</f>
        <v>30633.8</v>
      </c>
      <c r="E27" s="262">
        <f>'Функц. 2023-2025'!H332</f>
        <v>30633.8</v>
      </c>
      <c r="F27" s="591">
        <f>'Функц. 2023-2025'!J332</f>
        <v>30626.799999999999</v>
      </c>
      <c r="G27" s="603">
        <f t="shared" si="1"/>
        <v>0.99977149423186151</v>
      </c>
    </row>
    <row r="28" spans="1:7" ht="24" customHeight="1" x14ac:dyDescent="0.2">
      <c r="A28" s="382" t="s">
        <v>81</v>
      </c>
      <c r="B28" s="234" t="s">
        <v>51</v>
      </c>
      <c r="C28" s="235" t="s">
        <v>23</v>
      </c>
      <c r="D28" s="390">
        <f>'Функц. 2023-2025'!F350</f>
        <v>121872.4</v>
      </c>
      <c r="E28" s="262">
        <f>'Функц. 2023-2025'!H350</f>
        <v>121797.79999999999</v>
      </c>
      <c r="F28" s="591">
        <f>'Функц. 2023-2025'!J350</f>
        <v>121643.1</v>
      </c>
      <c r="G28" s="603">
        <f t="shared" si="1"/>
        <v>0.99872986211573622</v>
      </c>
    </row>
    <row r="29" spans="1:7" ht="24" customHeight="1" x14ac:dyDescent="0.2">
      <c r="A29" s="382" t="s">
        <v>101</v>
      </c>
      <c r="B29" s="234" t="s">
        <v>51</v>
      </c>
      <c r="C29" s="235">
        <v>10</v>
      </c>
      <c r="D29" s="390">
        <f>'Функц. 2023-2025'!F378</f>
        <v>2461.6</v>
      </c>
      <c r="E29" s="262">
        <f>'Функц. 2023-2025'!H378</f>
        <v>2461.6</v>
      </c>
      <c r="F29" s="591">
        <f>'Функц. 2023-2025'!J378</f>
        <v>2230.6</v>
      </c>
      <c r="G29" s="603">
        <f t="shared" si="1"/>
        <v>0.90615859603509907</v>
      </c>
    </row>
    <row r="30" spans="1:7" ht="22.15" customHeight="1" x14ac:dyDescent="0.2">
      <c r="A30" s="380" t="s">
        <v>82</v>
      </c>
      <c r="B30" s="234" t="s">
        <v>51</v>
      </c>
      <c r="C30" s="235">
        <v>12</v>
      </c>
      <c r="D30" s="390">
        <f>'Функц. 2023-2025'!F393</f>
        <v>848.9</v>
      </c>
      <c r="E30" s="262">
        <f>'Функц. 2023-2025'!H393</f>
        <v>890.9</v>
      </c>
      <c r="F30" s="591">
        <f>'Функц. 2023-2025'!J393</f>
        <v>378.1</v>
      </c>
      <c r="G30" s="603">
        <f t="shared" si="1"/>
        <v>0.42440228981928391</v>
      </c>
    </row>
    <row r="31" spans="1:7" ht="26.25" customHeight="1" x14ac:dyDescent="0.2">
      <c r="A31" s="381" t="s">
        <v>3</v>
      </c>
      <c r="B31" s="236" t="s">
        <v>5</v>
      </c>
      <c r="C31" s="233"/>
      <c r="D31" s="391">
        <f>D32+D34+D35+D33</f>
        <v>848554.70000000007</v>
      </c>
      <c r="E31" s="246">
        <f>E32+E34+E35+E33</f>
        <v>848669.90000000014</v>
      </c>
      <c r="F31" s="592">
        <f>F32+F34+F35+F33</f>
        <v>817154.9</v>
      </c>
      <c r="G31" s="604">
        <f t="shared" si="1"/>
        <v>0.9628654203477699</v>
      </c>
    </row>
    <row r="32" spans="1:7" ht="24.75" customHeight="1" x14ac:dyDescent="0.2">
      <c r="A32" s="380" t="s">
        <v>83</v>
      </c>
      <c r="B32" s="234" t="s">
        <v>5</v>
      </c>
      <c r="C32" s="235" t="s">
        <v>31</v>
      </c>
      <c r="D32" s="390">
        <f>'Функц. 2023-2025'!F404</f>
        <v>17246.8</v>
      </c>
      <c r="E32" s="262">
        <f>'Функц. 2023-2025'!H404</f>
        <v>17246.8</v>
      </c>
      <c r="F32" s="591">
        <f>'Функц. 2023-2025'!J404</f>
        <v>17244.3</v>
      </c>
      <c r="G32" s="603">
        <f t="shared" si="1"/>
        <v>0.99985504557367166</v>
      </c>
    </row>
    <row r="33" spans="1:7" s="150" customFormat="1" ht="24.75" customHeight="1" x14ac:dyDescent="0.2">
      <c r="A33" s="383" t="s">
        <v>346</v>
      </c>
      <c r="B33" s="239" t="s">
        <v>5</v>
      </c>
      <c r="C33" s="240" t="s">
        <v>32</v>
      </c>
      <c r="D33" s="390">
        <f>'Функц. 2023-2025'!F421</f>
        <v>63295.5</v>
      </c>
      <c r="E33" s="262">
        <f>'Функц. 2023-2025'!H421</f>
        <v>63295.5</v>
      </c>
      <c r="F33" s="591">
        <f>'Функц. 2023-2025'!J421</f>
        <v>33590.400000000001</v>
      </c>
      <c r="G33" s="603">
        <f t="shared" si="1"/>
        <v>0.53069175533805724</v>
      </c>
    </row>
    <row r="34" spans="1:7" ht="27.75" customHeight="1" x14ac:dyDescent="0.2">
      <c r="A34" s="380" t="s">
        <v>84</v>
      </c>
      <c r="B34" s="234" t="s">
        <v>5</v>
      </c>
      <c r="C34" s="235" t="s">
        <v>7</v>
      </c>
      <c r="D34" s="390">
        <f>'Функц. 2023-2025'!F442</f>
        <v>745196.70000000007</v>
      </c>
      <c r="E34" s="262">
        <f>'Функц. 2023-2025'!H442</f>
        <v>745176.70000000007</v>
      </c>
      <c r="F34" s="591">
        <f>'Функц. 2023-2025'!J442</f>
        <v>743563.7</v>
      </c>
      <c r="G34" s="603">
        <f t="shared" si="1"/>
        <v>0.99783541272828291</v>
      </c>
    </row>
    <row r="35" spans="1:7" ht="24.75" customHeight="1" thickBot="1" x14ac:dyDescent="0.25">
      <c r="A35" s="380" t="s">
        <v>85</v>
      </c>
      <c r="B35" s="234" t="s">
        <v>5</v>
      </c>
      <c r="C35" s="235" t="s">
        <v>5</v>
      </c>
      <c r="D35" s="390">
        <f>'Функц. 2023-2025'!F504</f>
        <v>22815.7</v>
      </c>
      <c r="E35" s="262">
        <f>'Функц. 2023-2025'!H504</f>
        <v>22950.9</v>
      </c>
      <c r="F35" s="591">
        <f>'Функц. 2023-2025'!J504</f>
        <v>22756.500000000004</v>
      </c>
      <c r="G35" s="603">
        <f t="shared" si="1"/>
        <v>0.99152974393161064</v>
      </c>
    </row>
    <row r="36" spans="1:7" s="270" customFormat="1" ht="20.45" customHeight="1" thickBot="1" x14ac:dyDescent="0.25">
      <c r="A36" s="385">
        <v>1</v>
      </c>
      <c r="B36" s="250">
        <v>2</v>
      </c>
      <c r="C36" s="251">
        <v>3</v>
      </c>
      <c r="D36" s="392">
        <v>4</v>
      </c>
      <c r="E36" s="264">
        <v>5</v>
      </c>
      <c r="F36" s="593">
        <v>6</v>
      </c>
      <c r="G36" s="252">
        <v>7</v>
      </c>
    </row>
    <row r="37" spans="1:7" s="159" customFormat="1" ht="24.75" customHeight="1" x14ac:dyDescent="0.3">
      <c r="A37" s="386" t="s">
        <v>41</v>
      </c>
      <c r="B37" s="241" t="s">
        <v>98</v>
      </c>
      <c r="C37" s="242"/>
      <c r="D37" s="391">
        <f>D39+D38</f>
        <v>617856.5</v>
      </c>
      <c r="E37" s="391">
        <f t="shared" ref="E37:F37" si="3">E39+E38</f>
        <v>617856.5</v>
      </c>
      <c r="F37" s="594">
        <f t="shared" si="3"/>
        <v>617856.5</v>
      </c>
      <c r="G37" s="604">
        <f t="shared" si="1"/>
        <v>1</v>
      </c>
    </row>
    <row r="38" spans="1:7" s="462" customFormat="1" ht="24.75" customHeight="1" x14ac:dyDescent="0.2">
      <c r="A38" s="466" t="s">
        <v>695</v>
      </c>
      <c r="B38" s="464" t="s">
        <v>98</v>
      </c>
      <c r="C38" s="465" t="s">
        <v>32</v>
      </c>
      <c r="D38" s="467">
        <f>'Функц. 2023-2025'!F546</f>
        <v>617831.5</v>
      </c>
      <c r="E38" s="467">
        <f>'Функц. 2023-2025'!H546</f>
        <v>617831.5</v>
      </c>
      <c r="F38" s="595">
        <f>'Функц. 2023-2025'!J546</f>
        <v>617831.5</v>
      </c>
      <c r="G38" s="603">
        <f t="shared" si="1"/>
        <v>1</v>
      </c>
    </row>
    <row r="39" spans="1:7" s="285" customFormat="1" ht="24.75" customHeight="1" x14ac:dyDescent="0.3">
      <c r="A39" s="606" t="s">
        <v>696</v>
      </c>
      <c r="B39" s="399" t="s">
        <v>98</v>
      </c>
      <c r="C39" s="242" t="s">
        <v>5</v>
      </c>
      <c r="D39" s="393">
        <f>'Функц. 2023-2025'!F560</f>
        <v>25</v>
      </c>
      <c r="E39" s="274">
        <f>'Функц. 2023-2025'!H560</f>
        <v>25</v>
      </c>
      <c r="F39" s="596">
        <f>'Функц. 2023-2025'!J560</f>
        <v>25</v>
      </c>
      <c r="G39" s="603">
        <f t="shared" si="1"/>
        <v>1</v>
      </c>
    </row>
    <row r="40" spans="1:7" ht="26.25" customHeight="1" x14ac:dyDescent="0.2">
      <c r="A40" s="381" t="s">
        <v>4</v>
      </c>
      <c r="B40" s="236" t="s">
        <v>8</v>
      </c>
      <c r="C40" s="243"/>
      <c r="D40" s="394">
        <f>D41+D42+D44+D45+D43</f>
        <v>1758872.4</v>
      </c>
      <c r="E40" s="275">
        <f>E41+E42+E44+E45+E43</f>
        <v>1749735.4999999998</v>
      </c>
      <c r="F40" s="597">
        <f>F41+F42+F44+F45+F43</f>
        <v>1720024.7</v>
      </c>
      <c r="G40" s="604">
        <f t="shared" si="1"/>
        <v>0.98301983356913103</v>
      </c>
    </row>
    <row r="41" spans="1:7" ht="30" customHeight="1" x14ac:dyDescent="0.2">
      <c r="A41" s="380" t="s">
        <v>86</v>
      </c>
      <c r="B41" s="244" t="s">
        <v>8</v>
      </c>
      <c r="C41" s="235" t="s">
        <v>31</v>
      </c>
      <c r="D41" s="390">
        <f>'Функц. 2023-2025'!F562</f>
        <v>467676.60000000003</v>
      </c>
      <c r="E41" s="247">
        <f>'Функц. 2023-2025'!H562</f>
        <v>451734.60000000003</v>
      </c>
      <c r="F41" s="590">
        <f>'Функц. 2023-2025'!J562</f>
        <v>449352</v>
      </c>
      <c r="G41" s="603">
        <f t="shared" si="1"/>
        <v>0.99472566413996177</v>
      </c>
    </row>
    <row r="42" spans="1:7" ht="24.75" customHeight="1" x14ac:dyDescent="0.2">
      <c r="A42" s="380" t="s">
        <v>87</v>
      </c>
      <c r="B42" s="244" t="s">
        <v>8</v>
      </c>
      <c r="C42" s="235" t="s">
        <v>32</v>
      </c>
      <c r="D42" s="395">
        <f>'Функц. 2023-2025'!F592</f>
        <v>1136192.3999999999</v>
      </c>
      <c r="E42" s="248">
        <f>'Функц. 2023-2025'!H592</f>
        <v>1142059.7</v>
      </c>
      <c r="F42" s="598">
        <f>'Функц. 2023-2025'!J592</f>
        <v>1117786.7</v>
      </c>
      <c r="G42" s="603">
        <f t="shared" si="1"/>
        <v>0.97874629496163812</v>
      </c>
    </row>
    <row r="43" spans="1:7" ht="27.75" customHeight="1" x14ac:dyDescent="0.2">
      <c r="A43" s="380" t="s">
        <v>151</v>
      </c>
      <c r="B43" s="244" t="s">
        <v>8</v>
      </c>
      <c r="C43" s="235" t="s">
        <v>7</v>
      </c>
      <c r="D43" s="390">
        <f>'Функц. 2023-2025'!F666</f>
        <v>125692.4</v>
      </c>
      <c r="E43" s="262">
        <f>'Функц. 2023-2025'!H666</f>
        <v>125666.4</v>
      </c>
      <c r="F43" s="591">
        <f>'Функц. 2023-2025'!J666</f>
        <v>122946.19999999998</v>
      </c>
      <c r="G43" s="603">
        <f t="shared" si="1"/>
        <v>0.97835380022026563</v>
      </c>
    </row>
    <row r="44" spans="1:7" ht="25.5" customHeight="1" x14ac:dyDescent="0.2">
      <c r="A44" s="380" t="s">
        <v>136</v>
      </c>
      <c r="B44" s="234" t="s">
        <v>8</v>
      </c>
      <c r="C44" s="235" t="s">
        <v>8</v>
      </c>
      <c r="D44" s="390">
        <f>'Функц. 2023-2025'!F693</f>
        <v>1866.8999999999999</v>
      </c>
      <c r="E44" s="262">
        <f>'Функц. 2023-2025'!H693</f>
        <v>1866.8999999999999</v>
      </c>
      <c r="F44" s="591">
        <f>'Функц. 2023-2025'!J693</f>
        <v>1861.1</v>
      </c>
      <c r="G44" s="603">
        <f t="shared" si="1"/>
        <v>0.99689324548717129</v>
      </c>
    </row>
    <row r="45" spans="1:7" ht="28.5" customHeight="1" x14ac:dyDescent="0.2">
      <c r="A45" s="380" t="s">
        <v>88</v>
      </c>
      <c r="B45" s="234" t="s">
        <v>8</v>
      </c>
      <c r="C45" s="235" t="s">
        <v>23</v>
      </c>
      <c r="D45" s="390">
        <f>'Функц. 2023-2025'!F711</f>
        <v>27444.1</v>
      </c>
      <c r="E45" s="262">
        <f>'Функц. 2023-2025'!H711</f>
        <v>28407.899999999998</v>
      </c>
      <c r="F45" s="591">
        <f>'Функц. 2023-2025'!J711</f>
        <v>28078.7</v>
      </c>
      <c r="G45" s="603">
        <f t="shared" si="1"/>
        <v>0.9884116742173833</v>
      </c>
    </row>
    <row r="46" spans="1:7" ht="37.35" customHeight="1" x14ac:dyDescent="0.2">
      <c r="A46" s="381" t="s">
        <v>22</v>
      </c>
      <c r="B46" s="236" t="s">
        <v>17</v>
      </c>
      <c r="C46" s="243"/>
      <c r="D46" s="391">
        <f>D47</f>
        <v>140942.99999999997</v>
      </c>
      <c r="E46" s="246">
        <f>E47</f>
        <v>140942.99999999997</v>
      </c>
      <c r="F46" s="592">
        <f>F47</f>
        <v>140686.5</v>
      </c>
      <c r="G46" s="604">
        <f t="shared" si="1"/>
        <v>0.99818011536578632</v>
      </c>
    </row>
    <row r="47" spans="1:7" ht="27.75" customHeight="1" x14ac:dyDescent="0.2">
      <c r="A47" s="380" t="s">
        <v>89</v>
      </c>
      <c r="B47" s="234" t="s">
        <v>17</v>
      </c>
      <c r="C47" s="235" t="s">
        <v>31</v>
      </c>
      <c r="D47" s="390">
        <f>'Функц. 2023-2025'!F755</f>
        <v>140942.99999999997</v>
      </c>
      <c r="E47" s="262">
        <f>'Функц. 2023-2025'!H755</f>
        <v>140942.99999999997</v>
      </c>
      <c r="F47" s="591">
        <f>'Функц. 2023-2025'!J755</f>
        <v>140686.5</v>
      </c>
      <c r="G47" s="603">
        <f t="shared" si="1"/>
        <v>0.99818011536578632</v>
      </c>
    </row>
    <row r="48" spans="1:7" ht="28.5" customHeight="1" x14ac:dyDescent="0.2">
      <c r="A48" s="381" t="s">
        <v>97</v>
      </c>
      <c r="B48" s="236" t="s">
        <v>38</v>
      </c>
      <c r="C48" s="243"/>
      <c r="D48" s="391">
        <f>D49+D51+D50</f>
        <v>73206.8</v>
      </c>
      <c r="E48" s="391">
        <f t="shared" ref="E48:F48" si="4">E49+E51+E50</f>
        <v>71510.8</v>
      </c>
      <c r="F48" s="594">
        <f t="shared" si="4"/>
        <v>69055.199999999997</v>
      </c>
      <c r="G48" s="604">
        <f t="shared" si="1"/>
        <v>0.96566113090610084</v>
      </c>
    </row>
    <row r="49" spans="1:7" ht="20.25" customHeight="1" x14ac:dyDescent="0.2">
      <c r="A49" s="380" t="s">
        <v>90</v>
      </c>
      <c r="B49" s="234">
        <v>10</v>
      </c>
      <c r="C49" s="235" t="s">
        <v>31</v>
      </c>
      <c r="D49" s="390">
        <f>'Функц. 2023-2025'!F827</f>
        <v>7532.2999999999993</v>
      </c>
      <c r="E49" s="262">
        <f>'Функц. 2023-2025'!H827</f>
        <v>7532.2999999999993</v>
      </c>
      <c r="F49" s="591">
        <f>'Функц. 2023-2025'!J827</f>
        <v>7438.3</v>
      </c>
      <c r="G49" s="603">
        <f t="shared" si="1"/>
        <v>0.9875204120919242</v>
      </c>
    </row>
    <row r="50" spans="1:7" ht="27.75" customHeight="1" x14ac:dyDescent="0.2">
      <c r="A50" s="380" t="s">
        <v>91</v>
      </c>
      <c r="B50" s="234">
        <v>10</v>
      </c>
      <c r="C50" s="235" t="s">
        <v>51</v>
      </c>
      <c r="D50" s="390">
        <f>'Функц. 2023-2025'!F834</f>
        <v>65534.5</v>
      </c>
      <c r="E50" s="262">
        <f>'Функц. 2023-2025'!H834</f>
        <v>63838.5</v>
      </c>
      <c r="F50" s="591">
        <f>'Функц. 2023-2025'!J834</f>
        <v>61476.9</v>
      </c>
      <c r="G50" s="603">
        <f t="shared" si="1"/>
        <v>0.96300664959233062</v>
      </c>
    </row>
    <row r="51" spans="1:7" ht="28.5" customHeight="1" x14ac:dyDescent="0.2">
      <c r="A51" s="380" t="s">
        <v>92</v>
      </c>
      <c r="B51" s="234">
        <v>10</v>
      </c>
      <c r="C51" s="235" t="s">
        <v>98</v>
      </c>
      <c r="D51" s="390">
        <f>'Функц. 2023-2025'!F858</f>
        <v>140</v>
      </c>
      <c r="E51" s="262">
        <f>'Функц. 2023-2025'!H858</f>
        <v>140</v>
      </c>
      <c r="F51" s="591">
        <f>'Функц. 2023-2025'!J858</f>
        <v>140</v>
      </c>
      <c r="G51" s="603">
        <f t="shared" si="1"/>
        <v>1</v>
      </c>
    </row>
    <row r="52" spans="1:7" ht="34.35" customHeight="1" x14ac:dyDescent="0.2">
      <c r="A52" s="381" t="s">
        <v>13</v>
      </c>
      <c r="B52" s="245">
        <v>11</v>
      </c>
      <c r="C52" s="233"/>
      <c r="D52" s="391">
        <f>D54+D53+D55</f>
        <v>100180.4</v>
      </c>
      <c r="E52" s="391">
        <f t="shared" ref="E52:F52" si="5">E54+E53+E55</f>
        <v>100180.4</v>
      </c>
      <c r="F52" s="594">
        <f t="shared" si="5"/>
        <v>99806.1</v>
      </c>
      <c r="G52" s="604">
        <f t="shared" si="1"/>
        <v>0.99626374021265651</v>
      </c>
    </row>
    <row r="53" spans="1:7" ht="24.75" customHeight="1" x14ac:dyDescent="0.2">
      <c r="A53" s="382" t="s">
        <v>93</v>
      </c>
      <c r="B53" s="234">
        <v>11</v>
      </c>
      <c r="C53" s="235" t="s">
        <v>31</v>
      </c>
      <c r="D53" s="390">
        <f>'Функц. 2023-2025'!F869</f>
        <v>31714.9</v>
      </c>
      <c r="E53" s="262">
        <f>'Функц. 2023-2025'!H869</f>
        <v>31714.9</v>
      </c>
      <c r="F53" s="591">
        <f>'Функц. 2023-2025'!J869</f>
        <v>31714.9</v>
      </c>
      <c r="G53" s="603">
        <f t="shared" si="1"/>
        <v>1</v>
      </c>
    </row>
    <row r="54" spans="1:7" ht="28.5" customHeight="1" x14ac:dyDescent="0.2">
      <c r="A54" s="382" t="s">
        <v>94</v>
      </c>
      <c r="B54" s="234">
        <v>11</v>
      </c>
      <c r="C54" s="235" t="s">
        <v>32</v>
      </c>
      <c r="D54" s="390">
        <f>'Функц. 2023-2025'!F876</f>
        <v>3294.4</v>
      </c>
      <c r="E54" s="262">
        <f>'Функц. 2023-2025'!H876</f>
        <v>3294.4</v>
      </c>
      <c r="F54" s="591">
        <f>'Функц. 2023-2025'!J876</f>
        <v>2920.1</v>
      </c>
      <c r="G54" s="603">
        <f t="shared" si="1"/>
        <v>0.88638295288975222</v>
      </c>
    </row>
    <row r="55" spans="1:7" s="488" customFormat="1" ht="28.5" customHeight="1" x14ac:dyDescent="0.2">
      <c r="A55" s="382" t="s">
        <v>737</v>
      </c>
      <c r="B55" s="234">
        <v>11</v>
      </c>
      <c r="C55" s="235" t="s">
        <v>7</v>
      </c>
      <c r="D55" s="390">
        <f>'Функц. 2023-2025'!F886</f>
        <v>65171.1</v>
      </c>
      <c r="E55" s="262">
        <f>'Функц. 2023-2025'!H886</f>
        <v>65171.1</v>
      </c>
      <c r="F55" s="591">
        <f>'Функц. 2023-2025'!J886</f>
        <v>65171.1</v>
      </c>
      <c r="G55" s="603">
        <f t="shared" si="1"/>
        <v>1</v>
      </c>
    </row>
    <row r="56" spans="1:7" ht="36.6" customHeight="1" x14ac:dyDescent="0.2">
      <c r="A56" s="381" t="s">
        <v>491</v>
      </c>
      <c r="B56" s="245">
        <v>13</v>
      </c>
      <c r="C56" s="233"/>
      <c r="D56" s="391">
        <f>D57</f>
        <v>355.70000000000005</v>
      </c>
      <c r="E56" s="246">
        <f>E57</f>
        <v>355.70000000000005</v>
      </c>
      <c r="F56" s="592">
        <f>F57</f>
        <v>355.5</v>
      </c>
      <c r="G56" s="603">
        <f t="shared" si="1"/>
        <v>0.99943772842282808</v>
      </c>
    </row>
    <row r="57" spans="1:7" ht="39.6" customHeight="1" thickBot="1" x14ac:dyDescent="0.25">
      <c r="A57" s="387" t="s">
        <v>492</v>
      </c>
      <c r="B57" s="257">
        <v>13</v>
      </c>
      <c r="C57" s="258" t="s">
        <v>31</v>
      </c>
      <c r="D57" s="396">
        <f>'Функц. 2023-2025'!F902</f>
        <v>355.70000000000005</v>
      </c>
      <c r="E57" s="263">
        <f>'Функц. 2023-2025'!H907</f>
        <v>355.70000000000005</v>
      </c>
      <c r="F57" s="599">
        <f>'Функц. 2023-2025'!J907</f>
        <v>355.5</v>
      </c>
      <c r="G57" s="605">
        <f t="shared" si="1"/>
        <v>0.99943772842282808</v>
      </c>
    </row>
    <row r="58" spans="1:7" ht="35.1" customHeight="1" thickBot="1" x14ac:dyDescent="0.25">
      <c r="A58" s="388" t="s">
        <v>59</v>
      </c>
      <c r="B58" s="259"/>
      <c r="C58" s="260"/>
      <c r="D58" s="261">
        <f>D56+D52+D48+D46+D40+D31+D25+D21+D18+D10+D37</f>
        <v>4094889.1999999997</v>
      </c>
      <c r="E58" s="261">
        <f>E56+E52+E48+E46+E40+E31+E25+E21+E18+E10+E37</f>
        <v>4240954.3999999994</v>
      </c>
      <c r="F58" s="600">
        <f>F56+F52+F48+F46+F40+F31+F25+F21+F18+F10+F37</f>
        <v>4015975</v>
      </c>
      <c r="G58" s="601">
        <f t="shared" si="1"/>
        <v>0.94695076183794868</v>
      </c>
    </row>
  </sheetData>
  <mergeCells count="11">
    <mergeCell ref="B1:G1"/>
    <mergeCell ref="A7:A8"/>
    <mergeCell ref="B7:B8"/>
    <mergeCell ref="C7:C8"/>
    <mergeCell ref="D7:D8"/>
    <mergeCell ref="E7:E8"/>
    <mergeCell ref="F7:F8"/>
    <mergeCell ref="D2:E2"/>
    <mergeCell ref="E5:H5"/>
    <mergeCell ref="G7:G8"/>
    <mergeCell ref="A4:G4"/>
  </mergeCells>
  <phoneticPr fontId="29" type="noConversion"/>
  <pageMargins left="0.51181102362204722" right="0.31496062992125984" top="0.74803149606299213" bottom="0.74803149606299213" header="0.31496062992125984" footer="0.31496062992125984"/>
  <pageSetup paperSize="9" scale="61" fitToHeight="2" orientation="portrait" r:id="rId1"/>
  <headerFooter>
    <oddHeader>&amp;R&amp;P</oddHeader>
  </headerFooter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046"/>
  <sheetViews>
    <sheetView view="pageBreakPreview" topLeftCell="X1030" zoomScaleNormal="100" zoomScaleSheetLayoutView="100" workbookViewId="0">
      <selection activeCell="AD1043" sqref="AD1043"/>
    </sheetView>
  </sheetViews>
  <sheetFormatPr defaultColWidth="9.28515625" defaultRowHeight="16.5" x14ac:dyDescent="0.25"/>
  <cols>
    <col min="1" max="1" width="77.28515625" style="19" hidden="1" customWidth="1"/>
    <col min="2" max="2" width="12.42578125" style="40" hidden="1" customWidth="1"/>
    <col min="3" max="3" width="7" style="20" hidden="1" customWidth="1"/>
    <col min="4" max="4" width="6.5703125" style="20" hidden="1" customWidth="1"/>
    <col min="5" max="5" width="12.28515625" style="20" hidden="1" customWidth="1"/>
    <col min="6" max="6" width="6.42578125" style="20" hidden="1" customWidth="1"/>
    <col min="7" max="7" width="12.42578125" style="20" hidden="1" customWidth="1"/>
    <col min="8" max="8" width="2.28515625" style="41" hidden="1" customWidth="1"/>
    <col min="9" max="9" width="12.28515625" style="42" hidden="1" customWidth="1"/>
    <col min="10" max="10" width="11.7109375" style="42" hidden="1" customWidth="1"/>
    <col min="11" max="11" width="14.42578125" style="42" hidden="1" customWidth="1"/>
    <col min="12" max="12" width="12.28515625" style="42" hidden="1" customWidth="1"/>
    <col min="13" max="13" width="13.5703125" style="42" hidden="1" customWidth="1"/>
    <col min="14" max="14" width="9" style="42" hidden="1" customWidth="1"/>
    <col min="15" max="15" width="11.42578125" style="43" hidden="1" customWidth="1"/>
    <col min="16" max="16" width="13.5703125" style="44" hidden="1" customWidth="1"/>
    <col min="17" max="17" width="11.28515625" style="3" hidden="1" customWidth="1"/>
    <col min="18" max="18" width="14.42578125" style="45" hidden="1" customWidth="1"/>
    <col min="19" max="19" width="9.28515625" style="46" hidden="1" customWidth="1"/>
    <col min="20" max="20" width="11.7109375" style="3" hidden="1" customWidth="1"/>
    <col min="21" max="21" width="14.42578125" style="3" hidden="1" customWidth="1"/>
    <col min="22" max="22" width="3.42578125" style="3" hidden="1" customWidth="1"/>
    <col min="23" max="23" width="4.42578125" style="47" hidden="1" customWidth="1"/>
    <col min="24" max="24" width="95.140625" style="13" customWidth="1"/>
    <col min="25" max="25" width="10.5703125" style="19" customWidth="1"/>
    <col min="26" max="26" width="7" style="22" customWidth="1"/>
    <col min="27" max="27" width="6.5703125" style="22" customWidth="1"/>
    <col min="28" max="28" width="18.7109375" style="26" customWidth="1"/>
    <col min="29" max="29" width="6.42578125" style="22" customWidth="1"/>
    <col min="30" max="30" width="15.28515625" style="21" customWidth="1"/>
    <col min="31" max="31" width="15.7109375" style="21" customWidth="1"/>
    <col min="32" max="32" width="15.28515625" style="21" customWidth="1"/>
    <col min="33" max="33" width="10.28515625" style="21" customWidth="1"/>
    <col min="34" max="34" width="15.85546875" style="21" customWidth="1"/>
    <col min="35" max="35" width="13.28515625" style="3" customWidth="1"/>
    <col min="36" max="16384" width="9.28515625" style="3"/>
  </cols>
  <sheetData>
    <row r="1" spans="1:38" hidden="1" x14ac:dyDescent="0.25">
      <c r="AG1" s="265"/>
      <c r="AH1" s="265"/>
    </row>
    <row r="2" spans="1:38" ht="15.75" x14ac:dyDescent="0.25">
      <c r="AB2" s="471"/>
      <c r="AC2" s="472"/>
      <c r="AD2" s="472"/>
      <c r="AE2" s="501"/>
      <c r="AF2" s="472"/>
      <c r="AG2" s="470"/>
      <c r="AH2" s="470"/>
    </row>
    <row r="3" spans="1:38" ht="15.75" x14ac:dyDescent="0.25">
      <c r="AB3" s="617"/>
      <c r="AC3" s="618"/>
      <c r="AD3" s="618"/>
      <c r="AE3" s="503"/>
      <c r="AF3" s="611" t="s">
        <v>718</v>
      </c>
      <c r="AG3" s="612"/>
      <c r="AH3" s="265"/>
    </row>
    <row r="4" spans="1:38" ht="31.9" customHeight="1" x14ac:dyDescent="0.25">
      <c r="AB4" s="622" t="s">
        <v>797</v>
      </c>
      <c r="AC4" s="610"/>
      <c r="AD4" s="610"/>
      <c r="AE4" s="610"/>
      <c r="AF4" s="610"/>
      <c r="AG4" s="610"/>
      <c r="AH4" s="230"/>
    </row>
    <row r="5" spans="1:38" ht="15.75" x14ac:dyDescent="0.25">
      <c r="AB5" s="611"/>
      <c r="AC5" s="613"/>
      <c r="AD5" s="613"/>
      <c r="AE5" s="613"/>
      <c r="AF5" s="613"/>
      <c r="AG5" s="230"/>
      <c r="AH5" s="230"/>
    </row>
    <row r="6" spans="1:38" s="51" customFormat="1" ht="58.9" customHeight="1" x14ac:dyDescent="0.3">
      <c r="A6" s="648"/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50"/>
      <c r="W6" s="50"/>
      <c r="X6" s="650" t="s">
        <v>490</v>
      </c>
      <c r="Y6" s="650"/>
      <c r="Z6" s="609"/>
      <c r="AA6" s="609"/>
      <c r="AB6" s="609"/>
      <c r="AC6" s="609"/>
      <c r="AD6" s="651"/>
      <c r="AE6" s="651"/>
      <c r="AF6" s="610"/>
      <c r="AG6" s="220"/>
      <c r="AH6" s="220"/>
      <c r="AI6" s="52"/>
      <c r="AJ6" s="644"/>
      <c r="AK6" s="608"/>
      <c r="AL6" s="608"/>
    </row>
    <row r="7" spans="1:38" s="51" customFormat="1" ht="21" thickBot="1" x14ac:dyDescent="0.35">
      <c r="A7" s="648"/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53"/>
      <c r="V7" s="52"/>
      <c r="W7" s="52"/>
      <c r="X7" s="650"/>
      <c r="Y7" s="650"/>
      <c r="Z7" s="650"/>
      <c r="AA7" s="650"/>
      <c r="AB7" s="650"/>
      <c r="AC7" s="650"/>
      <c r="AD7" s="152"/>
      <c r="AE7" s="152"/>
      <c r="AG7" s="585" t="s">
        <v>153</v>
      </c>
      <c r="AJ7" s="646"/>
      <c r="AK7" s="647"/>
      <c r="AL7" s="647"/>
    </row>
    <row r="8" spans="1:38" ht="66" customHeight="1" thickBot="1" x14ac:dyDescent="0.3">
      <c r="A8" s="57"/>
      <c r="B8" s="58"/>
      <c r="C8" s="59"/>
      <c r="D8" s="59"/>
      <c r="E8" s="59"/>
      <c r="F8" s="59"/>
      <c r="G8" s="60"/>
      <c r="H8" s="61"/>
      <c r="I8" s="62"/>
      <c r="J8" s="60"/>
      <c r="K8" s="63"/>
      <c r="L8" s="64"/>
      <c r="M8" s="63"/>
      <c r="N8" s="64"/>
      <c r="O8" s="65"/>
      <c r="P8" s="66"/>
      <c r="Q8" s="61"/>
      <c r="R8" s="67"/>
      <c r="S8" s="64"/>
      <c r="T8" s="65"/>
      <c r="U8" s="65"/>
      <c r="V8" s="65"/>
      <c r="X8" s="27" t="s">
        <v>74</v>
      </c>
      <c r="Y8" s="153" t="s">
        <v>18</v>
      </c>
      <c r="Z8" s="16" t="s">
        <v>0</v>
      </c>
      <c r="AA8" s="554" t="s">
        <v>21</v>
      </c>
      <c r="AB8" s="566" t="s">
        <v>1</v>
      </c>
      <c r="AC8" s="566" t="s">
        <v>64</v>
      </c>
      <c r="AD8" s="511" t="s">
        <v>793</v>
      </c>
      <c r="AE8" s="511" t="s">
        <v>805</v>
      </c>
      <c r="AF8" s="511" t="s">
        <v>794</v>
      </c>
      <c r="AG8" s="570" t="s">
        <v>795</v>
      </c>
      <c r="AH8" s="221"/>
      <c r="AJ8" s="644"/>
      <c r="AK8" s="645"/>
      <c r="AL8" s="645"/>
    </row>
    <row r="9" spans="1:38" s="73" customFormat="1" ht="17.25" thickBot="1" x14ac:dyDescent="0.3">
      <c r="A9" s="68"/>
      <c r="B9" s="68"/>
      <c r="C9" s="68"/>
      <c r="D9" s="68"/>
      <c r="E9" s="68"/>
      <c r="F9" s="68"/>
      <c r="G9" s="68"/>
      <c r="H9" s="69"/>
      <c r="I9" s="68"/>
      <c r="J9" s="68"/>
      <c r="K9" s="68"/>
      <c r="L9" s="68"/>
      <c r="M9" s="68"/>
      <c r="N9" s="68"/>
      <c r="O9" s="68"/>
      <c r="P9" s="70"/>
      <c r="Q9" s="69"/>
      <c r="R9" s="71"/>
      <c r="S9" s="72"/>
      <c r="T9" s="72"/>
      <c r="U9" s="71"/>
      <c r="V9" s="71"/>
      <c r="W9" s="69"/>
      <c r="X9" s="164">
        <v>1</v>
      </c>
      <c r="Y9" s="197">
        <v>2</v>
      </c>
      <c r="Z9" s="175">
        <v>3</v>
      </c>
      <c r="AA9" s="555">
        <v>4</v>
      </c>
      <c r="AB9" s="349">
        <v>5</v>
      </c>
      <c r="AC9" s="349">
        <v>6</v>
      </c>
      <c r="AD9" s="164">
        <v>7</v>
      </c>
      <c r="AE9" s="164">
        <v>8</v>
      </c>
      <c r="AF9" s="164">
        <v>9</v>
      </c>
      <c r="AG9" s="571">
        <v>10</v>
      </c>
      <c r="AH9" s="180"/>
    </row>
    <row r="10" spans="1:38" s="73" customFormat="1" x14ac:dyDescent="0.25">
      <c r="A10" s="68"/>
      <c r="B10" s="74"/>
      <c r="C10" s="68"/>
      <c r="D10" s="68"/>
      <c r="E10" s="68"/>
      <c r="F10" s="68"/>
      <c r="G10" s="68"/>
      <c r="H10" s="69"/>
      <c r="I10" s="68"/>
      <c r="J10" s="68"/>
      <c r="K10" s="68"/>
      <c r="L10" s="68"/>
      <c r="M10" s="68"/>
      <c r="N10" s="68"/>
      <c r="O10" s="68"/>
      <c r="P10" s="70"/>
      <c r="Q10" s="69"/>
      <c r="R10" s="71"/>
      <c r="S10" s="72"/>
      <c r="T10" s="72"/>
      <c r="U10" s="71"/>
      <c r="V10" s="71"/>
      <c r="W10" s="69"/>
      <c r="X10" s="400" t="s">
        <v>142</v>
      </c>
      <c r="Y10" s="198" t="s">
        <v>65</v>
      </c>
      <c r="Z10" s="190"/>
      <c r="AA10" s="556"/>
      <c r="AB10" s="567"/>
      <c r="AC10" s="329"/>
      <c r="AD10" s="189">
        <f>AD11+AD168+AD183+AD240+AD291+AD351+AD392+AD464+AD482+AD514+AD343</f>
        <v>770603.39999999991</v>
      </c>
      <c r="AE10" s="189">
        <f>AE11+AE168+AE183+AE240+AE291+AE351+AE392+AE464+AE482+AE514+AE343</f>
        <v>927301.79999999993</v>
      </c>
      <c r="AF10" s="189">
        <f>AF11+AF168+AF183+AF240+AF291+AF351+AF392+AF464+AF482+AF514+AF343</f>
        <v>740737.79999999993</v>
      </c>
      <c r="AG10" s="573">
        <f>AF10/AE10</f>
        <v>0.79880983731510069</v>
      </c>
      <c r="AH10" s="222"/>
      <c r="AI10" s="156"/>
    </row>
    <row r="11" spans="1:38" s="84" customFormat="1" x14ac:dyDescent="0.25">
      <c r="A11" s="75"/>
      <c r="B11" s="76"/>
      <c r="C11" s="77"/>
      <c r="D11" s="78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1"/>
      <c r="P11" s="80"/>
      <c r="Q11" s="82"/>
      <c r="R11" s="83"/>
      <c r="S11" s="83"/>
      <c r="T11" s="83"/>
      <c r="U11" s="83"/>
      <c r="V11" s="83"/>
      <c r="W11" s="83"/>
      <c r="X11" s="279" t="s">
        <v>27</v>
      </c>
      <c r="Y11" s="199" t="s">
        <v>65</v>
      </c>
      <c r="Z11" s="23" t="s">
        <v>31</v>
      </c>
      <c r="AA11" s="557"/>
      <c r="AB11" s="305"/>
      <c r="AC11" s="310"/>
      <c r="AD11" s="170">
        <f>AD12+AD19+AD89+AD97+AD75</f>
        <v>249085</v>
      </c>
      <c r="AE11" s="170">
        <f>AE12+AE19+AE89+AE97+AE75</f>
        <v>405741.39999999997</v>
      </c>
      <c r="AF11" s="170">
        <f>AF12+AF19+AF89+AF97+AF75</f>
        <v>248210.90000000002</v>
      </c>
      <c r="AG11" s="574">
        <f>AF11/AE11</f>
        <v>0.61174654595266853</v>
      </c>
      <c r="AH11" s="222"/>
      <c r="AI11" s="156"/>
    </row>
    <row r="12" spans="1:38" ht="31.5" x14ac:dyDescent="0.25">
      <c r="A12" s="54"/>
      <c r="B12" s="85"/>
      <c r="C12" s="86"/>
      <c r="D12" s="86"/>
      <c r="E12" s="87"/>
      <c r="F12" s="87"/>
      <c r="G12" s="88"/>
      <c r="H12" s="88"/>
      <c r="I12" s="88"/>
      <c r="J12" s="88"/>
      <c r="K12" s="88"/>
      <c r="L12" s="80"/>
      <c r="M12" s="88"/>
      <c r="N12" s="80"/>
      <c r="O12" s="89"/>
      <c r="P12" s="88"/>
      <c r="Q12" s="90"/>
      <c r="R12" s="91"/>
      <c r="S12" s="91"/>
      <c r="T12" s="91"/>
      <c r="U12" s="91"/>
      <c r="V12" s="91"/>
      <c r="W12" s="91"/>
      <c r="X12" s="278" t="s">
        <v>10</v>
      </c>
      <c r="Y12" s="11" t="s">
        <v>65</v>
      </c>
      <c r="Z12" s="1" t="s">
        <v>31</v>
      </c>
      <c r="AA12" s="529" t="s">
        <v>32</v>
      </c>
      <c r="AB12" s="33"/>
      <c r="AC12" s="311" t="s">
        <v>390</v>
      </c>
      <c r="AD12" s="168">
        <f t="shared" ref="AD12:AF15" si="0">AD13</f>
        <v>3395.7</v>
      </c>
      <c r="AE12" s="168">
        <f t="shared" si="0"/>
        <v>3395.7</v>
      </c>
      <c r="AF12" s="168">
        <f t="shared" si="0"/>
        <v>3316.9</v>
      </c>
      <c r="AG12" s="575">
        <f>AF12/AE12</f>
        <v>0.9767941808758136</v>
      </c>
      <c r="AH12" s="194"/>
      <c r="AI12" s="156"/>
    </row>
    <row r="13" spans="1:38" x14ac:dyDescent="0.25">
      <c r="A13" s="54"/>
      <c r="B13" s="85"/>
      <c r="C13" s="86"/>
      <c r="D13" s="86"/>
      <c r="E13" s="87"/>
      <c r="F13" s="87"/>
      <c r="G13" s="88"/>
      <c r="H13" s="88"/>
      <c r="I13" s="88"/>
      <c r="J13" s="88"/>
      <c r="K13" s="88"/>
      <c r="L13" s="80"/>
      <c r="M13" s="88"/>
      <c r="N13" s="80"/>
      <c r="O13" s="89"/>
      <c r="P13" s="88"/>
      <c r="Q13" s="90"/>
      <c r="R13" s="91"/>
      <c r="S13" s="91"/>
      <c r="T13" s="91"/>
      <c r="U13" s="91"/>
      <c r="V13" s="91"/>
      <c r="W13" s="91"/>
      <c r="X13" s="284" t="s">
        <v>193</v>
      </c>
      <c r="Y13" s="11" t="s">
        <v>65</v>
      </c>
      <c r="Z13" s="1" t="s">
        <v>31</v>
      </c>
      <c r="AA13" s="529" t="s">
        <v>32</v>
      </c>
      <c r="AB13" s="163" t="s">
        <v>115</v>
      </c>
      <c r="AC13" s="311"/>
      <c r="AD13" s="168">
        <f>AD14</f>
        <v>3395.7</v>
      </c>
      <c r="AE13" s="168">
        <f>AE14</f>
        <v>3395.7</v>
      </c>
      <c r="AF13" s="168">
        <f>AF14</f>
        <v>3316.9</v>
      </c>
      <c r="AG13" s="575">
        <f t="shared" ref="AG13:AG69" si="1">AF13/AE13</f>
        <v>0.9767941808758136</v>
      </c>
      <c r="AH13" s="194"/>
      <c r="AI13" s="156"/>
    </row>
    <row r="14" spans="1:38" x14ac:dyDescent="0.25">
      <c r="A14" s="92"/>
      <c r="B14" s="85"/>
      <c r="C14" s="86"/>
      <c r="D14" s="86"/>
      <c r="E14" s="86"/>
      <c r="F14" s="87"/>
      <c r="G14" s="88"/>
      <c r="H14" s="88"/>
      <c r="I14" s="88"/>
      <c r="J14" s="88"/>
      <c r="K14" s="88"/>
      <c r="L14" s="80"/>
      <c r="M14" s="88"/>
      <c r="N14" s="80"/>
      <c r="O14" s="89"/>
      <c r="P14" s="88"/>
      <c r="Q14" s="90"/>
      <c r="R14" s="91"/>
      <c r="S14" s="91"/>
      <c r="T14" s="91"/>
      <c r="U14" s="91"/>
      <c r="V14" s="91"/>
      <c r="W14" s="91"/>
      <c r="X14" s="284" t="s">
        <v>198</v>
      </c>
      <c r="Y14" s="11" t="s">
        <v>65</v>
      </c>
      <c r="Z14" s="1" t="s">
        <v>31</v>
      </c>
      <c r="AA14" s="529" t="s">
        <v>32</v>
      </c>
      <c r="AB14" s="163" t="s">
        <v>199</v>
      </c>
      <c r="AC14" s="311"/>
      <c r="AD14" s="168">
        <f t="shared" si="0"/>
        <v>3395.7</v>
      </c>
      <c r="AE14" s="168">
        <f t="shared" si="0"/>
        <v>3395.7</v>
      </c>
      <c r="AF14" s="168">
        <f t="shared" si="0"/>
        <v>3316.9</v>
      </c>
      <c r="AG14" s="575">
        <f t="shared" si="1"/>
        <v>0.9767941808758136</v>
      </c>
      <c r="AH14" s="194"/>
      <c r="AI14" s="156"/>
    </row>
    <row r="15" spans="1:38" ht="31.5" x14ac:dyDescent="0.25">
      <c r="A15" s="92"/>
      <c r="B15" s="85"/>
      <c r="C15" s="86"/>
      <c r="D15" s="86"/>
      <c r="E15" s="86"/>
      <c r="F15" s="87"/>
      <c r="G15" s="88"/>
      <c r="H15" s="88"/>
      <c r="I15" s="88"/>
      <c r="J15" s="88"/>
      <c r="K15" s="88"/>
      <c r="L15" s="80"/>
      <c r="M15" s="88"/>
      <c r="N15" s="80"/>
      <c r="O15" s="89"/>
      <c r="P15" s="88"/>
      <c r="Q15" s="90"/>
      <c r="R15" s="91"/>
      <c r="S15" s="91"/>
      <c r="T15" s="91"/>
      <c r="U15" s="91"/>
      <c r="V15" s="91"/>
      <c r="W15" s="91"/>
      <c r="X15" s="284" t="s">
        <v>200</v>
      </c>
      <c r="Y15" s="11" t="s">
        <v>65</v>
      </c>
      <c r="Z15" s="1" t="s">
        <v>31</v>
      </c>
      <c r="AA15" s="529" t="s">
        <v>32</v>
      </c>
      <c r="AB15" s="163" t="s">
        <v>201</v>
      </c>
      <c r="AC15" s="311"/>
      <c r="AD15" s="168">
        <f t="shared" si="0"/>
        <v>3395.7</v>
      </c>
      <c r="AE15" s="168">
        <f t="shared" si="0"/>
        <v>3395.7</v>
      </c>
      <c r="AF15" s="168">
        <f t="shared" si="0"/>
        <v>3316.9</v>
      </c>
      <c r="AG15" s="575">
        <f t="shared" si="1"/>
        <v>0.9767941808758136</v>
      </c>
      <c r="AH15" s="194"/>
      <c r="AI15" s="156"/>
    </row>
    <row r="16" spans="1:38" x14ac:dyDescent="0.25">
      <c r="A16" s="92"/>
      <c r="B16" s="85"/>
      <c r="C16" s="86"/>
      <c r="D16" s="86"/>
      <c r="E16" s="86"/>
      <c r="F16" s="87"/>
      <c r="G16" s="88"/>
      <c r="H16" s="88"/>
      <c r="I16" s="88"/>
      <c r="J16" s="88"/>
      <c r="K16" s="88"/>
      <c r="L16" s="80"/>
      <c r="M16" s="88"/>
      <c r="N16" s="80"/>
      <c r="O16" s="89"/>
      <c r="P16" s="88"/>
      <c r="Q16" s="90"/>
      <c r="R16" s="91"/>
      <c r="S16" s="91"/>
      <c r="T16" s="91"/>
      <c r="U16" s="91"/>
      <c r="V16" s="91"/>
      <c r="W16" s="91"/>
      <c r="X16" s="284" t="s">
        <v>202</v>
      </c>
      <c r="Y16" s="11" t="s">
        <v>65</v>
      </c>
      <c r="Z16" s="1" t="s">
        <v>31</v>
      </c>
      <c r="AA16" s="529" t="s">
        <v>32</v>
      </c>
      <c r="AB16" s="163" t="s">
        <v>203</v>
      </c>
      <c r="AC16" s="311"/>
      <c r="AD16" s="168">
        <f t="shared" ref="AD16:AF17" si="2">AD17</f>
        <v>3395.7</v>
      </c>
      <c r="AE16" s="168">
        <f t="shared" si="2"/>
        <v>3395.7</v>
      </c>
      <c r="AF16" s="168">
        <f t="shared" si="2"/>
        <v>3316.9</v>
      </c>
      <c r="AG16" s="575">
        <f t="shared" si="1"/>
        <v>0.9767941808758136</v>
      </c>
      <c r="AH16" s="194"/>
      <c r="AI16" s="156"/>
    </row>
    <row r="17" spans="1:35" ht="47.25" x14ac:dyDescent="0.25">
      <c r="A17" s="92"/>
      <c r="B17" s="85"/>
      <c r="C17" s="86"/>
      <c r="D17" s="86"/>
      <c r="E17" s="86"/>
      <c r="F17" s="87"/>
      <c r="G17" s="88"/>
      <c r="H17" s="88"/>
      <c r="I17" s="88"/>
      <c r="J17" s="88"/>
      <c r="K17" s="88"/>
      <c r="L17" s="80"/>
      <c r="M17" s="88"/>
      <c r="N17" s="80"/>
      <c r="O17" s="89"/>
      <c r="P17" s="88"/>
      <c r="Q17" s="90"/>
      <c r="R17" s="91"/>
      <c r="S17" s="91"/>
      <c r="T17" s="91"/>
      <c r="U17" s="91"/>
      <c r="V17" s="91"/>
      <c r="W17" s="91"/>
      <c r="X17" s="278" t="s">
        <v>43</v>
      </c>
      <c r="Y17" s="11" t="s">
        <v>65</v>
      </c>
      <c r="Z17" s="1" t="s">
        <v>31</v>
      </c>
      <c r="AA17" s="529" t="s">
        <v>32</v>
      </c>
      <c r="AB17" s="163" t="s">
        <v>203</v>
      </c>
      <c r="AC17" s="311">
        <v>100</v>
      </c>
      <c r="AD17" s="168">
        <f t="shared" si="2"/>
        <v>3395.7</v>
      </c>
      <c r="AE17" s="168">
        <f t="shared" si="2"/>
        <v>3395.7</v>
      </c>
      <c r="AF17" s="168">
        <f t="shared" si="2"/>
        <v>3316.9</v>
      </c>
      <c r="AG17" s="575">
        <f t="shared" si="1"/>
        <v>0.9767941808758136</v>
      </c>
      <c r="AH17" s="194"/>
      <c r="AI17" s="156"/>
    </row>
    <row r="18" spans="1:35" x14ac:dyDescent="0.25">
      <c r="A18" s="92"/>
      <c r="B18" s="85"/>
      <c r="C18" s="86"/>
      <c r="D18" s="86"/>
      <c r="E18" s="86"/>
      <c r="F18" s="87"/>
      <c r="G18" s="88"/>
      <c r="H18" s="88"/>
      <c r="I18" s="88"/>
      <c r="J18" s="88"/>
      <c r="K18" s="88"/>
      <c r="L18" s="80"/>
      <c r="M18" s="88"/>
      <c r="N18" s="80"/>
      <c r="O18" s="89"/>
      <c r="P18" s="88"/>
      <c r="Q18" s="90"/>
      <c r="R18" s="91"/>
      <c r="S18" s="91"/>
      <c r="T18" s="91"/>
      <c r="U18" s="91"/>
      <c r="V18" s="91"/>
      <c r="W18" s="91"/>
      <c r="X18" s="278" t="s">
        <v>99</v>
      </c>
      <c r="Y18" s="11" t="s">
        <v>65</v>
      </c>
      <c r="Z18" s="1" t="s">
        <v>31</v>
      </c>
      <c r="AA18" s="529" t="s">
        <v>32</v>
      </c>
      <c r="AB18" s="163" t="s">
        <v>203</v>
      </c>
      <c r="AC18" s="311">
        <v>120</v>
      </c>
      <c r="AD18" s="168">
        <v>3395.7</v>
      </c>
      <c r="AE18" s="168">
        <v>3395.7</v>
      </c>
      <c r="AF18" s="168">
        <v>3316.9</v>
      </c>
      <c r="AG18" s="575">
        <f t="shared" si="1"/>
        <v>0.9767941808758136</v>
      </c>
      <c r="AH18" s="194"/>
      <c r="AI18" s="156"/>
    </row>
    <row r="19" spans="1:35" ht="31.5" x14ac:dyDescent="0.25">
      <c r="A19" s="54"/>
      <c r="B19" s="85"/>
      <c r="C19" s="86"/>
      <c r="D19" s="86"/>
      <c r="E19" s="87"/>
      <c r="F19" s="87"/>
      <c r="G19" s="88"/>
      <c r="H19" s="88"/>
      <c r="I19" s="88"/>
      <c r="J19" s="88"/>
      <c r="K19" s="88"/>
      <c r="L19" s="80"/>
      <c r="M19" s="88"/>
      <c r="N19" s="80"/>
      <c r="O19" s="93"/>
      <c r="P19" s="88"/>
      <c r="Q19" s="90"/>
      <c r="R19" s="94"/>
      <c r="S19" s="94"/>
      <c r="T19" s="94"/>
      <c r="U19" s="94"/>
      <c r="V19" s="94"/>
      <c r="W19" s="94"/>
      <c r="X19" s="278" t="s">
        <v>52</v>
      </c>
      <c r="Y19" s="11" t="s">
        <v>65</v>
      </c>
      <c r="Z19" s="1" t="s">
        <v>31</v>
      </c>
      <c r="AA19" s="529" t="s">
        <v>51</v>
      </c>
      <c r="AB19" s="33"/>
      <c r="AC19" s="311"/>
      <c r="AD19" s="168">
        <f>AD20+AD28+AD47+AD63+AD53+AD71</f>
        <v>92237.2</v>
      </c>
      <c r="AE19" s="168">
        <f t="shared" ref="AE19:AF19" si="3">AE20+AE28+AE47+AE63+AE53+AE71</f>
        <v>96979.5</v>
      </c>
      <c r="AF19" s="168">
        <f t="shared" si="3"/>
        <v>95021.2</v>
      </c>
      <c r="AG19" s="575">
        <f t="shared" si="1"/>
        <v>0.97980707262875144</v>
      </c>
      <c r="AH19" s="194"/>
      <c r="AI19" s="156"/>
    </row>
    <row r="20" spans="1:35" x14ac:dyDescent="0.25">
      <c r="A20" s="54"/>
      <c r="B20" s="85"/>
      <c r="C20" s="86"/>
      <c r="D20" s="86"/>
      <c r="E20" s="87"/>
      <c r="F20" s="87"/>
      <c r="G20" s="88"/>
      <c r="H20" s="88"/>
      <c r="I20" s="88"/>
      <c r="J20" s="88"/>
      <c r="K20" s="88"/>
      <c r="L20" s="80"/>
      <c r="M20" s="88"/>
      <c r="N20" s="80"/>
      <c r="O20" s="93"/>
      <c r="P20" s="88"/>
      <c r="Q20" s="90"/>
      <c r="R20" s="94"/>
      <c r="S20" s="94"/>
      <c r="T20" s="94"/>
      <c r="U20" s="94"/>
      <c r="V20" s="94"/>
      <c r="W20" s="94"/>
      <c r="X20" s="280" t="s">
        <v>309</v>
      </c>
      <c r="Y20" s="11" t="s">
        <v>65</v>
      </c>
      <c r="Z20" s="1" t="s">
        <v>31</v>
      </c>
      <c r="AA20" s="529" t="s">
        <v>51</v>
      </c>
      <c r="AB20" s="33" t="s">
        <v>112</v>
      </c>
      <c r="AC20" s="309"/>
      <c r="AD20" s="168">
        <f>AD21</f>
        <v>2335</v>
      </c>
      <c r="AE20" s="168">
        <f>AE21</f>
        <v>2335</v>
      </c>
      <c r="AF20" s="168">
        <f>AF21</f>
        <v>2335</v>
      </c>
      <c r="AG20" s="575">
        <f t="shared" si="1"/>
        <v>1</v>
      </c>
      <c r="AH20" s="194"/>
      <c r="AI20" s="156"/>
    </row>
    <row r="21" spans="1:35" x14ac:dyDescent="0.25">
      <c r="A21" s="54"/>
      <c r="B21" s="85"/>
      <c r="C21" s="86"/>
      <c r="D21" s="86"/>
      <c r="E21" s="87"/>
      <c r="F21" s="87"/>
      <c r="G21" s="88"/>
      <c r="H21" s="88"/>
      <c r="I21" s="88"/>
      <c r="J21" s="88"/>
      <c r="K21" s="88"/>
      <c r="L21" s="80"/>
      <c r="M21" s="88"/>
      <c r="N21" s="80"/>
      <c r="O21" s="93"/>
      <c r="P21" s="88"/>
      <c r="Q21" s="90"/>
      <c r="R21" s="94"/>
      <c r="S21" s="94"/>
      <c r="T21" s="94"/>
      <c r="U21" s="94"/>
      <c r="V21" s="94"/>
      <c r="W21" s="94"/>
      <c r="X21" s="280" t="s">
        <v>50</v>
      </c>
      <c r="Y21" s="11" t="s">
        <v>65</v>
      </c>
      <c r="Z21" s="1" t="s">
        <v>31</v>
      </c>
      <c r="AA21" s="529" t="s">
        <v>51</v>
      </c>
      <c r="AB21" s="33" t="s">
        <v>444</v>
      </c>
      <c r="AC21" s="309"/>
      <c r="AD21" s="168">
        <f t="shared" ref="AD21:AF22" si="4">AD22</f>
        <v>2335</v>
      </c>
      <c r="AE21" s="168">
        <f t="shared" si="4"/>
        <v>2335</v>
      </c>
      <c r="AF21" s="168">
        <f t="shared" si="4"/>
        <v>2335</v>
      </c>
      <c r="AG21" s="575">
        <f t="shared" si="1"/>
        <v>1</v>
      </c>
      <c r="AH21" s="194"/>
      <c r="AI21" s="156"/>
    </row>
    <row r="22" spans="1:35" ht="47.25" x14ac:dyDescent="0.25">
      <c r="A22" s="54"/>
      <c r="B22" s="85"/>
      <c r="C22" s="86"/>
      <c r="D22" s="86"/>
      <c r="E22" s="87"/>
      <c r="F22" s="87"/>
      <c r="G22" s="88"/>
      <c r="H22" s="88"/>
      <c r="I22" s="88"/>
      <c r="J22" s="88"/>
      <c r="K22" s="88"/>
      <c r="L22" s="80"/>
      <c r="M22" s="88"/>
      <c r="N22" s="80"/>
      <c r="O22" s="93"/>
      <c r="P22" s="88"/>
      <c r="Q22" s="90"/>
      <c r="R22" s="94"/>
      <c r="S22" s="94"/>
      <c r="T22" s="94"/>
      <c r="U22" s="94"/>
      <c r="V22" s="94"/>
      <c r="W22" s="94"/>
      <c r="X22" s="280" t="s">
        <v>598</v>
      </c>
      <c r="Y22" s="11" t="s">
        <v>65</v>
      </c>
      <c r="Z22" s="1" t="s">
        <v>31</v>
      </c>
      <c r="AA22" s="529" t="s">
        <v>51</v>
      </c>
      <c r="AB22" s="33" t="s">
        <v>597</v>
      </c>
      <c r="AC22" s="309"/>
      <c r="AD22" s="168">
        <f t="shared" si="4"/>
        <v>2335</v>
      </c>
      <c r="AE22" s="168">
        <f t="shared" si="4"/>
        <v>2335</v>
      </c>
      <c r="AF22" s="168">
        <f t="shared" si="4"/>
        <v>2335</v>
      </c>
      <c r="AG22" s="575">
        <f t="shared" si="1"/>
        <v>1</v>
      </c>
      <c r="AH22" s="194"/>
      <c r="AI22" s="156"/>
    </row>
    <row r="23" spans="1:35" ht="47.25" x14ac:dyDescent="0.25">
      <c r="A23" s="54"/>
      <c r="B23" s="85"/>
      <c r="C23" s="86"/>
      <c r="D23" s="86"/>
      <c r="E23" s="87"/>
      <c r="F23" s="87"/>
      <c r="G23" s="88"/>
      <c r="H23" s="88"/>
      <c r="I23" s="88"/>
      <c r="J23" s="88"/>
      <c r="K23" s="88"/>
      <c r="L23" s="80"/>
      <c r="M23" s="88"/>
      <c r="N23" s="80"/>
      <c r="O23" s="93"/>
      <c r="P23" s="88"/>
      <c r="Q23" s="90"/>
      <c r="R23" s="94"/>
      <c r="S23" s="94"/>
      <c r="T23" s="94"/>
      <c r="U23" s="94"/>
      <c r="V23" s="94"/>
      <c r="W23" s="94"/>
      <c r="X23" s="401" t="s">
        <v>386</v>
      </c>
      <c r="Y23" s="11" t="s">
        <v>65</v>
      </c>
      <c r="Z23" s="1" t="s">
        <v>31</v>
      </c>
      <c r="AA23" s="529" t="s">
        <v>51</v>
      </c>
      <c r="AB23" s="33" t="s">
        <v>599</v>
      </c>
      <c r="AC23" s="309"/>
      <c r="AD23" s="168">
        <f>AD24+AD26</f>
        <v>2335</v>
      </c>
      <c r="AE23" s="168">
        <f>AE24+AE26</f>
        <v>2335</v>
      </c>
      <c r="AF23" s="168">
        <f>AF24+AF26</f>
        <v>2335</v>
      </c>
      <c r="AG23" s="575">
        <f t="shared" si="1"/>
        <v>1</v>
      </c>
      <c r="AH23" s="194"/>
      <c r="AI23" s="156"/>
    </row>
    <row r="24" spans="1:35" ht="47.25" x14ac:dyDescent="0.25">
      <c r="A24" s="54"/>
      <c r="B24" s="85"/>
      <c r="C24" s="86"/>
      <c r="D24" s="86"/>
      <c r="E24" s="87"/>
      <c r="F24" s="87"/>
      <c r="G24" s="88"/>
      <c r="H24" s="88"/>
      <c r="I24" s="88"/>
      <c r="J24" s="88"/>
      <c r="K24" s="88"/>
      <c r="L24" s="80"/>
      <c r="M24" s="88"/>
      <c r="N24" s="80"/>
      <c r="O24" s="93"/>
      <c r="P24" s="88"/>
      <c r="Q24" s="90"/>
      <c r="R24" s="94"/>
      <c r="S24" s="94"/>
      <c r="T24" s="94"/>
      <c r="U24" s="94"/>
      <c r="V24" s="94"/>
      <c r="W24" s="94"/>
      <c r="X24" s="278" t="s">
        <v>43</v>
      </c>
      <c r="Y24" s="11" t="s">
        <v>65</v>
      </c>
      <c r="Z24" s="1" t="s">
        <v>31</v>
      </c>
      <c r="AA24" s="529" t="s">
        <v>51</v>
      </c>
      <c r="AB24" s="33" t="s">
        <v>599</v>
      </c>
      <c r="AC24" s="311">
        <v>100</v>
      </c>
      <c r="AD24" s="168">
        <f>AD25</f>
        <v>2259.4</v>
      </c>
      <c r="AE24" s="168">
        <f>AE25</f>
        <v>2259.4</v>
      </c>
      <c r="AF24" s="168">
        <f>AF25</f>
        <v>2259.4</v>
      </c>
      <c r="AG24" s="575">
        <f t="shared" si="1"/>
        <v>1</v>
      </c>
      <c r="AH24" s="194"/>
      <c r="AI24" s="156"/>
    </row>
    <row r="25" spans="1:35" x14ac:dyDescent="0.25">
      <c r="A25" s="54"/>
      <c r="B25" s="85"/>
      <c r="C25" s="86"/>
      <c r="D25" s="86"/>
      <c r="E25" s="87"/>
      <c r="F25" s="87"/>
      <c r="G25" s="88"/>
      <c r="H25" s="88"/>
      <c r="I25" s="88"/>
      <c r="J25" s="88"/>
      <c r="K25" s="88"/>
      <c r="L25" s="80"/>
      <c r="M25" s="88"/>
      <c r="N25" s="80"/>
      <c r="O25" s="93"/>
      <c r="P25" s="88"/>
      <c r="Q25" s="90"/>
      <c r="R25" s="94"/>
      <c r="S25" s="94"/>
      <c r="T25" s="94"/>
      <c r="U25" s="94"/>
      <c r="V25" s="94"/>
      <c r="W25" s="94"/>
      <c r="X25" s="278" t="s">
        <v>99</v>
      </c>
      <c r="Y25" s="11" t="s">
        <v>65</v>
      </c>
      <c r="Z25" s="1" t="s">
        <v>31</v>
      </c>
      <c r="AA25" s="529" t="s">
        <v>51</v>
      </c>
      <c r="AB25" s="33" t="s">
        <v>599</v>
      </c>
      <c r="AC25" s="309">
        <v>120</v>
      </c>
      <c r="AD25" s="168">
        <f>1998+24+117.8+119.6</f>
        <v>2259.4</v>
      </c>
      <c r="AE25" s="168">
        <f>1998+24+117.8+119.6</f>
        <v>2259.4</v>
      </c>
      <c r="AF25" s="168">
        <v>2259.4</v>
      </c>
      <c r="AG25" s="575">
        <f t="shared" si="1"/>
        <v>1</v>
      </c>
      <c r="AH25" s="194"/>
      <c r="AI25" s="156"/>
    </row>
    <row r="26" spans="1:35" x14ac:dyDescent="0.25">
      <c r="A26" s="54"/>
      <c r="B26" s="85"/>
      <c r="C26" s="86"/>
      <c r="D26" s="86"/>
      <c r="E26" s="87"/>
      <c r="F26" s="87"/>
      <c r="G26" s="88"/>
      <c r="H26" s="88"/>
      <c r="I26" s="88"/>
      <c r="J26" s="88"/>
      <c r="K26" s="88"/>
      <c r="L26" s="80"/>
      <c r="M26" s="88"/>
      <c r="N26" s="80"/>
      <c r="O26" s="93"/>
      <c r="P26" s="88"/>
      <c r="Q26" s="90"/>
      <c r="R26" s="94"/>
      <c r="S26" s="94"/>
      <c r="T26" s="94"/>
      <c r="U26" s="94"/>
      <c r="V26" s="94"/>
      <c r="W26" s="94"/>
      <c r="X26" s="278" t="s">
        <v>123</v>
      </c>
      <c r="Y26" s="11" t="s">
        <v>65</v>
      </c>
      <c r="Z26" s="1" t="s">
        <v>31</v>
      </c>
      <c r="AA26" s="529" t="s">
        <v>51</v>
      </c>
      <c r="AB26" s="33" t="s">
        <v>599</v>
      </c>
      <c r="AC26" s="309">
        <v>200</v>
      </c>
      <c r="AD26" s="168">
        <f>AD27</f>
        <v>75.599999999999994</v>
      </c>
      <c r="AE26" s="168">
        <f>AE27</f>
        <v>75.599999999999994</v>
      </c>
      <c r="AF26" s="168">
        <f>AF27</f>
        <v>75.599999999999994</v>
      </c>
      <c r="AG26" s="575">
        <f t="shared" si="1"/>
        <v>1</v>
      </c>
      <c r="AH26" s="194"/>
      <c r="AI26" s="156"/>
    </row>
    <row r="27" spans="1:35" ht="31.5" x14ac:dyDescent="0.25">
      <c r="A27" s="54"/>
      <c r="B27" s="85"/>
      <c r="C27" s="86"/>
      <c r="D27" s="86"/>
      <c r="E27" s="87"/>
      <c r="F27" s="87"/>
      <c r="G27" s="88"/>
      <c r="H27" s="88"/>
      <c r="I27" s="88"/>
      <c r="J27" s="88"/>
      <c r="K27" s="88"/>
      <c r="L27" s="80"/>
      <c r="M27" s="88"/>
      <c r="N27" s="80"/>
      <c r="O27" s="93"/>
      <c r="P27" s="88"/>
      <c r="Q27" s="90"/>
      <c r="R27" s="94"/>
      <c r="S27" s="94"/>
      <c r="T27" s="94"/>
      <c r="U27" s="94"/>
      <c r="V27" s="94"/>
      <c r="W27" s="94"/>
      <c r="X27" s="278" t="s">
        <v>54</v>
      </c>
      <c r="Y27" s="11" t="s">
        <v>65</v>
      </c>
      <c r="Z27" s="1" t="s">
        <v>31</v>
      </c>
      <c r="AA27" s="529" t="s">
        <v>51</v>
      </c>
      <c r="AB27" s="33" t="s">
        <v>599</v>
      </c>
      <c r="AC27" s="309">
        <v>240</v>
      </c>
      <c r="AD27" s="168">
        <f>337-24-117.8-119.6</f>
        <v>75.599999999999994</v>
      </c>
      <c r="AE27" s="168">
        <f>337-24-117.8-119.6</f>
        <v>75.599999999999994</v>
      </c>
      <c r="AF27" s="168">
        <v>75.599999999999994</v>
      </c>
      <c r="AG27" s="575">
        <f t="shared" si="1"/>
        <v>1</v>
      </c>
      <c r="AH27" s="194"/>
      <c r="AI27" s="156"/>
    </row>
    <row r="28" spans="1:35" x14ac:dyDescent="0.25">
      <c r="A28" s="95"/>
      <c r="B28" s="85"/>
      <c r="C28" s="86"/>
      <c r="D28" s="86"/>
      <c r="E28" s="86"/>
      <c r="F28" s="87"/>
      <c r="G28" s="88"/>
      <c r="H28" s="88"/>
      <c r="I28" s="88"/>
      <c r="J28" s="88"/>
      <c r="K28" s="88"/>
      <c r="L28" s="80"/>
      <c r="M28" s="88"/>
      <c r="N28" s="80"/>
      <c r="O28" s="93"/>
      <c r="P28" s="88"/>
      <c r="Q28" s="90"/>
      <c r="R28" s="94"/>
      <c r="S28" s="94"/>
      <c r="T28" s="94"/>
      <c r="U28" s="94"/>
      <c r="V28" s="94"/>
      <c r="W28" s="94"/>
      <c r="X28" s="284" t="s">
        <v>193</v>
      </c>
      <c r="Y28" s="11" t="s">
        <v>65</v>
      </c>
      <c r="Z28" s="1" t="s">
        <v>31</v>
      </c>
      <c r="AA28" s="529" t="s">
        <v>51</v>
      </c>
      <c r="AB28" s="163" t="s">
        <v>115</v>
      </c>
      <c r="AC28" s="311"/>
      <c r="AD28" s="168">
        <f>AD29</f>
        <v>79715.3</v>
      </c>
      <c r="AE28" s="168">
        <f>AE29</f>
        <v>82215.3</v>
      </c>
      <c r="AF28" s="168">
        <f t="shared" ref="AF28" si="5">AF29</f>
        <v>80305.7</v>
      </c>
      <c r="AG28" s="575">
        <f t="shared" si="1"/>
        <v>0.97677317968796551</v>
      </c>
      <c r="AH28" s="194"/>
      <c r="AI28" s="156"/>
    </row>
    <row r="29" spans="1:35" x14ac:dyDescent="0.25">
      <c r="A29" s="97"/>
      <c r="B29" s="55"/>
      <c r="C29" s="86"/>
      <c r="D29" s="86"/>
      <c r="E29" s="86"/>
      <c r="F29" s="86"/>
      <c r="G29" s="88"/>
      <c r="H29" s="47"/>
      <c r="I29" s="98"/>
      <c r="J29" s="98"/>
      <c r="K29" s="98"/>
      <c r="L29" s="80"/>
      <c r="M29" s="98"/>
      <c r="N29" s="80"/>
      <c r="O29" s="99"/>
      <c r="P29" s="88"/>
      <c r="Q29" s="90"/>
      <c r="R29" s="94"/>
      <c r="S29" s="94"/>
      <c r="T29" s="94"/>
      <c r="U29" s="94"/>
      <c r="V29" s="94"/>
      <c r="X29" s="284" t="s">
        <v>198</v>
      </c>
      <c r="Y29" s="11" t="s">
        <v>65</v>
      </c>
      <c r="Z29" s="1" t="s">
        <v>31</v>
      </c>
      <c r="AA29" s="529" t="s">
        <v>51</v>
      </c>
      <c r="AB29" s="163" t="s">
        <v>199</v>
      </c>
      <c r="AC29" s="309"/>
      <c r="AD29" s="168">
        <f>AD30+AD43</f>
        <v>79715.3</v>
      </c>
      <c r="AE29" s="168">
        <f>AE30+AE43</f>
        <v>82215.3</v>
      </c>
      <c r="AF29" s="168">
        <f>AF30+AF43</f>
        <v>80305.7</v>
      </c>
      <c r="AG29" s="575">
        <f t="shared" si="1"/>
        <v>0.97677317968796551</v>
      </c>
      <c r="AH29" s="194"/>
      <c r="AI29" s="156"/>
    </row>
    <row r="30" spans="1:35" ht="31.5" x14ac:dyDescent="0.25">
      <c r="A30" s="97"/>
      <c r="B30" s="55"/>
      <c r="C30" s="86"/>
      <c r="D30" s="86"/>
      <c r="E30" s="86"/>
      <c r="F30" s="86"/>
      <c r="G30" s="88"/>
      <c r="H30" s="47"/>
      <c r="I30" s="98"/>
      <c r="J30" s="98"/>
      <c r="K30" s="98"/>
      <c r="L30" s="80"/>
      <c r="M30" s="98"/>
      <c r="N30" s="80"/>
      <c r="O30" s="99"/>
      <c r="P30" s="88"/>
      <c r="Q30" s="90"/>
      <c r="R30" s="94"/>
      <c r="S30" s="94"/>
      <c r="T30" s="94"/>
      <c r="U30" s="94"/>
      <c r="V30" s="94"/>
      <c r="X30" s="284" t="s">
        <v>200</v>
      </c>
      <c r="Y30" s="11" t="s">
        <v>65</v>
      </c>
      <c r="Z30" s="1" t="s">
        <v>31</v>
      </c>
      <c r="AA30" s="529" t="s">
        <v>51</v>
      </c>
      <c r="AB30" s="163" t="s">
        <v>201</v>
      </c>
      <c r="AC30" s="309"/>
      <c r="AD30" s="168">
        <f t="shared" ref="AD30:AF30" si="6">AD31</f>
        <v>79645</v>
      </c>
      <c r="AE30" s="168">
        <f t="shared" si="6"/>
        <v>82145</v>
      </c>
      <c r="AF30" s="168">
        <f t="shared" si="6"/>
        <v>80235.399999999994</v>
      </c>
      <c r="AG30" s="575">
        <f t="shared" si="1"/>
        <v>0.97675330208777156</v>
      </c>
      <c r="AH30" s="194"/>
      <c r="AI30" s="156"/>
    </row>
    <row r="31" spans="1:35" x14ac:dyDescent="0.25">
      <c r="A31" s="97"/>
      <c r="B31" s="55"/>
      <c r="C31" s="86"/>
      <c r="D31" s="86"/>
      <c r="E31" s="86"/>
      <c r="F31" s="86"/>
      <c r="G31" s="88"/>
      <c r="H31" s="47"/>
      <c r="I31" s="98"/>
      <c r="J31" s="98"/>
      <c r="K31" s="98"/>
      <c r="L31" s="80"/>
      <c r="M31" s="98"/>
      <c r="N31" s="80"/>
      <c r="O31" s="99"/>
      <c r="P31" s="88"/>
      <c r="Q31" s="90"/>
      <c r="R31" s="94"/>
      <c r="S31" s="94"/>
      <c r="T31" s="94"/>
      <c r="U31" s="94"/>
      <c r="V31" s="94"/>
      <c r="X31" s="284" t="s">
        <v>204</v>
      </c>
      <c r="Y31" s="11" t="s">
        <v>65</v>
      </c>
      <c r="Z31" s="1" t="s">
        <v>31</v>
      </c>
      <c r="AA31" s="529" t="s">
        <v>51</v>
      </c>
      <c r="AB31" s="163" t="s">
        <v>205</v>
      </c>
      <c r="AC31" s="309"/>
      <c r="AD31" s="168">
        <f>AD32+AD37+AD40</f>
        <v>79645</v>
      </c>
      <c r="AE31" s="168">
        <f>AE32+AE37+AE40</f>
        <v>82145</v>
      </c>
      <c r="AF31" s="168">
        <f>AF32+AF37+AF40</f>
        <v>80235.399999999994</v>
      </c>
      <c r="AG31" s="575">
        <f t="shared" si="1"/>
        <v>0.97675330208777156</v>
      </c>
      <c r="AH31" s="194"/>
      <c r="AI31" s="156"/>
    </row>
    <row r="32" spans="1:35" ht="31.5" x14ac:dyDescent="0.25">
      <c r="A32" s="97"/>
      <c r="B32" s="55"/>
      <c r="C32" s="86"/>
      <c r="D32" s="86"/>
      <c r="E32" s="86"/>
      <c r="F32" s="86"/>
      <c r="G32" s="88"/>
      <c r="H32" s="47"/>
      <c r="I32" s="98"/>
      <c r="J32" s="98"/>
      <c r="K32" s="98"/>
      <c r="L32" s="80"/>
      <c r="M32" s="98"/>
      <c r="N32" s="80"/>
      <c r="O32" s="99"/>
      <c r="P32" s="88"/>
      <c r="Q32" s="90"/>
      <c r="R32" s="94"/>
      <c r="S32" s="94"/>
      <c r="T32" s="94"/>
      <c r="U32" s="94"/>
      <c r="V32" s="94"/>
      <c r="X32" s="278" t="s">
        <v>206</v>
      </c>
      <c r="Y32" s="201" t="s">
        <v>65</v>
      </c>
      <c r="Z32" s="147" t="s">
        <v>31</v>
      </c>
      <c r="AA32" s="558" t="s">
        <v>51</v>
      </c>
      <c r="AB32" s="163" t="s">
        <v>207</v>
      </c>
      <c r="AC32" s="309"/>
      <c r="AD32" s="168">
        <f>AD33+AD35</f>
        <v>9587</v>
      </c>
      <c r="AE32" s="168">
        <f>AE33+AE35</f>
        <v>9587</v>
      </c>
      <c r="AF32" s="168">
        <f t="shared" ref="AF32" si="7">AF33+AF35</f>
        <v>8368.4</v>
      </c>
      <c r="AG32" s="575">
        <f t="shared" si="1"/>
        <v>0.87289037237926359</v>
      </c>
      <c r="AH32" s="194"/>
      <c r="AI32" s="156"/>
    </row>
    <row r="33" spans="1:35" x14ac:dyDescent="0.25">
      <c r="A33" s="97"/>
      <c r="B33" s="55"/>
      <c r="C33" s="86"/>
      <c r="D33" s="86"/>
      <c r="E33" s="86"/>
      <c r="F33" s="86"/>
      <c r="G33" s="88"/>
      <c r="H33" s="47"/>
      <c r="I33" s="98"/>
      <c r="J33" s="98"/>
      <c r="K33" s="98"/>
      <c r="L33" s="80"/>
      <c r="M33" s="98"/>
      <c r="N33" s="80"/>
      <c r="O33" s="99"/>
      <c r="P33" s="88"/>
      <c r="Q33" s="90"/>
      <c r="R33" s="94"/>
      <c r="S33" s="94"/>
      <c r="T33" s="94"/>
      <c r="U33" s="94"/>
      <c r="V33" s="94"/>
      <c r="X33" s="278" t="s">
        <v>123</v>
      </c>
      <c r="Y33" s="11" t="s">
        <v>65</v>
      </c>
      <c r="Z33" s="1" t="s">
        <v>31</v>
      </c>
      <c r="AA33" s="529" t="s">
        <v>51</v>
      </c>
      <c r="AB33" s="163" t="s">
        <v>207</v>
      </c>
      <c r="AC33" s="309">
        <v>200</v>
      </c>
      <c r="AD33" s="168">
        <f>AD34</f>
        <v>9584</v>
      </c>
      <c r="AE33" s="168">
        <f>AE34</f>
        <v>9584</v>
      </c>
      <c r="AF33" s="168">
        <f>AF34</f>
        <v>8365.4</v>
      </c>
      <c r="AG33" s="575">
        <f t="shared" si="1"/>
        <v>0.87285058430717855</v>
      </c>
      <c r="AH33" s="194"/>
      <c r="AI33" s="156"/>
    </row>
    <row r="34" spans="1:35" ht="31.5" x14ac:dyDescent="0.25">
      <c r="A34" s="97"/>
      <c r="B34" s="55"/>
      <c r="C34" s="86"/>
      <c r="D34" s="86"/>
      <c r="E34" s="86"/>
      <c r="F34" s="86"/>
      <c r="G34" s="88"/>
      <c r="H34" s="47"/>
      <c r="I34" s="98"/>
      <c r="J34" s="98"/>
      <c r="K34" s="98"/>
      <c r="L34" s="80"/>
      <c r="M34" s="98"/>
      <c r="N34" s="80"/>
      <c r="O34" s="99"/>
      <c r="P34" s="88"/>
      <c r="Q34" s="90"/>
      <c r="R34" s="94"/>
      <c r="S34" s="94"/>
      <c r="T34" s="94"/>
      <c r="U34" s="94"/>
      <c r="V34" s="94"/>
      <c r="X34" s="278" t="s">
        <v>54</v>
      </c>
      <c r="Y34" s="11" t="s">
        <v>65</v>
      </c>
      <c r="Z34" s="1" t="s">
        <v>31</v>
      </c>
      <c r="AA34" s="529" t="s">
        <v>51</v>
      </c>
      <c r="AB34" s="163" t="s">
        <v>207</v>
      </c>
      <c r="AC34" s="309">
        <v>240</v>
      </c>
      <c r="AD34" s="168">
        <f>8226.8-2.9+640.2-75+75+950-192.5+55-0.1+137.5-230</f>
        <v>9584</v>
      </c>
      <c r="AE34" s="168">
        <f>8226.8-2.9+640.2-75+75+950-192.5+55-0.1+137.5-230</f>
        <v>9584</v>
      </c>
      <c r="AF34" s="168">
        <v>8365.4</v>
      </c>
      <c r="AG34" s="575">
        <f t="shared" si="1"/>
        <v>0.87285058430717855</v>
      </c>
      <c r="AH34" s="194"/>
      <c r="AI34" s="156"/>
    </row>
    <row r="35" spans="1:35" x14ac:dyDescent="0.25">
      <c r="A35" s="97"/>
      <c r="B35" s="55"/>
      <c r="C35" s="86"/>
      <c r="D35" s="86"/>
      <c r="E35" s="86"/>
      <c r="F35" s="86"/>
      <c r="G35" s="88"/>
      <c r="H35" s="47"/>
      <c r="I35" s="98"/>
      <c r="J35" s="98"/>
      <c r="K35" s="98"/>
      <c r="L35" s="80"/>
      <c r="M35" s="98"/>
      <c r="N35" s="80"/>
      <c r="O35" s="99"/>
      <c r="P35" s="88"/>
      <c r="Q35" s="90"/>
      <c r="R35" s="94"/>
      <c r="S35" s="94"/>
      <c r="T35" s="94"/>
      <c r="U35" s="94"/>
      <c r="V35" s="94"/>
      <c r="X35" s="278" t="s">
        <v>44</v>
      </c>
      <c r="Y35" s="11" t="s">
        <v>65</v>
      </c>
      <c r="Z35" s="1" t="s">
        <v>31</v>
      </c>
      <c r="AA35" s="529" t="s">
        <v>51</v>
      </c>
      <c r="AB35" s="163" t="s">
        <v>207</v>
      </c>
      <c r="AC35" s="309">
        <v>800</v>
      </c>
      <c r="AD35" s="168">
        <f>AD36</f>
        <v>3</v>
      </c>
      <c r="AE35" s="168">
        <f>AE36</f>
        <v>3</v>
      </c>
      <c r="AF35" s="168">
        <f t="shared" ref="AF35" si="8">AF36</f>
        <v>3</v>
      </c>
      <c r="AG35" s="575">
        <f t="shared" si="1"/>
        <v>1</v>
      </c>
      <c r="AH35" s="194"/>
      <c r="AI35" s="156"/>
    </row>
    <row r="36" spans="1:35" x14ac:dyDescent="0.25">
      <c r="A36" s="97"/>
      <c r="B36" s="55"/>
      <c r="C36" s="86"/>
      <c r="D36" s="86"/>
      <c r="E36" s="86"/>
      <c r="F36" s="86"/>
      <c r="G36" s="88"/>
      <c r="H36" s="47"/>
      <c r="I36" s="98"/>
      <c r="J36" s="98"/>
      <c r="K36" s="98"/>
      <c r="L36" s="80"/>
      <c r="M36" s="98"/>
      <c r="N36" s="80"/>
      <c r="O36" s="99"/>
      <c r="P36" s="88"/>
      <c r="Q36" s="90"/>
      <c r="R36" s="94"/>
      <c r="S36" s="94"/>
      <c r="T36" s="94"/>
      <c r="U36" s="94"/>
      <c r="V36" s="94"/>
      <c r="X36" s="278" t="s">
        <v>60</v>
      </c>
      <c r="Y36" s="11" t="s">
        <v>65</v>
      </c>
      <c r="Z36" s="1" t="s">
        <v>31</v>
      </c>
      <c r="AA36" s="529" t="s">
        <v>51</v>
      </c>
      <c r="AB36" s="163" t="s">
        <v>207</v>
      </c>
      <c r="AC36" s="309">
        <v>850</v>
      </c>
      <c r="AD36" s="168">
        <v>3</v>
      </c>
      <c r="AE36" s="168">
        <v>3</v>
      </c>
      <c r="AF36" s="168">
        <v>3</v>
      </c>
      <c r="AG36" s="575">
        <f t="shared" si="1"/>
        <v>1</v>
      </c>
      <c r="AH36" s="194"/>
      <c r="AI36" s="156"/>
    </row>
    <row r="37" spans="1:35" ht="31.5" x14ac:dyDescent="0.25">
      <c r="A37" s="97"/>
      <c r="B37" s="55"/>
      <c r="C37" s="86"/>
      <c r="D37" s="86"/>
      <c r="E37" s="86"/>
      <c r="F37" s="86"/>
      <c r="G37" s="88"/>
      <c r="H37" s="47"/>
      <c r="I37" s="98"/>
      <c r="J37" s="98"/>
      <c r="K37" s="98"/>
      <c r="L37" s="80"/>
      <c r="M37" s="98"/>
      <c r="N37" s="80"/>
      <c r="O37" s="99"/>
      <c r="P37" s="88"/>
      <c r="Q37" s="90"/>
      <c r="R37" s="94"/>
      <c r="S37" s="94"/>
      <c r="T37" s="94"/>
      <c r="U37" s="94"/>
      <c r="V37" s="94"/>
      <c r="X37" s="278" t="s">
        <v>208</v>
      </c>
      <c r="Y37" s="11" t="s">
        <v>65</v>
      </c>
      <c r="Z37" s="1" t="s">
        <v>31</v>
      </c>
      <c r="AA37" s="529" t="s">
        <v>51</v>
      </c>
      <c r="AB37" s="163" t="s">
        <v>209</v>
      </c>
      <c r="AC37" s="311"/>
      <c r="AD37" s="168">
        <f t="shared" ref="AD37:AF38" si="9">AD38</f>
        <v>21919</v>
      </c>
      <c r="AE37" s="168">
        <f t="shared" si="9"/>
        <v>21919</v>
      </c>
      <c r="AF37" s="168">
        <f t="shared" si="9"/>
        <v>21441.4</v>
      </c>
      <c r="AG37" s="575">
        <f t="shared" si="1"/>
        <v>0.97821068479401441</v>
      </c>
      <c r="AH37" s="194"/>
      <c r="AI37" s="156"/>
    </row>
    <row r="38" spans="1:35" ht="47.25" x14ac:dyDescent="0.25">
      <c r="A38" s="97"/>
      <c r="B38" s="55"/>
      <c r="C38" s="86"/>
      <c r="D38" s="86"/>
      <c r="E38" s="86"/>
      <c r="F38" s="86"/>
      <c r="G38" s="88"/>
      <c r="H38" s="47"/>
      <c r="I38" s="98"/>
      <c r="J38" s="98"/>
      <c r="K38" s="98"/>
      <c r="L38" s="80"/>
      <c r="M38" s="98"/>
      <c r="N38" s="80"/>
      <c r="O38" s="99"/>
      <c r="P38" s="88"/>
      <c r="Q38" s="90"/>
      <c r="R38" s="94"/>
      <c r="S38" s="94"/>
      <c r="T38" s="94"/>
      <c r="U38" s="94"/>
      <c r="V38" s="94"/>
      <c r="X38" s="278" t="s">
        <v>43</v>
      </c>
      <c r="Y38" s="11" t="s">
        <v>65</v>
      </c>
      <c r="Z38" s="1" t="s">
        <v>31</v>
      </c>
      <c r="AA38" s="529" t="s">
        <v>51</v>
      </c>
      <c r="AB38" s="163" t="s">
        <v>209</v>
      </c>
      <c r="AC38" s="311">
        <v>100</v>
      </c>
      <c r="AD38" s="168">
        <f t="shared" si="9"/>
        <v>21919</v>
      </c>
      <c r="AE38" s="168">
        <f t="shared" si="9"/>
        <v>21919</v>
      </c>
      <c r="AF38" s="168">
        <f t="shared" si="9"/>
        <v>21441.4</v>
      </c>
      <c r="AG38" s="575">
        <f t="shared" si="1"/>
        <v>0.97821068479401441</v>
      </c>
      <c r="AH38" s="194"/>
      <c r="AI38" s="156"/>
    </row>
    <row r="39" spans="1:35" x14ac:dyDescent="0.25">
      <c r="A39" s="97"/>
      <c r="B39" s="55"/>
      <c r="C39" s="86"/>
      <c r="D39" s="86"/>
      <c r="E39" s="86"/>
      <c r="F39" s="86"/>
      <c r="G39" s="88"/>
      <c r="H39" s="47"/>
      <c r="I39" s="98"/>
      <c r="J39" s="98"/>
      <c r="K39" s="98"/>
      <c r="L39" s="80"/>
      <c r="M39" s="98"/>
      <c r="N39" s="80"/>
      <c r="O39" s="99"/>
      <c r="P39" s="88"/>
      <c r="Q39" s="90"/>
      <c r="R39" s="94"/>
      <c r="S39" s="94"/>
      <c r="T39" s="94"/>
      <c r="U39" s="94"/>
      <c r="V39" s="94"/>
      <c r="X39" s="278" t="s">
        <v>99</v>
      </c>
      <c r="Y39" s="11" t="s">
        <v>65</v>
      </c>
      <c r="Z39" s="1" t="s">
        <v>31</v>
      </c>
      <c r="AA39" s="529" t="s">
        <v>51</v>
      </c>
      <c r="AB39" s="163" t="s">
        <v>209</v>
      </c>
      <c r="AC39" s="309">
        <v>120</v>
      </c>
      <c r="AD39" s="168">
        <f>25933.7-779.7-1738.4-1496.6</f>
        <v>21919</v>
      </c>
      <c r="AE39" s="168">
        <f>25933.7-779.7-1738.4-1496.6</f>
        <v>21919</v>
      </c>
      <c r="AF39" s="168">
        <v>21441.4</v>
      </c>
      <c r="AG39" s="575">
        <f t="shared" si="1"/>
        <v>0.97821068479401441</v>
      </c>
      <c r="AH39" s="194"/>
      <c r="AI39" s="156"/>
    </row>
    <row r="40" spans="1:35" ht="31.5" x14ac:dyDescent="0.25">
      <c r="A40" s="97"/>
      <c r="B40" s="55"/>
      <c r="C40" s="86"/>
      <c r="D40" s="86"/>
      <c r="E40" s="86"/>
      <c r="F40" s="86"/>
      <c r="G40" s="88"/>
      <c r="H40" s="47"/>
      <c r="I40" s="98"/>
      <c r="J40" s="98"/>
      <c r="K40" s="98"/>
      <c r="L40" s="80"/>
      <c r="M40" s="98"/>
      <c r="N40" s="80"/>
      <c r="O40" s="99"/>
      <c r="P40" s="88"/>
      <c r="Q40" s="90"/>
      <c r="R40" s="94"/>
      <c r="S40" s="94"/>
      <c r="T40" s="94"/>
      <c r="U40" s="94"/>
      <c r="V40" s="94"/>
      <c r="X40" s="278" t="s">
        <v>210</v>
      </c>
      <c r="Y40" s="11" t="s">
        <v>65</v>
      </c>
      <c r="Z40" s="1" t="s">
        <v>31</v>
      </c>
      <c r="AA40" s="529" t="s">
        <v>51</v>
      </c>
      <c r="AB40" s="163" t="s">
        <v>211</v>
      </c>
      <c r="AC40" s="311"/>
      <c r="AD40" s="168">
        <f t="shared" ref="AD40:AF41" si="10">AD41</f>
        <v>48139</v>
      </c>
      <c r="AE40" s="168">
        <f t="shared" si="10"/>
        <v>50639</v>
      </c>
      <c r="AF40" s="168">
        <f t="shared" si="10"/>
        <v>50425.599999999999</v>
      </c>
      <c r="AG40" s="575">
        <f t="shared" si="1"/>
        <v>0.99578585675072573</v>
      </c>
      <c r="AH40" s="194"/>
      <c r="AI40" s="156"/>
    </row>
    <row r="41" spans="1:35" ht="47.25" x14ac:dyDescent="0.25">
      <c r="A41" s="97"/>
      <c r="B41" s="55"/>
      <c r="C41" s="86"/>
      <c r="D41" s="86"/>
      <c r="E41" s="86"/>
      <c r="F41" s="86"/>
      <c r="G41" s="88"/>
      <c r="H41" s="47"/>
      <c r="I41" s="98"/>
      <c r="J41" s="98"/>
      <c r="K41" s="98"/>
      <c r="L41" s="80"/>
      <c r="M41" s="98"/>
      <c r="N41" s="80"/>
      <c r="O41" s="99"/>
      <c r="P41" s="88"/>
      <c r="Q41" s="90"/>
      <c r="R41" s="94"/>
      <c r="S41" s="94"/>
      <c r="T41" s="94"/>
      <c r="U41" s="94"/>
      <c r="V41" s="94"/>
      <c r="X41" s="278" t="s">
        <v>43</v>
      </c>
      <c r="Y41" s="11" t="s">
        <v>65</v>
      </c>
      <c r="Z41" s="1" t="s">
        <v>31</v>
      </c>
      <c r="AA41" s="529" t="s">
        <v>51</v>
      </c>
      <c r="AB41" s="163" t="s">
        <v>211</v>
      </c>
      <c r="AC41" s="311">
        <v>100</v>
      </c>
      <c r="AD41" s="168">
        <f t="shared" si="10"/>
        <v>48139</v>
      </c>
      <c r="AE41" s="168">
        <f t="shared" si="10"/>
        <v>50639</v>
      </c>
      <c r="AF41" s="168">
        <f t="shared" si="10"/>
        <v>50425.599999999999</v>
      </c>
      <c r="AG41" s="575">
        <f t="shared" si="1"/>
        <v>0.99578585675072573</v>
      </c>
      <c r="AH41" s="194"/>
      <c r="AI41" s="156"/>
    </row>
    <row r="42" spans="1:35" x14ac:dyDescent="0.25">
      <c r="A42" s="97"/>
      <c r="B42" s="55"/>
      <c r="C42" s="86"/>
      <c r="D42" s="86"/>
      <c r="E42" s="86"/>
      <c r="F42" s="86"/>
      <c r="G42" s="88"/>
      <c r="H42" s="47"/>
      <c r="I42" s="98"/>
      <c r="J42" s="98"/>
      <c r="K42" s="98"/>
      <c r="L42" s="80"/>
      <c r="M42" s="98"/>
      <c r="N42" s="80"/>
      <c r="O42" s="99"/>
      <c r="P42" s="88"/>
      <c r="Q42" s="90"/>
      <c r="R42" s="94"/>
      <c r="S42" s="94"/>
      <c r="T42" s="94"/>
      <c r="U42" s="94"/>
      <c r="V42" s="94"/>
      <c r="X42" s="278" t="s">
        <v>99</v>
      </c>
      <c r="Y42" s="11" t="s">
        <v>65</v>
      </c>
      <c r="Z42" s="1" t="s">
        <v>31</v>
      </c>
      <c r="AA42" s="529" t="s">
        <v>51</v>
      </c>
      <c r="AB42" s="163" t="s">
        <v>211</v>
      </c>
      <c r="AC42" s="309">
        <v>120</v>
      </c>
      <c r="AD42" s="168">
        <f>48011.5-652.2+779.7</f>
        <v>48139</v>
      </c>
      <c r="AE42" s="168">
        <v>50639</v>
      </c>
      <c r="AF42" s="168">
        <v>50425.599999999999</v>
      </c>
      <c r="AG42" s="575">
        <f t="shared" si="1"/>
        <v>0.99578585675072573</v>
      </c>
      <c r="AH42" s="194"/>
      <c r="AI42" s="156"/>
    </row>
    <row r="43" spans="1:35" ht="31.5" x14ac:dyDescent="0.25">
      <c r="A43" s="97"/>
      <c r="B43" s="55"/>
      <c r="C43" s="86"/>
      <c r="D43" s="86"/>
      <c r="E43" s="86"/>
      <c r="F43" s="86"/>
      <c r="G43" s="88"/>
      <c r="H43" s="47"/>
      <c r="I43" s="98"/>
      <c r="J43" s="98"/>
      <c r="K43" s="98"/>
      <c r="L43" s="80"/>
      <c r="M43" s="98"/>
      <c r="N43" s="80"/>
      <c r="O43" s="99"/>
      <c r="P43" s="88"/>
      <c r="Q43" s="90"/>
      <c r="R43" s="94"/>
      <c r="S43" s="94"/>
      <c r="T43" s="94"/>
      <c r="U43" s="94"/>
      <c r="V43" s="94"/>
      <c r="X43" s="278" t="s">
        <v>615</v>
      </c>
      <c r="Y43" s="11" t="s">
        <v>65</v>
      </c>
      <c r="Z43" s="1" t="s">
        <v>31</v>
      </c>
      <c r="AA43" s="529" t="s">
        <v>51</v>
      </c>
      <c r="AB43" s="306" t="s">
        <v>616</v>
      </c>
      <c r="AC43" s="309"/>
      <c r="AD43" s="168">
        <f t="shared" ref="AD43:AE45" si="11">AD44</f>
        <v>70.3</v>
      </c>
      <c r="AE43" s="168">
        <f t="shared" si="11"/>
        <v>70.3</v>
      </c>
      <c r="AF43" s="168">
        <f t="shared" ref="AF43:AF45" si="12">AF44</f>
        <v>70.3</v>
      </c>
      <c r="AG43" s="575">
        <f t="shared" si="1"/>
        <v>1</v>
      </c>
      <c r="AH43" s="194"/>
      <c r="AI43" s="156"/>
    </row>
    <row r="44" spans="1:35" ht="78.75" x14ac:dyDescent="0.25">
      <c r="A44" s="97"/>
      <c r="B44" s="55"/>
      <c r="C44" s="86"/>
      <c r="D44" s="86"/>
      <c r="E44" s="86"/>
      <c r="F44" s="86"/>
      <c r="G44" s="88"/>
      <c r="H44" s="47"/>
      <c r="I44" s="98"/>
      <c r="J44" s="98"/>
      <c r="K44" s="98"/>
      <c r="L44" s="80"/>
      <c r="M44" s="98"/>
      <c r="N44" s="80"/>
      <c r="O44" s="99"/>
      <c r="P44" s="88"/>
      <c r="Q44" s="90"/>
      <c r="R44" s="94"/>
      <c r="S44" s="94"/>
      <c r="T44" s="94"/>
      <c r="U44" s="94"/>
      <c r="V44" s="94"/>
      <c r="X44" s="278" t="s">
        <v>449</v>
      </c>
      <c r="Y44" s="11" t="s">
        <v>65</v>
      </c>
      <c r="Z44" s="1" t="s">
        <v>31</v>
      </c>
      <c r="AA44" s="529" t="s">
        <v>51</v>
      </c>
      <c r="AB44" s="163" t="s">
        <v>617</v>
      </c>
      <c r="AC44" s="309"/>
      <c r="AD44" s="168">
        <f t="shared" si="11"/>
        <v>70.3</v>
      </c>
      <c r="AE44" s="168">
        <f t="shared" si="11"/>
        <v>70.3</v>
      </c>
      <c r="AF44" s="168">
        <f t="shared" si="12"/>
        <v>70.3</v>
      </c>
      <c r="AG44" s="575">
        <f t="shared" si="1"/>
        <v>1</v>
      </c>
      <c r="AH44" s="194"/>
      <c r="AI44" s="156"/>
    </row>
    <row r="45" spans="1:35" x14ac:dyDescent="0.25">
      <c r="A45" s="97"/>
      <c r="B45" s="55"/>
      <c r="C45" s="86"/>
      <c r="D45" s="86"/>
      <c r="E45" s="86"/>
      <c r="F45" s="86"/>
      <c r="G45" s="88"/>
      <c r="H45" s="47"/>
      <c r="I45" s="98"/>
      <c r="J45" s="98"/>
      <c r="K45" s="98"/>
      <c r="L45" s="80"/>
      <c r="M45" s="98"/>
      <c r="N45" s="80"/>
      <c r="O45" s="99"/>
      <c r="P45" s="88"/>
      <c r="Q45" s="90"/>
      <c r="R45" s="94"/>
      <c r="S45" s="94"/>
      <c r="T45" s="94"/>
      <c r="U45" s="94"/>
      <c r="V45" s="94"/>
      <c r="X45" s="278" t="s">
        <v>123</v>
      </c>
      <c r="Y45" s="11" t="s">
        <v>65</v>
      </c>
      <c r="Z45" s="1" t="s">
        <v>31</v>
      </c>
      <c r="AA45" s="529" t="s">
        <v>51</v>
      </c>
      <c r="AB45" s="163" t="s">
        <v>617</v>
      </c>
      <c r="AC45" s="309">
        <v>200</v>
      </c>
      <c r="AD45" s="168">
        <f t="shared" si="11"/>
        <v>70.3</v>
      </c>
      <c r="AE45" s="168">
        <f t="shared" si="11"/>
        <v>70.3</v>
      </c>
      <c r="AF45" s="168">
        <f t="shared" si="12"/>
        <v>70.3</v>
      </c>
      <c r="AG45" s="575">
        <f t="shared" si="1"/>
        <v>1</v>
      </c>
      <c r="AH45" s="194"/>
      <c r="AI45" s="156"/>
    </row>
    <row r="46" spans="1:35" ht="31.5" x14ac:dyDescent="0.25">
      <c r="A46" s="97"/>
      <c r="B46" s="55"/>
      <c r="C46" s="86"/>
      <c r="D46" s="86"/>
      <c r="E46" s="86"/>
      <c r="F46" s="86"/>
      <c r="G46" s="88"/>
      <c r="H46" s="47"/>
      <c r="I46" s="98"/>
      <c r="J46" s="98"/>
      <c r="K46" s="98"/>
      <c r="L46" s="80"/>
      <c r="M46" s="98"/>
      <c r="N46" s="80"/>
      <c r="O46" s="99"/>
      <c r="P46" s="88"/>
      <c r="Q46" s="90"/>
      <c r="R46" s="94"/>
      <c r="S46" s="94"/>
      <c r="T46" s="94"/>
      <c r="U46" s="94"/>
      <c r="V46" s="94"/>
      <c r="X46" s="278" t="s">
        <v>54</v>
      </c>
      <c r="Y46" s="11" t="s">
        <v>65</v>
      </c>
      <c r="Z46" s="1" t="s">
        <v>31</v>
      </c>
      <c r="AA46" s="529" t="s">
        <v>51</v>
      </c>
      <c r="AB46" s="163" t="s">
        <v>617</v>
      </c>
      <c r="AC46" s="309">
        <v>240</v>
      </c>
      <c r="AD46" s="168">
        <f>50+20.3</f>
        <v>70.3</v>
      </c>
      <c r="AE46" s="168">
        <f>50+20.3</f>
        <v>70.3</v>
      </c>
      <c r="AF46" s="168">
        <v>70.3</v>
      </c>
      <c r="AG46" s="575">
        <f t="shared" si="1"/>
        <v>1</v>
      </c>
      <c r="AH46" s="194"/>
      <c r="AI46" s="156"/>
    </row>
    <row r="47" spans="1:35" ht="31.5" x14ac:dyDescent="0.25">
      <c r="A47" s="97"/>
      <c r="B47" s="55"/>
      <c r="C47" s="86"/>
      <c r="D47" s="86"/>
      <c r="E47" s="86"/>
      <c r="F47" s="86"/>
      <c r="G47" s="88"/>
      <c r="H47" s="47"/>
      <c r="I47" s="98"/>
      <c r="J47" s="98"/>
      <c r="K47" s="98"/>
      <c r="L47" s="80"/>
      <c r="M47" s="98"/>
      <c r="N47" s="80"/>
      <c r="O47" s="99"/>
      <c r="P47" s="88"/>
      <c r="Q47" s="90"/>
      <c r="R47" s="94"/>
      <c r="S47" s="94"/>
      <c r="T47" s="94"/>
      <c r="U47" s="94"/>
      <c r="V47" s="94"/>
      <c r="X47" s="280" t="s">
        <v>315</v>
      </c>
      <c r="Y47" s="11" t="s">
        <v>65</v>
      </c>
      <c r="Z47" s="1" t="s">
        <v>31</v>
      </c>
      <c r="AA47" s="529" t="s">
        <v>51</v>
      </c>
      <c r="AB47" s="163" t="s">
        <v>134</v>
      </c>
      <c r="AC47" s="309"/>
      <c r="AD47" s="168">
        <f t="shared" ref="AD47:AF49" si="13">AD48</f>
        <v>7885.9</v>
      </c>
      <c r="AE47" s="168">
        <f t="shared" si="13"/>
        <v>7885.9</v>
      </c>
      <c r="AF47" s="168">
        <f t="shared" si="13"/>
        <v>7837.2</v>
      </c>
      <c r="AG47" s="575">
        <f t="shared" si="1"/>
        <v>0.99382442080168409</v>
      </c>
      <c r="AH47" s="194"/>
      <c r="AI47" s="156"/>
    </row>
    <row r="48" spans="1:35" ht="47.25" x14ac:dyDescent="0.25">
      <c r="A48" s="97"/>
      <c r="B48" s="55"/>
      <c r="C48" s="86"/>
      <c r="D48" s="86"/>
      <c r="E48" s="86"/>
      <c r="F48" s="86"/>
      <c r="G48" s="88"/>
      <c r="H48" s="47"/>
      <c r="I48" s="98"/>
      <c r="J48" s="98"/>
      <c r="K48" s="98"/>
      <c r="L48" s="80"/>
      <c r="M48" s="98"/>
      <c r="N48" s="80"/>
      <c r="O48" s="99"/>
      <c r="P48" s="88"/>
      <c r="Q48" s="90"/>
      <c r="R48" s="94"/>
      <c r="S48" s="94"/>
      <c r="T48" s="94"/>
      <c r="U48" s="94"/>
      <c r="V48" s="94"/>
      <c r="X48" s="295" t="s">
        <v>594</v>
      </c>
      <c r="Y48" s="11" t="s">
        <v>65</v>
      </c>
      <c r="Z48" s="1" t="s">
        <v>31</v>
      </c>
      <c r="AA48" s="529" t="s">
        <v>51</v>
      </c>
      <c r="AB48" s="163" t="s">
        <v>317</v>
      </c>
      <c r="AC48" s="309"/>
      <c r="AD48" s="168">
        <f t="shared" si="13"/>
        <v>7885.9</v>
      </c>
      <c r="AE48" s="168">
        <f t="shared" si="13"/>
        <v>7885.9</v>
      </c>
      <c r="AF48" s="168">
        <f t="shared" si="13"/>
        <v>7837.2</v>
      </c>
      <c r="AG48" s="575">
        <f t="shared" si="1"/>
        <v>0.99382442080168409</v>
      </c>
      <c r="AH48" s="194"/>
      <c r="AI48" s="156"/>
    </row>
    <row r="49" spans="1:35" ht="31.5" x14ac:dyDescent="0.25">
      <c r="A49" s="97"/>
      <c r="B49" s="55"/>
      <c r="C49" s="86"/>
      <c r="D49" s="86"/>
      <c r="E49" s="86"/>
      <c r="F49" s="86"/>
      <c r="G49" s="88"/>
      <c r="H49" s="47"/>
      <c r="I49" s="98"/>
      <c r="J49" s="98"/>
      <c r="K49" s="98"/>
      <c r="L49" s="80"/>
      <c r="M49" s="98"/>
      <c r="N49" s="80"/>
      <c r="O49" s="99"/>
      <c r="P49" s="88"/>
      <c r="Q49" s="90"/>
      <c r="R49" s="94"/>
      <c r="S49" s="94"/>
      <c r="T49" s="94"/>
      <c r="U49" s="94"/>
      <c r="V49" s="94"/>
      <c r="X49" s="302" t="s">
        <v>318</v>
      </c>
      <c r="Y49" s="11" t="s">
        <v>65</v>
      </c>
      <c r="Z49" s="1" t="s">
        <v>31</v>
      </c>
      <c r="AA49" s="529" t="s">
        <v>51</v>
      </c>
      <c r="AB49" s="163" t="s">
        <v>319</v>
      </c>
      <c r="AC49" s="309"/>
      <c r="AD49" s="168">
        <f t="shared" si="13"/>
        <v>7885.9</v>
      </c>
      <c r="AE49" s="168">
        <f t="shared" si="13"/>
        <v>7885.9</v>
      </c>
      <c r="AF49" s="168">
        <f t="shared" si="13"/>
        <v>7837.2</v>
      </c>
      <c r="AG49" s="575">
        <f t="shared" si="1"/>
        <v>0.99382442080168409</v>
      </c>
      <c r="AH49" s="194"/>
      <c r="AI49" s="156"/>
    </row>
    <row r="50" spans="1:35" ht="94.5" x14ac:dyDescent="0.25">
      <c r="A50" s="97"/>
      <c r="B50" s="55"/>
      <c r="C50" s="86"/>
      <c r="D50" s="86"/>
      <c r="E50" s="86"/>
      <c r="F50" s="86"/>
      <c r="G50" s="88"/>
      <c r="H50" s="47"/>
      <c r="I50" s="98"/>
      <c r="J50" s="98"/>
      <c r="K50" s="98"/>
      <c r="L50" s="80"/>
      <c r="M50" s="98"/>
      <c r="N50" s="80"/>
      <c r="O50" s="99"/>
      <c r="P50" s="88"/>
      <c r="Q50" s="90"/>
      <c r="R50" s="94"/>
      <c r="S50" s="94"/>
      <c r="T50" s="94"/>
      <c r="U50" s="94"/>
      <c r="V50" s="94"/>
      <c r="X50" s="302" t="s">
        <v>375</v>
      </c>
      <c r="Y50" s="11" t="s">
        <v>65</v>
      </c>
      <c r="Z50" s="1" t="s">
        <v>31</v>
      </c>
      <c r="AA50" s="529" t="s">
        <v>51</v>
      </c>
      <c r="AB50" s="306" t="s">
        <v>320</v>
      </c>
      <c r="AC50" s="309"/>
      <c r="AD50" s="168">
        <f t="shared" ref="AD50:AF51" si="14">AD51</f>
        <v>7885.9</v>
      </c>
      <c r="AE50" s="168">
        <f t="shared" si="14"/>
        <v>7885.9</v>
      </c>
      <c r="AF50" s="168">
        <f t="shared" si="14"/>
        <v>7837.2</v>
      </c>
      <c r="AG50" s="575">
        <f t="shared" si="1"/>
        <v>0.99382442080168409</v>
      </c>
      <c r="AH50" s="194"/>
      <c r="AI50" s="156"/>
    </row>
    <row r="51" spans="1:35" x14ac:dyDescent="0.25">
      <c r="A51" s="97"/>
      <c r="B51" s="55"/>
      <c r="C51" s="86"/>
      <c r="D51" s="86"/>
      <c r="E51" s="86"/>
      <c r="F51" s="86"/>
      <c r="G51" s="88"/>
      <c r="H51" s="47"/>
      <c r="I51" s="98"/>
      <c r="J51" s="98"/>
      <c r="K51" s="98"/>
      <c r="L51" s="80"/>
      <c r="M51" s="98"/>
      <c r="N51" s="80"/>
      <c r="O51" s="99"/>
      <c r="P51" s="88"/>
      <c r="Q51" s="90"/>
      <c r="R51" s="94"/>
      <c r="S51" s="94"/>
      <c r="T51" s="94"/>
      <c r="U51" s="94"/>
      <c r="V51" s="94"/>
      <c r="X51" s="278" t="s">
        <v>123</v>
      </c>
      <c r="Y51" s="11" t="s">
        <v>65</v>
      </c>
      <c r="Z51" s="1" t="s">
        <v>31</v>
      </c>
      <c r="AA51" s="529" t="s">
        <v>51</v>
      </c>
      <c r="AB51" s="306" t="s">
        <v>320</v>
      </c>
      <c r="AC51" s="309">
        <v>200</v>
      </c>
      <c r="AD51" s="168">
        <f t="shared" si="14"/>
        <v>7885.9</v>
      </c>
      <c r="AE51" s="168">
        <f t="shared" si="14"/>
        <v>7885.9</v>
      </c>
      <c r="AF51" s="168">
        <f t="shared" si="14"/>
        <v>7837.2</v>
      </c>
      <c r="AG51" s="575">
        <f t="shared" si="1"/>
        <v>0.99382442080168409</v>
      </c>
      <c r="AH51" s="194"/>
      <c r="AI51" s="156"/>
    </row>
    <row r="52" spans="1:35" ht="31.5" x14ac:dyDescent="0.25">
      <c r="A52" s="97"/>
      <c r="B52" s="55"/>
      <c r="C52" s="86"/>
      <c r="D52" s="86"/>
      <c r="E52" s="86"/>
      <c r="F52" s="86"/>
      <c r="G52" s="88"/>
      <c r="H52" s="47"/>
      <c r="I52" s="98"/>
      <c r="J52" s="98"/>
      <c r="K52" s="98"/>
      <c r="L52" s="80"/>
      <c r="M52" s="98"/>
      <c r="N52" s="80"/>
      <c r="O52" s="99"/>
      <c r="P52" s="88"/>
      <c r="Q52" s="90"/>
      <c r="R52" s="94"/>
      <c r="S52" s="94"/>
      <c r="T52" s="94"/>
      <c r="U52" s="94"/>
      <c r="V52" s="94"/>
      <c r="X52" s="278" t="s">
        <v>54</v>
      </c>
      <c r="Y52" s="11" t="s">
        <v>65</v>
      </c>
      <c r="Z52" s="1" t="s">
        <v>31</v>
      </c>
      <c r="AA52" s="529" t="s">
        <v>51</v>
      </c>
      <c r="AB52" s="306" t="s">
        <v>320</v>
      </c>
      <c r="AC52" s="309">
        <v>240</v>
      </c>
      <c r="AD52" s="168">
        <f>6252+1900+400-666.1</f>
        <v>7885.9</v>
      </c>
      <c r="AE52" s="168">
        <f>6252+1900+400-666.1</f>
        <v>7885.9</v>
      </c>
      <c r="AF52" s="168">
        <v>7837.2</v>
      </c>
      <c r="AG52" s="575">
        <f t="shared" si="1"/>
        <v>0.99382442080168409</v>
      </c>
      <c r="AH52" s="194"/>
      <c r="AI52" s="156"/>
    </row>
    <row r="53" spans="1:35" x14ac:dyDescent="0.25">
      <c r="A53" s="97"/>
      <c r="B53" s="55"/>
      <c r="C53" s="86"/>
      <c r="D53" s="86"/>
      <c r="E53" s="86"/>
      <c r="F53" s="86"/>
      <c r="G53" s="88"/>
      <c r="H53" s="47"/>
      <c r="I53" s="98"/>
      <c r="J53" s="98"/>
      <c r="K53" s="98"/>
      <c r="L53" s="80"/>
      <c r="M53" s="98"/>
      <c r="N53" s="80"/>
      <c r="O53" s="99"/>
      <c r="P53" s="88"/>
      <c r="Q53" s="90"/>
      <c r="R53" s="94"/>
      <c r="S53" s="94"/>
      <c r="T53" s="94"/>
      <c r="U53" s="94"/>
      <c r="V53" s="94"/>
      <c r="X53" s="284" t="s">
        <v>245</v>
      </c>
      <c r="Y53" s="11" t="s">
        <v>65</v>
      </c>
      <c r="Z53" s="1" t="s">
        <v>31</v>
      </c>
      <c r="AA53" s="529" t="s">
        <v>51</v>
      </c>
      <c r="AB53" s="163" t="s">
        <v>246</v>
      </c>
      <c r="AC53" s="309"/>
      <c r="AD53" s="168">
        <f>AD54</f>
        <v>2102</v>
      </c>
      <c r="AE53" s="168">
        <f>AE54</f>
        <v>2102</v>
      </c>
      <c r="AF53" s="168">
        <f t="shared" ref="AF53" si="15">AF54</f>
        <v>2102</v>
      </c>
      <c r="AG53" s="575">
        <f t="shared" si="1"/>
        <v>1</v>
      </c>
      <c r="AH53" s="194"/>
      <c r="AI53" s="156"/>
    </row>
    <row r="54" spans="1:35" x14ac:dyDescent="0.25">
      <c r="A54" s="97"/>
      <c r="B54" s="55"/>
      <c r="C54" s="86"/>
      <c r="D54" s="86"/>
      <c r="E54" s="86"/>
      <c r="F54" s="86"/>
      <c r="G54" s="88"/>
      <c r="H54" s="47"/>
      <c r="I54" s="98"/>
      <c r="J54" s="98"/>
      <c r="K54" s="98"/>
      <c r="L54" s="80"/>
      <c r="M54" s="98"/>
      <c r="N54" s="80"/>
      <c r="O54" s="99"/>
      <c r="P54" s="88"/>
      <c r="Q54" s="90"/>
      <c r="R54" s="94"/>
      <c r="S54" s="94"/>
      <c r="T54" s="94"/>
      <c r="U54" s="94"/>
      <c r="V54" s="94"/>
      <c r="X54" s="485" t="s">
        <v>725</v>
      </c>
      <c r="Y54" s="32" t="s">
        <v>65</v>
      </c>
      <c r="Z54" s="1" t="s">
        <v>31</v>
      </c>
      <c r="AA54" s="529" t="s">
        <v>51</v>
      </c>
      <c r="AB54" s="163" t="s">
        <v>726</v>
      </c>
      <c r="AC54" s="309"/>
      <c r="AD54" s="168">
        <f>AD60+AD55</f>
        <v>2102</v>
      </c>
      <c r="AE54" s="168">
        <f>AE60+AE55</f>
        <v>2102</v>
      </c>
      <c r="AF54" s="168">
        <f t="shared" ref="AF54" si="16">AF60+AF55</f>
        <v>2102</v>
      </c>
      <c r="AG54" s="575">
        <f t="shared" si="1"/>
        <v>1</v>
      </c>
      <c r="AH54" s="194"/>
      <c r="AI54" s="156"/>
    </row>
    <row r="55" spans="1:35" ht="31.5" x14ac:dyDescent="0.25">
      <c r="A55" s="97"/>
      <c r="B55" s="55"/>
      <c r="C55" s="86"/>
      <c r="D55" s="86"/>
      <c r="E55" s="86"/>
      <c r="F55" s="86"/>
      <c r="G55" s="88"/>
      <c r="H55" s="47"/>
      <c r="I55" s="98"/>
      <c r="J55" s="98"/>
      <c r="K55" s="98"/>
      <c r="L55" s="80"/>
      <c r="M55" s="98"/>
      <c r="N55" s="80"/>
      <c r="O55" s="99"/>
      <c r="P55" s="88"/>
      <c r="Q55" s="90"/>
      <c r="R55" s="94"/>
      <c r="S55" s="94"/>
      <c r="T55" s="94"/>
      <c r="U55" s="94"/>
      <c r="V55" s="94"/>
      <c r="X55" s="486" t="s">
        <v>734</v>
      </c>
      <c r="Y55" s="32" t="s">
        <v>65</v>
      </c>
      <c r="Z55" s="1" t="s">
        <v>31</v>
      </c>
      <c r="AA55" s="529" t="s">
        <v>51</v>
      </c>
      <c r="AB55" s="163" t="s">
        <v>732</v>
      </c>
      <c r="AC55" s="309"/>
      <c r="AD55" s="168">
        <f t="shared" ref="AD55:AE57" si="17">AD56</f>
        <v>300</v>
      </c>
      <c r="AE55" s="168">
        <f t="shared" si="17"/>
        <v>300</v>
      </c>
      <c r="AF55" s="168">
        <f t="shared" ref="AF55:AF57" si="18">AF56</f>
        <v>300</v>
      </c>
      <c r="AG55" s="575">
        <f t="shared" si="1"/>
        <v>1</v>
      </c>
      <c r="AH55" s="194"/>
      <c r="AI55" s="156"/>
    </row>
    <row r="56" spans="1:35" x14ac:dyDescent="0.25">
      <c r="A56" s="97"/>
      <c r="B56" s="55"/>
      <c r="C56" s="86"/>
      <c r="D56" s="86"/>
      <c r="E56" s="86"/>
      <c r="F56" s="86"/>
      <c r="G56" s="88"/>
      <c r="H56" s="47"/>
      <c r="I56" s="98"/>
      <c r="J56" s="98"/>
      <c r="K56" s="98"/>
      <c r="L56" s="80"/>
      <c r="M56" s="98"/>
      <c r="N56" s="80"/>
      <c r="O56" s="99"/>
      <c r="P56" s="88"/>
      <c r="Q56" s="90"/>
      <c r="R56" s="94"/>
      <c r="S56" s="94"/>
      <c r="T56" s="94"/>
      <c r="U56" s="94"/>
      <c r="V56" s="94"/>
      <c r="X56" s="485" t="s">
        <v>277</v>
      </c>
      <c r="Y56" s="32" t="s">
        <v>65</v>
      </c>
      <c r="Z56" s="1" t="s">
        <v>31</v>
      </c>
      <c r="AA56" s="529" t="s">
        <v>51</v>
      </c>
      <c r="AB56" s="163" t="s">
        <v>733</v>
      </c>
      <c r="AC56" s="309"/>
      <c r="AD56" s="168">
        <f t="shared" si="17"/>
        <v>300</v>
      </c>
      <c r="AE56" s="168">
        <f t="shared" si="17"/>
        <v>300</v>
      </c>
      <c r="AF56" s="168">
        <f t="shared" si="18"/>
        <v>300</v>
      </c>
      <c r="AG56" s="575">
        <f t="shared" si="1"/>
        <v>1</v>
      </c>
      <c r="AH56" s="194"/>
      <c r="AI56" s="156"/>
    </row>
    <row r="57" spans="1:35" x14ac:dyDescent="0.25">
      <c r="A57" s="97"/>
      <c r="B57" s="55"/>
      <c r="C57" s="86"/>
      <c r="D57" s="86"/>
      <c r="E57" s="86"/>
      <c r="F57" s="86"/>
      <c r="G57" s="88"/>
      <c r="H57" s="47"/>
      <c r="I57" s="98"/>
      <c r="J57" s="98"/>
      <c r="K57" s="98"/>
      <c r="L57" s="80"/>
      <c r="M57" s="98"/>
      <c r="N57" s="80"/>
      <c r="O57" s="99"/>
      <c r="P57" s="88"/>
      <c r="Q57" s="90"/>
      <c r="R57" s="94"/>
      <c r="S57" s="94"/>
      <c r="T57" s="94"/>
      <c r="U57" s="94"/>
      <c r="V57" s="94"/>
      <c r="X57" s="278" t="s">
        <v>123</v>
      </c>
      <c r="Y57" s="32" t="s">
        <v>65</v>
      </c>
      <c r="Z57" s="1" t="s">
        <v>31</v>
      </c>
      <c r="AA57" s="529" t="s">
        <v>51</v>
      </c>
      <c r="AB57" s="163" t="s">
        <v>733</v>
      </c>
      <c r="AC57" s="309">
        <v>200</v>
      </c>
      <c r="AD57" s="168">
        <f t="shared" si="17"/>
        <v>300</v>
      </c>
      <c r="AE57" s="168">
        <f t="shared" si="17"/>
        <v>300</v>
      </c>
      <c r="AF57" s="168">
        <f t="shared" si="18"/>
        <v>300</v>
      </c>
      <c r="AG57" s="575">
        <f t="shared" si="1"/>
        <v>1</v>
      </c>
      <c r="AH57" s="194"/>
      <c r="AI57" s="156"/>
    </row>
    <row r="58" spans="1:35" ht="31.5" x14ac:dyDescent="0.25">
      <c r="A58" s="97"/>
      <c r="B58" s="55"/>
      <c r="C58" s="86"/>
      <c r="D58" s="86"/>
      <c r="E58" s="86"/>
      <c r="F58" s="86"/>
      <c r="G58" s="88"/>
      <c r="H58" s="47"/>
      <c r="I58" s="98"/>
      <c r="J58" s="98"/>
      <c r="K58" s="98"/>
      <c r="L58" s="80"/>
      <c r="M58" s="98"/>
      <c r="N58" s="80"/>
      <c r="O58" s="99"/>
      <c r="P58" s="88"/>
      <c r="Q58" s="90"/>
      <c r="R58" s="94"/>
      <c r="S58" s="94"/>
      <c r="T58" s="94"/>
      <c r="U58" s="94"/>
      <c r="V58" s="94"/>
      <c r="X58" s="278" t="s">
        <v>54</v>
      </c>
      <c r="Y58" s="32" t="s">
        <v>65</v>
      </c>
      <c r="Z58" s="1" t="s">
        <v>31</v>
      </c>
      <c r="AA58" s="529" t="s">
        <v>51</v>
      </c>
      <c r="AB58" s="163" t="s">
        <v>733</v>
      </c>
      <c r="AC58" s="309">
        <v>240</v>
      </c>
      <c r="AD58" s="168">
        <v>300</v>
      </c>
      <c r="AE58" s="168">
        <v>300</v>
      </c>
      <c r="AF58" s="168">
        <v>300</v>
      </c>
      <c r="AG58" s="575">
        <f t="shared" si="1"/>
        <v>1</v>
      </c>
      <c r="AH58" s="194"/>
      <c r="AI58" s="156"/>
    </row>
    <row r="59" spans="1:35" ht="47.25" x14ac:dyDescent="0.25">
      <c r="A59" s="97"/>
      <c r="B59" s="55"/>
      <c r="C59" s="86"/>
      <c r="D59" s="86"/>
      <c r="E59" s="86"/>
      <c r="F59" s="86"/>
      <c r="G59" s="88"/>
      <c r="H59" s="47"/>
      <c r="I59" s="98"/>
      <c r="J59" s="98"/>
      <c r="K59" s="98"/>
      <c r="L59" s="80"/>
      <c r="M59" s="98"/>
      <c r="N59" s="80"/>
      <c r="O59" s="99"/>
      <c r="P59" s="88"/>
      <c r="Q59" s="90"/>
      <c r="R59" s="94"/>
      <c r="S59" s="94"/>
      <c r="T59" s="94"/>
      <c r="U59" s="94"/>
      <c r="V59" s="94"/>
      <c r="X59" s="278" t="s">
        <v>727</v>
      </c>
      <c r="Y59" s="11" t="s">
        <v>65</v>
      </c>
      <c r="Z59" s="1" t="s">
        <v>31</v>
      </c>
      <c r="AA59" s="529" t="s">
        <v>51</v>
      </c>
      <c r="AB59" s="163" t="s">
        <v>728</v>
      </c>
      <c r="AC59" s="309"/>
      <c r="AD59" s="168">
        <f>AD60</f>
        <v>1802</v>
      </c>
      <c r="AE59" s="168">
        <f>AE60</f>
        <v>1802</v>
      </c>
      <c r="AF59" s="168">
        <f t="shared" ref="AF59:AF60" si="19">AF60</f>
        <v>1802</v>
      </c>
      <c r="AG59" s="575">
        <f t="shared" si="1"/>
        <v>1</v>
      </c>
      <c r="AH59" s="194"/>
      <c r="AI59" s="156"/>
    </row>
    <row r="60" spans="1:35" ht="47.25" x14ac:dyDescent="0.25">
      <c r="A60" s="97"/>
      <c r="B60" s="55"/>
      <c r="C60" s="86"/>
      <c r="D60" s="86"/>
      <c r="E60" s="86"/>
      <c r="F60" s="86"/>
      <c r="G60" s="88"/>
      <c r="H60" s="47"/>
      <c r="I60" s="98"/>
      <c r="J60" s="98"/>
      <c r="K60" s="98"/>
      <c r="L60" s="80"/>
      <c r="M60" s="98"/>
      <c r="N60" s="80"/>
      <c r="O60" s="99"/>
      <c r="P60" s="88"/>
      <c r="Q60" s="90"/>
      <c r="R60" s="94"/>
      <c r="S60" s="94"/>
      <c r="T60" s="94"/>
      <c r="U60" s="94"/>
      <c r="V60" s="94"/>
      <c r="X60" s="281" t="s">
        <v>637</v>
      </c>
      <c r="Y60" s="11" t="s">
        <v>65</v>
      </c>
      <c r="Z60" s="1" t="s">
        <v>31</v>
      </c>
      <c r="AA60" s="529" t="s">
        <v>51</v>
      </c>
      <c r="AB60" s="163" t="s">
        <v>729</v>
      </c>
      <c r="AC60" s="311"/>
      <c r="AD60" s="168">
        <f>AD61</f>
        <v>1802</v>
      </c>
      <c r="AE60" s="168">
        <f t="shared" ref="AE60" si="20">AE61</f>
        <v>1802</v>
      </c>
      <c r="AF60" s="168">
        <f t="shared" si="19"/>
        <v>1802</v>
      </c>
      <c r="AG60" s="575">
        <f t="shared" si="1"/>
        <v>1</v>
      </c>
      <c r="AH60" s="194"/>
      <c r="AI60" s="156"/>
    </row>
    <row r="61" spans="1:35" ht="47.25" x14ac:dyDescent="0.25">
      <c r="A61" s="97"/>
      <c r="B61" s="55"/>
      <c r="C61" s="86"/>
      <c r="D61" s="86"/>
      <c r="E61" s="86"/>
      <c r="F61" s="86"/>
      <c r="G61" s="88"/>
      <c r="H61" s="47"/>
      <c r="I61" s="98"/>
      <c r="J61" s="98"/>
      <c r="K61" s="98"/>
      <c r="L61" s="80"/>
      <c r="M61" s="98"/>
      <c r="N61" s="80"/>
      <c r="O61" s="99"/>
      <c r="P61" s="88"/>
      <c r="Q61" s="90"/>
      <c r="R61" s="94"/>
      <c r="S61" s="94"/>
      <c r="T61" s="94"/>
      <c r="U61" s="94"/>
      <c r="V61" s="94"/>
      <c r="X61" s="278" t="s">
        <v>43</v>
      </c>
      <c r="Y61" s="11" t="s">
        <v>65</v>
      </c>
      <c r="Z61" s="1" t="s">
        <v>31</v>
      </c>
      <c r="AA61" s="529" t="s">
        <v>51</v>
      </c>
      <c r="AB61" s="163" t="s">
        <v>729</v>
      </c>
      <c r="AC61" s="311">
        <v>100</v>
      </c>
      <c r="AD61" s="168">
        <f>AD62</f>
        <v>1802</v>
      </c>
      <c r="AE61" s="168">
        <f>AE62</f>
        <v>1802</v>
      </c>
      <c r="AF61" s="168">
        <f>AF62</f>
        <v>1802</v>
      </c>
      <c r="AG61" s="575">
        <f t="shared" si="1"/>
        <v>1</v>
      </c>
      <c r="AH61" s="194"/>
      <c r="AI61" s="156"/>
    </row>
    <row r="62" spans="1:35" x14ac:dyDescent="0.25">
      <c r="A62" s="97"/>
      <c r="B62" s="55"/>
      <c r="C62" s="86"/>
      <c r="D62" s="86"/>
      <c r="E62" s="86"/>
      <c r="F62" s="86"/>
      <c r="G62" s="88"/>
      <c r="H62" s="47"/>
      <c r="I62" s="98"/>
      <c r="J62" s="98"/>
      <c r="K62" s="98"/>
      <c r="L62" s="80"/>
      <c r="M62" s="98"/>
      <c r="N62" s="80"/>
      <c r="O62" s="99"/>
      <c r="P62" s="88"/>
      <c r="Q62" s="90"/>
      <c r="R62" s="94"/>
      <c r="S62" s="94"/>
      <c r="T62" s="94"/>
      <c r="U62" s="94"/>
      <c r="V62" s="94"/>
      <c r="X62" s="278" t="s">
        <v>99</v>
      </c>
      <c r="Y62" s="11" t="s">
        <v>65</v>
      </c>
      <c r="Z62" s="1" t="s">
        <v>31</v>
      </c>
      <c r="AA62" s="529" t="s">
        <v>51</v>
      </c>
      <c r="AB62" s="163" t="s">
        <v>729</v>
      </c>
      <c r="AC62" s="311">
        <v>120</v>
      </c>
      <c r="AD62" s="168">
        <f>1733+69</f>
        <v>1802</v>
      </c>
      <c r="AE62" s="168">
        <f>1733+69</f>
        <v>1802</v>
      </c>
      <c r="AF62" s="168">
        <v>1802</v>
      </c>
      <c r="AG62" s="575">
        <f t="shared" si="1"/>
        <v>1</v>
      </c>
      <c r="AH62" s="194"/>
      <c r="AI62" s="156"/>
    </row>
    <row r="63" spans="1:35" x14ac:dyDescent="0.25">
      <c r="A63" s="97"/>
      <c r="B63" s="55"/>
      <c r="C63" s="86"/>
      <c r="D63" s="86"/>
      <c r="E63" s="86"/>
      <c r="F63" s="86"/>
      <c r="G63" s="88"/>
      <c r="H63" s="47"/>
      <c r="I63" s="98"/>
      <c r="J63" s="98"/>
      <c r="K63" s="98"/>
      <c r="L63" s="80"/>
      <c r="M63" s="98"/>
      <c r="N63" s="80"/>
      <c r="O63" s="99"/>
      <c r="P63" s="88"/>
      <c r="Q63" s="90"/>
      <c r="R63" s="94"/>
      <c r="S63" s="94"/>
      <c r="T63" s="94"/>
      <c r="U63" s="94"/>
      <c r="V63" s="94"/>
      <c r="X63" s="280" t="s">
        <v>263</v>
      </c>
      <c r="Y63" s="11" t="s">
        <v>65</v>
      </c>
      <c r="Z63" s="1" t="s">
        <v>31</v>
      </c>
      <c r="AA63" s="529" t="s">
        <v>51</v>
      </c>
      <c r="AB63" s="163" t="s">
        <v>264</v>
      </c>
      <c r="AC63" s="309"/>
      <c r="AD63" s="168">
        <f>AD64</f>
        <v>198.99999999999997</v>
      </c>
      <c r="AE63" s="168">
        <f>AE64</f>
        <v>198.99999999999997</v>
      </c>
      <c r="AF63" s="168">
        <f t="shared" ref="AF63" si="21">AF64</f>
        <v>199</v>
      </c>
      <c r="AG63" s="575">
        <f t="shared" si="1"/>
        <v>1.0000000000000002</v>
      </c>
      <c r="AH63" s="194"/>
      <c r="AI63" s="156"/>
    </row>
    <row r="64" spans="1:35" x14ac:dyDescent="0.25">
      <c r="A64" s="97"/>
      <c r="B64" s="55"/>
      <c r="C64" s="86"/>
      <c r="D64" s="86"/>
      <c r="E64" s="86"/>
      <c r="F64" s="86"/>
      <c r="G64" s="88"/>
      <c r="H64" s="47"/>
      <c r="I64" s="98"/>
      <c r="J64" s="98"/>
      <c r="K64" s="98"/>
      <c r="L64" s="80"/>
      <c r="M64" s="98"/>
      <c r="N64" s="80"/>
      <c r="O64" s="99"/>
      <c r="P64" s="88"/>
      <c r="Q64" s="90"/>
      <c r="R64" s="94"/>
      <c r="S64" s="94"/>
      <c r="T64" s="94"/>
      <c r="U64" s="94"/>
      <c r="V64" s="94"/>
      <c r="X64" s="280" t="s">
        <v>417</v>
      </c>
      <c r="Y64" s="11" t="s">
        <v>65</v>
      </c>
      <c r="Z64" s="1" t="s">
        <v>31</v>
      </c>
      <c r="AA64" s="529" t="s">
        <v>51</v>
      </c>
      <c r="AB64" s="163" t="s">
        <v>265</v>
      </c>
      <c r="AC64" s="309"/>
      <c r="AD64" s="168">
        <f t="shared" ref="AD64:AF67" si="22">AD65</f>
        <v>198.99999999999997</v>
      </c>
      <c r="AE64" s="168">
        <f t="shared" si="22"/>
        <v>198.99999999999997</v>
      </c>
      <c r="AF64" s="168">
        <f t="shared" si="22"/>
        <v>199</v>
      </c>
      <c r="AG64" s="575">
        <f t="shared" si="1"/>
        <v>1.0000000000000002</v>
      </c>
      <c r="AH64" s="194"/>
      <c r="AI64" s="156"/>
    </row>
    <row r="65" spans="1:35" ht="47.25" x14ac:dyDescent="0.25">
      <c r="A65" s="97"/>
      <c r="B65" s="55"/>
      <c r="C65" s="86"/>
      <c r="D65" s="86"/>
      <c r="E65" s="86"/>
      <c r="F65" s="86"/>
      <c r="G65" s="88"/>
      <c r="H65" s="47"/>
      <c r="I65" s="98"/>
      <c r="J65" s="98"/>
      <c r="K65" s="98"/>
      <c r="L65" s="80"/>
      <c r="M65" s="98"/>
      <c r="N65" s="80"/>
      <c r="O65" s="99"/>
      <c r="P65" s="88"/>
      <c r="Q65" s="90"/>
      <c r="R65" s="94"/>
      <c r="S65" s="94"/>
      <c r="T65" s="94"/>
      <c r="U65" s="94"/>
      <c r="V65" s="94"/>
      <c r="X65" s="295" t="s">
        <v>622</v>
      </c>
      <c r="Y65" s="11" t="s">
        <v>65</v>
      </c>
      <c r="Z65" s="1" t="s">
        <v>31</v>
      </c>
      <c r="AA65" s="529" t="s">
        <v>51</v>
      </c>
      <c r="AB65" s="163" t="s">
        <v>495</v>
      </c>
      <c r="AC65" s="309"/>
      <c r="AD65" s="168">
        <f t="shared" si="22"/>
        <v>198.99999999999997</v>
      </c>
      <c r="AE65" s="168">
        <f t="shared" si="22"/>
        <v>198.99999999999997</v>
      </c>
      <c r="AF65" s="168">
        <f t="shared" si="22"/>
        <v>199</v>
      </c>
      <c r="AG65" s="575">
        <f t="shared" si="1"/>
        <v>1.0000000000000002</v>
      </c>
      <c r="AH65" s="194"/>
      <c r="AI65" s="156"/>
    </row>
    <row r="66" spans="1:35" ht="42.6" customHeight="1" x14ac:dyDescent="0.25">
      <c r="A66" s="97"/>
      <c r="B66" s="55"/>
      <c r="C66" s="86"/>
      <c r="D66" s="86"/>
      <c r="E66" s="86"/>
      <c r="F66" s="86"/>
      <c r="G66" s="88"/>
      <c r="H66" s="47"/>
      <c r="I66" s="98"/>
      <c r="J66" s="98"/>
      <c r="K66" s="98"/>
      <c r="L66" s="80"/>
      <c r="M66" s="98"/>
      <c r="N66" s="80"/>
      <c r="O66" s="99"/>
      <c r="P66" s="88"/>
      <c r="Q66" s="90"/>
      <c r="R66" s="94"/>
      <c r="S66" s="94"/>
      <c r="T66" s="94"/>
      <c r="U66" s="94"/>
      <c r="V66" s="94"/>
      <c r="X66" s="280" t="s">
        <v>497</v>
      </c>
      <c r="Y66" s="11" t="s">
        <v>65</v>
      </c>
      <c r="Z66" s="1" t="s">
        <v>31</v>
      </c>
      <c r="AA66" s="529" t="s">
        <v>51</v>
      </c>
      <c r="AB66" s="163" t="s">
        <v>496</v>
      </c>
      <c r="AC66" s="309"/>
      <c r="AD66" s="168">
        <f>AD67+AD69</f>
        <v>198.99999999999997</v>
      </c>
      <c r="AE66" s="168">
        <f>AE67+AE69</f>
        <v>198.99999999999997</v>
      </c>
      <c r="AF66" s="168">
        <f t="shared" ref="AF66" si="23">AF67+AF69</f>
        <v>199</v>
      </c>
      <c r="AG66" s="575">
        <f t="shared" si="1"/>
        <v>1.0000000000000002</v>
      </c>
      <c r="AH66" s="194"/>
      <c r="AI66" s="156"/>
    </row>
    <row r="67" spans="1:35" ht="47.25" x14ac:dyDescent="0.25">
      <c r="A67" s="97"/>
      <c r="B67" s="55"/>
      <c r="C67" s="86"/>
      <c r="D67" s="86"/>
      <c r="E67" s="86"/>
      <c r="F67" s="86"/>
      <c r="G67" s="88"/>
      <c r="H67" s="47"/>
      <c r="I67" s="98"/>
      <c r="J67" s="98"/>
      <c r="K67" s="98"/>
      <c r="L67" s="80"/>
      <c r="M67" s="98"/>
      <c r="N67" s="80"/>
      <c r="O67" s="99"/>
      <c r="P67" s="88"/>
      <c r="Q67" s="90"/>
      <c r="R67" s="94"/>
      <c r="S67" s="94"/>
      <c r="T67" s="94"/>
      <c r="U67" s="94"/>
      <c r="V67" s="94"/>
      <c r="X67" s="278" t="s">
        <v>43</v>
      </c>
      <c r="Y67" s="11" t="s">
        <v>65</v>
      </c>
      <c r="Z67" s="1" t="s">
        <v>31</v>
      </c>
      <c r="AA67" s="529" t="s">
        <v>51</v>
      </c>
      <c r="AB67" s="163" t="s">
        <v>496</v>
      </c>
      <c r="AC67" s="309">
        <v>100</v>
      </c>
      <c r="AD67" s="168">
        <f t="shared" si="22"/>
        <v>187.09999999999997</v>
      </c>
      <c r="AE67" s="168">
        <f t="shared" si="22"/>
        <v>187.09999999999997</v>
      </c>
      <c r="AF67" s="168">
        <f t="shared" si="22"/>
        <v>187.1</v>
      </c>
      <c r="AG67" s="575">
        <f t="shared" si="1"/>
        <v>1.0000000000000002</v>
      </c>
      <c r="AH67" s="194"/>
      <c r="AI67" s="156"/>
    </row>
    <row r="68" spans="1:35" x14ac:dyDescent="0.25">
      <c r="A68" s="97"/>
      <c r="B68" s="55"/>
      <c r="C68" s="86"/>
      <c r="D68" s="86"/>
      <c r="E68" s="86"/>
      <c r="F68" s="86"/>
      <c r="G68" s="88"/>
      <c r="H68" s="47"/>
      <c r="I68" s="98"/>
      <c r="J68" s="98"/>
      <c r="K68" s="98"/>
      <c r="L68" s="80"/>
      <c r="M68" s="98"/>
      <c r="N68" s="80"/>
      <c r="O68" s="99"/>
      <c r="P68" s="88"/>
      <c r="Q68" s="90"/>
      <c r="R68" s="94"/>
      <c r="S68" s="94"/>
      <c r="T68" s="94"/>
      <c r="U68" s="94"/>
      <c r="V68" s="94"/>
      <c r="X68" s="278" t="s">
        <v>99</v>
      </c>
      <c r="Y68" s="11" t="s">
        <v>65</v>
      </c>
      <c r="Z68" s="1" t="s">
        <v>31</v>
      </c>
      <c r="AA68" s="529" t="s">
        <v>51</v>
      </c>
      <c r="AB68" s="163" t="s">
        <v>496</v>
      </c>
      <c r="AC68" s="309">
        <v>120</v>
      </c>
      <c r="AD68" s="168">
        <f>158.2+9.7+19.2</f>
        <v>187.09999999999997</v>
      </c>
      <c r="AE68" s="168">
        <f>158.2+9.7+19.2</f>
        <v>187.09999999999997</v>
      </c>
      <c r="AF68" s="168">
        <v>187.1</v>
      </c>
      <c r="AG68" s="575">
        <f t="shared" si="1"/>
        <v>1.0000000000000002</v>
      </c>
      <c r="AH68" s="194"/>
      <c r="AI68" s="156"/>
    </row>
    <row r="69" spans="1:35" x14ac:dyDescent="0.25">
      <c r="A69" s="97"/>
      <c r="B69" s="55"/>
      <c r="C69" s="86"/>
      <c r="D69" s="86"/>
      <c r="E69" s="86"/>
      <c r="F69" s="86"/>
      <c r="G69" s="88"/>
      <c r="H69" s="47"/>
      <c r="I69" s="98"/>
      <c r="J69" s="98"/>
      <c r="K69" s="98"/>
      <c r="L69" s="80"/>
      <c r="M69" s="98"/>
      <c r="N69" s="80"/>
      <c r="O69" s="99"/>
      <c r="P69" s="88"/>
      <c r="Q69" s="90"/>
      <c r="R69" s="94"/>
      <c r="S69" s="94"/>
      <c r="T69" s="94"/>
      <c r="U69" s="94"/>
      <c r="V69" s="94"/>
      <c r="X69" s="278" t="s">
        <v>123</v>
      </c>
      <c r="Y69" s="11" t="s">
        <v>65</v>
      </c>
      <c r="Z69" s="1" t="s">
        <v>31</v>
      </c>
      <c r="AA69" s="529" t="s">
        <v>51</v>
      </c>
      <c r="AB69" s="163" t="s">
        <v>496</v>
      </c>
      <c r="AC69" s="309">
        <v>200</v>
      </c>
      <c r="AD69" s="168">
        <f>AD70</f>
        <v>11.899999999999999</v>
      </c>
      <c r="AE69" s="168">
        <f>AE70</f>
        <v>11.899999999999999</v>
      </c>
      <c r="AF69" s="168">
        <f t="shared" ref="AF69" si="24">AF70</f>
        <v>11.9</v>
      </c>
      <c r="AG69" s="575">
        <f t="shared" si="1"/>
        <v>1.0000000000000002</v>
      </c>
      <c r="AH69" s="194"/>
      <c r="AI69" s="156"/>
    </row>
    <row r="70" spans="1:35" ht="31.5" x14ac:dyDescent="0.25">
      <c r="A70" s="97"/>
      <c r="B70" s="55"/>
      <c r="C70" s="86"/>
      <c r="D70" s="86"/>
      <c r="E70" s="86"/>
      <c r="F70" s="86"/>
      <c r="G70" s="88"/>
      <c r="H70" s="47"/>
      <c r="I70" s="98"/>
      <c r="J70" s="98"/>
      <c r="K70" s="98"/>
      <c r="L70" s="80"/>
      <c r="M70" s="98"/>
      <c r="N70" s="80"/>
      <c r="O70" s="99"/>
      <c r="P70" s="88"/>
      <c r="Q70" s="90"/>
      <c r="R70" s="94"/>
      <c r="S70" s="94"/>
      <c r="T70" s="94"/>
      <c r="U70" s="94"/>
      <c r="V70" s="94"/>
      <c r="X70" s="278" t="s">
        <v>54</v>
      </c>
      <c r="Y70" s="11" t="s">
        <v>65</v>
      </c>
      <c r="Z70" s="1" t="s">
        <v>31</v>
      </c>
      <c r="AA70" s="529" t="s">
        <v>51</v>
      </c>
      <c r="AB70" s="163" t="s">
        <v>496</v>
      </c>
      <c r="AC70" s="309">
        <v>240</v>
      </c>
      <c r="AD70" s="168">
        <f>40.8-9.7-19.2</f>
        <v>11.899999999999999</v>
      </c>
      <c r="AE70" s="168">
        <f>40.8-9.7-19.2</f>
        <v>11.899999999999999</v>
      </c>
      <c r="AF70" s="168">
        <v>11.9</v>
      </c>
      <c r="AG70" s="575">
        <f t="shared" ref="AG70:AG137" si="25">AF70/AE70</f>
        <v>1.0000000000000002</v>
      </c>
      <c r="AH70" s="194"/>
      <c r="AI70" s="156"/>
    </row>
    <row r="71" spans="1:35" x14ac:dyDescent="0.25">
      <c r="A71" s="97"/>
      <c r="B71" s="55"/>
      <c r="C71" s="86"/>
      <c r="D71" s="86"/>
      <c r="E71" s="86"/>
      <c r="F71" s="86"/>
      <c r="G71" s="88"/>
      <c r="H71" s="47"/>
      <c r="I71" s="98"/>
      <c r="J71" s="98"/>
      <c r="K71" s="98"/>
      <c r="L71" s="80"/>
      <c r="M71" s="98"/>
      <c r="N71" s="80"/>
      <c r="O71" s="99"/>
      <c r="P71" s="88"/>
      <c r="Q71" s="90"/>
      <c r="R71" s="94"/>
      <c r="S71" s="94"/>
      <c r="T71" s="94"/>
      <c r="U71" s="94"/>
      <c r="V71" s="94"/>
      <c r="X71" s="297" t="s">
        <v>354</v>
      </c>
      <c r="Y71" s="11" t="s">
        <v>65</v>
      </c>
      <c r="Z71" s="1" t="s">
        <v>31</v>
      </c>
      <c r="AA71" s="529" t="s">
        <v>51</v>
      </c>
      <c r="AB71" s="163" t="s">
        <v>140</v>
      </c>
      <c r="AC71" s="309"/>
      <c r="AD71" s="168">
        <f>AD72</f>
        <v>0</v>
      </c>
      <c r="AE71" s="168">
        <f t="shared" ref="AE71:AF73" si="26">AE72</f>
        <v>2242.3000000000002</v>
      </c>
      <c r="AF71" s="168">
        <f t="shared" si="26"/>
        <v>2242.3000000000002</v>
      </c>
      <c r="AG71" s="575">
        <f t="shared" si="25"/>
        <v>1</v>
      </c>
      <c r="AH71" s="194"/>
      <c r="AI71" s="156"/>
    </row>
    <row r="72" spans="1:35" ht="31.5" x14ac:dyDescent="0.25">
      <c r="A72" s="97"/>
      <c r="B72" s="55"/>
      <c r="C72" s="86"/>
      <c r="D72" s="86"/>
      <c r="E72" s="86"/>
      <c r="F72" s="86"/>
      <c r="G72" s="88"/>
      <c r="H72" s="47"/>
      <c r="I72" s="98"/>
      <c r="J72" s="98"/>
      <c r="K72" s="98"/>
      <c r="L72" s="80"/>
      <c r="M72" s="98"/>
      <c r="N72" s="80"/>
      <c r="O72" s="99"/>
      <c r="P72" s="88"/>
      <c r="Q72" s="90"/>
      <c r="R72" s="94"/>
      <c r="S72" s="94"/>
      <c r="T72" s="94"/>
      <c r="U72" s="94"/>
      <c r="V72" s="94"/>
      <c r="X72" s="278" t="s">
        <v>798</v>
      </c>
      <c r="Y72" s="11" t="s">
        <v>65</v>
      </c>
      <c r="Z72" s="1" t="s">
        <v>31</v>
      </c>
      <c r="AA72" s="529" t="s">
        <v>51</v>
      </c>
      <c r="AB72" s="163" t="s">
        <v>799</v>
      </c>
      <c r="AC72" s="309"/>
      <c r="AD72" s="168">
        <f>AD73</f>
        <v>0</v>
      </c>
      <c r="AE72" s="168">
        <f t="shared" si="26"/>
        <v>2242.3000000000002</v>
      </c>
      <c r="AF72" s="168">
        <f t="shared" si="26"/>
        <v>2242.3000000000002</v>
      </c>
      <c r="AG72" s="575">
        <f t="shared" si="25"/>
        <v>1</v>
      </c>
      <c r="AH72" s="194"/>
      <c r="AI72" s="156"/>
    </row>
    <row r="73" spans="1:35" ht="47.25" x14ac:dyDescent="0.25">
      <c r="A73" s="97"/>
      <c r="B73" s="55"/>
      <c r="C73" s="86"/>
      <c r="D73" s="86"/>
      <c r="E73" s="86"/>
      <c r="F73" s="86"/>
      <c r="G73" s="88"/>
      <c r="H73" s="47"/>
      <c r="I73" s="98"/>
      <c r="J73" s="98"/>
      <c r="K73" s="98"/>
      <c r="L73" s="80"/>
      <c r="M73" s="98"/>
      <c r="N73" s="80"/>
      <c r="O73" s="99"/>
      <c r="P73" s="88"/>
      <c r="Q73" s="90"/>
      <c r="R73" s="94"/>
      <c r="S73" s="94"/>
      <c r="T73" s="94"/>
      <c r="U73" s="94"/>
      <c r="V73" s="94"/>
      <c r="X73" s="278" t="s">
        <v>43</v>
      </c>
      <c r="Y73" s="11" t="s">
        <v>65</v>
      </c>
      <c r="Z73" s="1" t="s">
        <v>31</v>
      </c>
      <c r="AA73" s="529" t="s">
        <v>51</v>
      </c>
      <c r="AB73" s="163" t="s">
        <v>799</v>
      </c>
      <c r="AC73" s="309">
        <v>100</v>
      </c>
      <c r="AD73" s="168">
        <f>AD74</f>
        <v>0</v>
      </c>
      <c r="AE73" s="168">
        <f t="shared" si="26"/>
        <v>2242.3000000000002</v>
      </c>
      <c r="AF73" s="168">
        <f t="shared" si="26"/>
        <v>2242.3000000000002</v>
      </c>
      <c r="AG73" s="575">
        <f t="shared" si="25"/>
        <v>1</v>
      </c>
      <c r="AH73" s="194"/>
      <c r="AI73" s="156"/>
    </row>
    <row r="74" spans="1:35" x14ac:dyDescent="0.25">
      <c r="A74" s="97"/>
      <c r="B74" s="55"/>
      <c r="C74" s="86"/>
      <c r="D74" s="86"/>
      <c r="E74" s="86"/>
      <c r="F74" s="86"/>
      <c r="G74" s="88"/>
      <c r="H74" s="47"/>
      <c r="I74" s="98"/>
      <c r="J74" s="98"/>
      <c r="K74" s="98"/>
      <c r="L74" s="80"/>
      <c r="M74" s="98"/>
      <c r="N74" s="80"/>
      <c r="O74" s="99"/>
      <c r="P74" s="88"/>
      <c r="Q74" s="90"/>
      <c r="R74" s="94"/>
      <c r="S74" s="94"/>
      <c r="T74" s="94"/>
      <c r="U74" s="94"/>
      <c r="V74" s="94"/>
      <c r="X74" s="278" t="s">
        <v>99</v>
      </c>
      <c r="Y74" s="11" t="s">
        <v>65</v>
      </c>
      <c r="Z74" s="1" t="s">
        <v>31</v>
      </c>
      <c r="AA74" s="529" t="s">
        <v>51</v>
      </c>
      <c r="AB74" s="163" t="s">
        <v>799</v>
      </c>
      <c r="AC74" s="309">
        <v>120</v>
      </c>
      <c r="AD74" s="168">
        <v>0</v>
      </c>
      <c r="AE74" s="168">
        <v>2242.3000000000002</v>
      </c>
      <c r="AF74" s="168">
        <v>2242.3000000000002</v>
      </c>
      <c r="AG74" s="575">
        <f t="shared" si="25"/>
        <v>1</v>
      </c>
      <c r="AH74" s="194"/>
      <c r="AI74" s="156"/>
    </row>
    <row r="75" spans="1:35" x14ac:dyDescent="0.25">
      <c r="A75" s="97"/>
      <c r="B75" s="55"/>
      <c r="C75" s="86"/>
      <c r="D75" s="86"/>
      <c r="E75" s="86"/>
      <c r="F75" s="86"/>
      <c r="G75" s="88"/>
      <c r="H75" s="47"/>
      <c r="I75" s="98"/>
      <c r="J75" s="98"/>
      <c r="K75" s="98"/>
      <c r="L75" s="80"/>
      <c r="M75" s="98"/>
      <c r="N75" s="80"/>
      <c r="O75" s="99"/>
      <c r="P75" s="88"/>
      <c r="Q75" s="90"/>
      <c r="R75" s="94"/>
      <c r="S75" s="94"/>
      <c r="T75" s="94"/>
      <c r="U75" s="94"/>
      <c r="V75" s="94"/>
      <c r="X75" s="278" t="s">
        <v>45</v>
      </c>
      <c r="Y75" s="11" t="s">
        <v>65</v>
      </c>
      <c r="Z75" s="1" t="s">
        <v>31</v>
      </c>
      <c r="AA75" s="529" t="s">
        <v>8</v>
      </c>
      <c r="AB75" s="163"/>
      <c r="AC75" s="309"/>
      <c r="AD75" s="168">
        <f>AD76+AD83</f>
        <v>89.4</v>
      </c>
      <c r="AE75" s="168">
        <f>AE76+AE83</f>
        <v>89.4</v>
      </c>
      <c r="AF75" s="168">
        <f t="shared" ref="AF75" si="27">AF76+AF83</f>
        <v>88.5</v>
      </c>
      <c r="AG75" s="575">
        <f t="shared" si="25"/>
        <v>0.98993288590604023</v>
      </c>
      <c r="AH75" s="194"/>
      <c r="AI75" s="156"/>
    </row>
    <row r="76" spans="1:35" x14ac:dyDescent="0.25">
      <c r="A76" s="97"/>
      <c r="B76" s="55"/>
      <c r="C76" s="86"/>
      <c r="D76" s="86"/>
      <c r="E76" s="86"/>
      <c r="F76" s="86"/>
      <c r="G76" s="88"/>
      <c r="H76" s="47"/>
      <c r="I76" s="98"/>
      <c r="J76" s="98"/>
      <c r="K76" s="98"/>
      <c r="L76" s="80"/>
      <c r="M76" s="98"/>
      <c r="N76" s="80"/>
      <c r="O76" s="99"/>
      <c r="P76" s="88"/>
      <c r="Q76" s="90"/>
      <c r="R76" s="94"/>
      <c r="S76" s="94"/>
      <c r="T76" s="94"/>
      <c r="U76" s="94"/>
      <c r="V76" s="94"/>
      <c r="X76" s="284" t="s">
        <v>193</v>
      </c>
      <c r="Y76" s="11" t="s">
        <v>65</v>
      </c>
      <c r="Z76" s="1" t="s">
        <v>31</v>
      </c>
      <c r="AA76" s="529" t="s">
        <v>8</v>
      </c>
      <c r="AB76" s="163" t="s">
        <v>115</v>
      </c>
      <c r="AC76" s="311"/>
      <c r="AD76" s="168">
        <f>AD77</f>
        <v>4.3999999999999986</v>
      </c>
      <c r="AE76" s="168">
        <f>AE77</f>
        <v>4.3999999999999986</v>
      </c>
      <c r="AF76" s="168">
        <f t="shared" ref="AF76:AF77" si="28">AF77</f>
        <v>4.4000000000000004</v>
      </c>
      <c r="AG76" s="575">
        <f t="shared" si="25"/>
        <v>1.0000000000000004</v>
      </c>
      <c r="AH76" s="194"/>
      <c r="AI76" s="156"/>
    </row>
    <row r="77" spans="1:35" x14ac:dyDescent="0.25">
      <c r="A77" s="97"/>
      <c r="B77" s="55"/>
      <c r="C77" s="86"/>
      <c r="D77" s="86"/>
      <c r="E77" s="86"/>
      <c r="F77" s="86"/>
      <c r="G77" s="88"/>
      <c r="H77" s="47"/>
      <c r="I77" s="98"/>
      <c r="J77" s="98"/>
      <c r="K77" s="98"/>
      <c r="L77" s="80"/>
      <c r="M77" s="98"/>
      <c r="N77" s="80"/>
      <c r="O77" s="99"/>
      <c r="P77" s="88"/>
      <c r="Q77" s="90"/>
      <c r="R77" s="94"/>
      <c r="S77" s="94"/>
      <c r="T77" s="94"/>
      <c r="U77" s="94"/>
      <c r="V77" s="94"/>
      <c r="X77" s="284" t="s">
        <v>198</v>
      </c>
      <c r="Y77" s="11" t="s">
        <v>65</v>
      </c>
      <c r="Z77" s="1" t="s">
        <v>31</v>
      </c>
      <c r="AA77" s="529" t="s">
        <v>8</v>
      </c>
      <c r="AB77" s="163" t="s">
        <v>199</v>
      </c>
      <c r="AC77" s="309"/>
      <c r="AD77" s="168">
        <f>AD78</f>
        <v>4.3999999999999986</v>
      </c>
      <c r="AE77" s="168">
        <f>AE78</f>
        <v>4.3999999999999986</v>
      </c>
      <c r="AF77" s="168">
        <f t="shared" si="28"/>
        <v>4.4000000000000004</v>
      </c>
      <c r="AG77" s="575">
        <f t="shared" si="25"/>
        <v>1.0000000000000004</v>
      </c>
      <c r="AH77" s="194"/>
      <c r="AI77" s="156"/>
    </row>
    <row r="78" spans="1:35" ht="31.5" x14ac:dyDescent="0.25">
      <c r="A78" s="97"/>
      <c r="B78" s="55"/>
      <c r="C78" s="86"/>
      <c r="D78" s="86"/>
      <c r="E78" s="86"/>
      <c r="F78" s="86"/>
      <c r="G78" s="88"/>
      <c r="H78" s="47"/>
      <c r="I78" s="98"/>
      <c r="J78" s="98"/>
      <c r="K78" s="98"/>
      <c r="L78" s="80"/>
      <c r="M78" s="98"/>
      <c r="N78" s="80"/>
      <c r="O78" s="99"/>
      <c r="P78" s="88"/>
      <c r="Q78" s="90"/>
      <c r="R78" s="94"/>
      <c r="S78" s="94"/>
      <c r="T78" s="94"/>
      <c r="U78" s="94"/>
      <c r="V78" s="94"/>
      <c r="X78" s="284" t="s">
        <v>200</v>
      </c>
      <c r="Y78" s="11" t="s">
        <v>65</v>
      </c>
      <c r="Z78" s="1" t="s">
        <v>31</v>
      </c>
      <c r="AA78" s="529" t="s">
        <v>8</v>
      </c>
      <c r="AB78" s="163" t="s">
        <v>201</v>
      </c>
      <c r="AC78" s="309"/>
      <c r="AD78" s="168">
        <f t="shared" ref="AD78:AF78" si="29">AD79</f>
        <v>4.3999999999999986</v>
      </c>
      <c r="AE78" s="168">
        <f t="shared" si="29"/>
        <v>4.3999999999999986</v>
      </c>
      <c r="AF78" s="168">
        <f t="shared" si="29"/>
        <v>4.4000000000000004</v>
      </c>
      <c r="AG78" s="575">
        <f t="shared" si="25"/>
        <v>1.0000000000000004</v>
      </c>
      <c r="AH78" s="194"/>
      <c r="AI78" s="156"/>
    </row>
    <row r="79" spans="1:35" x14ac:dyDescent="0.25">
      <c r="A79" s="97"/>
      <c r="B79" s="55"/>
      <c r="C79" s="86"/>
      <c r="D79" s="86"/>
      <c r="E79" s="86"/>
      <c r="F79" s="86"/>
      <c r="G79" s="88"/>
      <c r="H79" s="47"/>
      <c r="I79" s="98"/>
      <c r="J79" s="98"/>
      <c r="K79" s="98"/>
      <c r="L79" s="80"/>
      <c r="M79" s="98"/>
      <c r="N79" s="80"/>
      <c r="O79" s="99"/>
      <c r="P79" s="88"/>
      <c r="Q79" s="90"/>
      <c r="R79" s="94"/>
      <c r="S79" s="94"/>
      <c r="T79" s="94"/>
      <c r="U79" s="94"/>
      <c r="V79" s="94"/>
      <c r="X79" s="284" t="s">
        <v>204</v>
      </c>
      <c r="Y79" s="11" t="s">
        <v>65</v>
      </c>
      <c r="Z79" s="1" t="s">
        <v>31</v>
      </c>
      <c r="AA79" s="529" t="s">
        <v>8</v>
      </c>
      <c r="AB79" s="163" t="s">
        <v>205</v>
      </c>
      <c r="AC79" s="309"/>
      <c r="AD79" s="168">
        <f t="shared" ref="AD79:AE81" si="30">AD80</f>
        <v>4.3999999999999986</v>
      </c>
      <c r="AE79" s="168">
        <f t="shared" si="30"/>
        <v>4.3999999999999986</v>
      </c>
      <c r="AF79" s="168">
        <f>AF80</f>
        <v>4.4000000000000004</v>
      </c>
      <c r="AG79" s="575">
        <f t="shared" si="25"/>
        <v>1.0000000000000004</v>
      </c>
      <c r="AH79" s="194"/>
      <c r="AI79" s="156"/>
    </row>
    <row r="80" spans="1:35" ht="31.5" x14ac:dyDescent="0.25">
      <c r="A80" s="97"/>
      <c r="B80" s="55"/>
      <c r="C80" s="86"/>
      <c r="D80" s="86"/>
      <c r="E80" s="86"/>
      <c r="F80" s="86"/>
      <c r="G80" s="88"/>
      <c r="H80" s="47"/>
      <c r="I80" s="98"/>
      <c r="J80" s="98"/>
      <c r="K80" s="98"/>
      <c r="L80" s="80"/>
      <c r="M80" s="98"/>
      <c r="N80" s="80"/>
      <c r="O80" s="99"/>
      <c r="P80" s="88"/>
      <c r="Q80" s="90"/>
      <c r="R80" s="94"/>
      <c r="S80" s="94"/>
      <c r="T80" s="94"/>
      <c r="U80" s="94"/>
      <c r="V80" s="94"/>
      <c r="X80" s="278" t="s">
        <v>206</v>
      </c>
      <c r="Y80" s="201" t="s">
        <v>65</v>
      </c>
      <c r="Z80" s="1" t="s">
        <v>31</v>
      </c>
      <c r="AA80" s="529" t="s">
        <v>8</v>
      </c>
      <c r="AB80" s="163" t="s">
        <v>207</v>
      </c>
      <c r="AC80" s="309"/>
      <c r="AD80" s="168">
        <f t="shared" si="30"/>
        <v>4.3999999999999986</v>
      </c>
      <c r="AE80" s="168">
        <f t="shared" si="30"/>
        <v>4.3999999999999986</v>
      </c>
      <c r="AF80" s="168">
        <f t="shared" ref="AF80" si="31">AF81</f>
        <v>4.4000000000000004</v>
      </c>
      <c r="AG80" s="575">
        <f t="shared" si="25"/>
        <v>1.0000000000000004</v>
      </c>
      <c r="AH80" s="194"/>
      <c r="AI80" s="156"/>
    </row>
    <row r="81" spans="1:35" x14ac:dyDescent="0.25">
      <c r="A81" s="97"/>
      <c r="B81" s="55"/>
      <c r="C81" s="86"/>
      <c r="D81" s="86"/>
      <c r="E81" s="86"/>
      <c r="F81" s="86"/>
      <c r="G81" s="88"/>
      <c r="H81" s="47"/>
      <c r="I81" s="98"/>
      <c r="J81" s="98"/>
      <c r="K81" s="98"/>
      <c r="L81" s="80"/>
      <c r="M81" s="98"/>
      <c r="N81" s="80"/>
      <c r="O81" s="99"/>
      <c r="P81" s="88"/>
      <c r="Q81" s="90"/>
      <c r="R81" s="94"/>
      <c r="S81" s="94"/>
      <c r="T81" s="94"/>
      <c r="U81" s="94"/>
      <c r="V81" s="94"/>
      <c r="X81" s="278" t="s">
        <v>123</v>
      </c>
      <c r="Y81" s="11" t="s">
        <v>65</v>
      </c>
      <c r="Z81" s="1" t="s">
        <v>31</v>
      </c>
      <c r="AA81" s="529" t="s">
        <v>8</v>
      </c>
      <c r="AB81" s="163" t="s">
        <v>207</v>
      </c>
      <c r="AC81" s="309">
        <v>200</v>
      </c>
      <c r="AD81" s="168">
        <f t="shared" si="30"/>
        <v>4.3999999999999986</v>
      </c>
      <c r="AE81" s="168">
        <f t="shared" si="30"/>
        <v>4.3999999999999986</v>
      </c>
      <c r="AF81" s="168">
        <f>AF82</f>
        <v>4.4000000000000004</v>
      </c>
      <c r="AG81" s="575">
        <f t="shared" si="25"/>
        <v>1.0000000000000004</v>
      </c>
      <c r="AH81" s="194"/>
      <c r="AI81" s="156"/>
    </row>
    <row r="82" spans="1:35" ht="31.5" x14ac:dyDescent="0.25">
      <c r="A82" s="97"/>
      <c r="B82" s="55"/>
      <c r="C82" s="86"/>
      <c r="D82" s="86"/>
      <c r="E82" s="86"/>
      <c r="F82" s="86"/>
      <c r="G82" s="88"/>
      <c r="H82" s="47"/>
      <c r="I82" s="98"/>
      <c r="J82" s="98"/>
      <c r="K82" s="98"/>
      <c r="L82" s="80"/>
      <c r="M82" s="98"/>
      <c r="N82" s="80"/>
      <c r="O82" s="99"/>
      <c r="P82" s="88"/>
      <c r="Q82" s="90"/>
      <c r="R82" s="94"/>
      <c r="S82" s="94"/>
      <c r="T82" s="94"/>
      <c r="U82" s="94"/>
      <c r="V82" s="94"/>
      <c r="X82" s="278" t="s">
        <v>54</v>
      </c>
      <c r="Y82" s="11" t="s">
        <v>65</v>
      </c>
      <c r="Z82" s="1" t="s">
        <v>31</v>
      </c>
      <c r="AA82" s="529" t="s">
        <v>8</v>
      </c>
      <c r="AB82" s="163" t="s">
        <v>207</v>
      </c>
      <c r="AC82" s="309">
        <v>240</v>
      </c>
      <c r="AD82" s="168">
        <f>50-45.6</f>
        <v>4.3999999999999986</v>
      </c>
      <c r="AE82" s="168">
        <f>50-45.6</f>
        <v>4.3999999999999986</v>
      </c>
      <c r="AF82" s="168">
        <v>4.4000000000000004</v>
      </c>
      <c r="AG82" s="575">
        <f t="shared" si="25"/>
        <v>1.0000000000000004</v>
      </c>
      <c r="AH82" s="194"/>
      <c r="AI82" s="156"/>
    </row>
    <row r="83" spans="1:35" ht="31.5" x14ac:dyDescent="0.25">
      <c r="A83" s="97"/>
      <c r="B83" s="55"/>
      <c r="C83" s="86"/>
      <c r="D83" s="86"/>
      <c r="E83" s="86"/>
      <c r="F83" s="86"/>
      <c r="G83" s="88"/>
      <c r="H83" s="47"/>
      <c r="I83" s="98"/>
      <c r="J83" s="98"/>
      <c r="K83" s="98"/>
      <c r="L83" s="80"/>
      <c r="M83" s="98"/>
      <c r="N83" s="80"/>
      <c r="O83" s="99"/>
      <c r="P83" s="88"/>
      <c r="Q83" s="90"/>
      <c r="R83" s="94"/>
      <c r="S83" s="94"/>
      <c r="T83" s="94"/>
      <c r="U83" s="94"/>
      <c r="V83" s="94"/>
      <c r="X83" s="280" t="s">
        <v>315</v>
      </c>
      <c r="Y83" s="11" t="s">
        <v>65</v>
      </c>
      <c r="Z83" s="1" t="s">
        <v>31</v>
      </c>
      <c r="AA83" s="529" t="s">
        <v>8</v>
      </c>
      <c r="AB83" s="163" t="s">
        <v>134</v>
      </c>
      <c r="AC83" s="309"/>
      <c r="AD83" s="168">
        <f t="shared" ref="AD83:AE87" si="32">AD84</f>
        <v>85</v>
      </c>
      <c r="AE83" s="168">
        <f t="shared" si="32"/>
        <v>85</v>
      </c>
      <c r="AF83" s="168">
        <f t="shared" ref="AF83" si="33">AF84</f>
        <v>84.1</v>
      </c>
      <c r="AG83" s="575">
        <f t="shared" si="25"/>
        <v>0.98941176470588232</v>
      </c>
      <c r="AH83" s="194"/>
      <c r="AI83" s="156"/>
    </row>
    <row r="84" spans="1:35" ht="47.25" x14ac:dyDescent="0.25">
      <c r="A84" s="97"/>
      <c r="B84" s="55"/>
      <c r="C84" s="86"/>
      <c r="D84" s="86"/>
      <c r="E84" s="86"/>
      <c r="F84" s="86"/>
      <c r="G84" s="88"/>
      <c r="H84" s="47"/>
      <c r="I84" s="98"/>
      <c r="J84" s="98"/>
      <c r="K84" s="98"/>
      <c r="L84" s="80"/>
      <c r="M84" s="98"/>
      <c r="N84" s="80"/>
      <c r="O84" s="99"/>
      <c r="P84" s="88"/>
      <c r="Q84" s="90"/>
      <c r="R84" s="94"/>
      <c r="S84" s="94"/>
      <c r="T84" s="94"/>
      <c r="U84" s="94"/>
      <c r="V84" s="94"/>
      <c r="X84" s="295" t="s">
        <v>594</v>
      </c>
      <c r="Y84" s="11" t="s">
        <v>65</v>
      </c>
      <c r="Z84" s="1" t="s">
        <v>31</v>
      </c>
      <c r="AA84" s="529" t="s">
        <v>8</v>
      </c>
      <c r="AB84" s="163" t="s">
        <v>317</v>
      </c>
      <c r="AC84" s="309"/>
      <c r="AD84" s="168">
        <f t="shared" si="32"/>
        <v>85</v>
      </c>
      <c r="AE84" s="168">
        <f t="shared" si="32"/>
        <v>85</v>
      </c>
      <c r="AF84" s="168">
        <f t="shared" ref="AF84" si="34">AF85</f>
        <v>84.1</v>
      </c>
      <c r="AG84" s="575">
        <f t="shared" si="25"/>
        <v>0.98941176470588232</v>
      </c>
      <c r="AH84" s="194"/>
      <c r="AI84" s="156"/>
    </row>
    <row r="85" spans="1:35" ht="31.5" x14ac:dyDescent="0.25">
      <c r="A85" s="97"/>
      <c r="B85" s="55"/>
      <c r="C85" s="86"/>
      <c r="D85" s="86"/>
      <c r="E85" s="86"/>
      <c r="F85" s="86"/>
      <c r="G85" s="88"/>
      <c r="H85" s="47"/>
      <c r="I85" s="98"/>
      <c r="J85" s="98"/>
      <c r="K85" s="98"/>
      <c r="L85" s="80"/>
      <c r="M85" s="98"/>
      <c r="N85" s="80"/>
      <c r="O85" s="99"/>
      <c r="P85" s="88"/>
      <c r="Q85" s="90"/>
      <c r="R85" s="94"/>
      <c r="S85" s="94"/>
      <c r="T85" s="94"/>
      <c r="U85" s="94"/>
      <c r="V85" s="94"/>
      <c r="X85" s="278" t="s">
        <v>697</v>
      </c>
      <c r="Y85" s="11" t="s">
        <v>65</v>
      </c>
      <c r="Z85" s="1" t="s">
        <v>31</v>
      </c>
      <c r="AA85" s="529" t="s">
        <v>8</v>
      </c>
      <c r="AB85" s="163" t="s">
        <v>322</v>
      </c>
      <c r="AC85" s="309"/>
      <c r="AD85" s="168">
        <f t="shared" si="32"/>
        <v>85</v>
      </c>
      <c r="AE85" s="168">
        <f t="shared" si="32"/>
        <v>85</v>
      </c>
      <c r="AF85" s="168">
        <f t="shared" ref="AF85" si="35">AF86</f>
        <v>84.1</v>
      </c>
      <c r="AG85" s="575">
        <f t="shared" si="25"/>
        <v>0.98941176470588232</v>
      </c>
      <c r="AH85" s="194"/>
      <c r="AI85" s="156"/>
    </row>
    <row r="86" spans="1:35" ht="47.25" x14ac:dyDescent="0.25">
      <c r="A86" s="97"/>
      <c r="B86" s="55"/>
      <c r="C86" s="86"/>
      <c r="D86" s="86"/>
      <c r="E86" s="86"/>
      <c r="F86" s="86"/>
      <c r="G86" s="88"/>
      <c r="H86" s="47"/>
      <c r="I86" s="98"/>
      <c r="J86" s="98"/>
      <c r="K86" s="98"/>
      <c r="L86" s="80"/>
      <c r="M86" s="98"/>
      <c r="N86" s="80"/>
      <c r="O86" s="99"/>
      <c r="P86" s="88"/>
      <c r="Q86" s="90"/>
      <c r="R86" s="94"/>
      <c r="S86" s="94"/>
      <c r="T86" s="94"/>
      <c r="U86" s="94"/>
      <c r="V86" s="94"/>
      <c r="X86" s="302" t="s">
        <v>379</v>
      </c>
      <c r="Y86" s="11" t="s">
        <v>65</v>
      </c>
      <c r="Z86" s="1" t="s">
        <v>31</v>
      </c>
      <c r="AA86" s="529" t="s">
        <v>8</v>
      </c>
      <c r="AB86" s="163" t="s">
        <v>323</v>
      </c>
      <c r="AC86" s="309"/>
      <c r="AD86" s="168">
        <f t="shared" si="32"/>
        <v>85</v>
      </c>
      <c r="AE86" s="168">
        <f t="shared" si="32"/>
        <v>85</v>
      </c>
      <c r="AF86" s="168">
        <f t="shared" ref="AF86:AF87" si="36">AF87</f>
        <v>84.1</v>
      </c>
      <c r="AG86" s="575">
        <f t="shared" si="25"/>
        <v>0.98941176470588232</v>
      </c>
      <c r="AH86" s="194"/>
      <c r="AI86" s="156"/>
    </row>
    <row r="87" spans="1:35" x14ac:dyDescent="0.25">
      <c r="A87" s="97"/>
      <c r="B87" s="55"/>
      <c r="C87" s="86"/>
      <c r="D87" s="86"/>
      <c r="E87" s="86"/>
      <c r="F87" s="86"/>
      <c r="G87" s="88"/>
      <c r="H87" s="47"/>
      <c r="I87" s="98"/>
      <c r="J87" s="98"/>
      <c r="K87" s="98"/>
      <c r="L87" s="80"/>
      <c r="M87" s="98"/>
      <c r="N87" s="80"/>
      <c r="O87" s="99"/>
      <c r="P87" s="88"/>
      <c r="Q87" s="90"/>
      <c r="R87" s="94"/>
      <c r="S87" s="94"/>
      <c r="T87" s="94"/>
      <c r="U87" s="94"/>
      <c r="V87" s="94"/>
      <c r="X87" s="278" t="s">
        <v>123</v>
      </c>
      <c r="Y87" s="11" t="s">
        <v>65</v>
      </c>
      <c r="Z87" s="1" t="s">
        <v>31</v>
      </c>
      <c r="AA87" s="529" t="s">
        <v>8</v>
      </c>
      <c r="AB87" s="163" t="s">
        <v>323</v>
      </c>
      <c r="AC87" s="309">
        <v>200</v>
      </c>
      <c r="AD87" s="168">
        <f t="shared" si="32"/>
        <v>85</v>
      </c>
      <c r="AE87" s="168">
        <f t="shared" si="32"/>
        <v>85</v>
      </c>
      <c r="AF87" s="168">
        <f t="shared" si="36"/>
        <v>84.1</v>
      </c>
      <c r="AG87" s="575">
        <f t="shared" si="25"/>
        <v>0.98941176470588232</v>
      </c>
      <c r="AH87" s="194"/>
      <c r="AI87" s="156"/>
    </row>
    <row r="88" spans="1:35" ht="31.5" x14ac:dyDescent="0.25">
      <c r="A88" s="97"/>
      <c r="B88" s="55"/>
      <c r="C88" s="86"/>
      <c r="D88" s="86"/>
      <c r="E88" s="86"/>
      <c r="F88" s="86"/>
      <c r="G88" s="88"/>
      <c r="H88" s="47"/>
      <c r="I88" s="98"/>
      <c r="J88" s="98"/>
      <c r="K88" s="98"/>
      <c r="L88" s="80"/>
      <c r="M88" s="98"/>
      <c r="N88" s="80"/>
      <c r="O88" s="99"/>
      <c r="P88" s="88"/>
      <c r="Q88" s="90"/>
      <c r="R88" s="94"/>
      <c r="S88" s="94"/>
      <c r="T88" s="94"/>
      <c r="U88" s="94"/>
      <c r="V88" s="94"/>
      <c r="X88" s="278" t="s">
        <v>54</v>
      </c>
      <c r="Y88" s="11" t="s">
        <v>65</v>
      </c>
      <c r="Z88" s="1" t="s">
        <v>31</v>
      </c>
      <c r="AA88" s="529" t="s">
        <v>8</v>
      </c>
      <c r="AB88" s="163" t="s">
        <v>323</v>
      </c>
      <c r="AC88" s="309">
        <v>240</v>
      </c>
      <c r="AD88" s="168">
        <f>85</f>
        <v>85</v>
      </c>
      <c r="AE88" s="168">
        <f>85</f>
        <v>85</v>
      </c>
      <c r="AF88" s="168">
        <v>84.1</v>
      </c>
      <c r="AG88" s="575">
        <f t="shared" si="25"/>
        <v>0.98941176470588232</v>
      </c>
      <c r="AH88" s="194"/>
      <c r="AI88" s="156"/>
    </row>
    <row r="89" spans="1:35" x14ac:dyDescent="0.25">
      <c r="A89" s="54"/>
      <c r="B89" s="85"/>
      <c r="C89" s="86"/>
      <c r="D89" s="86"/>
      <c r="E89" s="86"/>
      <c r="F89" s="86"/>
      <c r="G89" s="88"/>
      <c r="H89" s="88"/>
      <c r="I89" s="88"/>
      <c r="J89" s="88"/>
      <c r="K89" s="88"/>
      <c r="L89" s="80"/>
      <c r="M89" s="88"/>
      <c r="N89" s="80"/>
      <c r="O89" s="89"/>
      <c r="P89" s="88"/>
      <c r="Q89" s="90"/>
      <c r="R89" s="94"/>
      <c r="S89" s="94"/>
      <c r="T89" s="94"/>
      <c r="U89" s="94"/>
      <c r="V89" s="94"/>
      <c r="W89" s="94"/>
      <c r="X89" s="278" t="s">
        <v>2</v>
      </c>
      <c r="Y89" s="11" t="s">
        <v>65</v>
      </c>
      <c r="Z89" s="1" t="s">
        <v>31</v>
      </c>
      <c r="AA89" s="529">
        <v>11</v>
      </c>
      <c r="AB89" s="347"/>
      <c r="AC89" s="309"/>
      <c r="AD89" s="168">
        <f>AD90</f>
        <v>3451.1</v>
      </c>
      <c r="AE89" s="168">
        <f>AE90</f>
        <v>3451.1</v>
      </c>
      <c r="AF89" s="168">
        <f>AF90</f>
        <v>0</v>
      </c>
      <c r="AG89" s="575">
        <f t="shared" si="25"/>
        <v>0</v>
      </c>
      <c r="AH89" s="194"/>
      <c r="AI89" s="156"/>
    </row>
    <row r="90" spans="1:35" x14ac:dyDescent="0.25">
      <c r="A90" s="97"/>
      <c r="B90" s="85"/>
      <c r="C90" s="86"/>
      <c r="D90" s="86"/>
      <c r="E90" s="86"/>
      <c r="F90" s="86"/>
      <c r="G90" s="88"/>
      <c r="H90" s="47"/>
      <c r="I90" s="98"/>
      <c r="J90" s="98"/>
      <c r="K90" s="98"/>
      <c r="L90" s="80"/>
      <c r="M90" s="98"/>
      <c r="N90" s="80"/>
      <c r="O90" s="89"/>
      <c r="P90" s="48"/>
      <c r="Q90" s="90"/>
      <c r="R90" s="91"/>
      <c r="S90" s="94"/>
      <c r="T90" s="94"/>
      <c r="U90" s="94"/>
      <c r="V90" s="94"/>
      <c r="X90" s="278" t="s">
        <v>354</v>
      </c>
      <c r="Y90" s="11" t="s">
        <v>65</v>
      </c>
      <c r="Z90" s="1" t="s">
        <v>31</v>
      </c>
      <c r="AA90" s="529">
        <v>11</v>
      </c>
      <c r="AB90" s="33" t="s">
        <v>140</v>
      </c>
      <c r="AC90" s="309"/>
      <c r="AD90" s="168">
        <f>AD94+AD91</f>
        <v>3451.1</v>
      </c>
      <c r="AE90" s="168">
        <f>AE94+AE91</f>
        <v>3451.1</v>
      </c>
      <c r="AF90" s="168">
        <f t="shared" ref="AF90" si="37">AF94</f>
        <v>0</v>
      </c>
      <c r="AG90" s="575">
        <f t="shared" si="25"/>
        <v>0</v>
      </c>
      <c r="AH90" s="194"/>
      <c r="AI90" s="156"/>
    </row>
    <row r="91" spans="1:35" s="500" customFormat="1" x14ac:dyDescent="0.25">
      <c r="A91" s="97"/>
      <c r="B91" s="85"/>
      <c r="C91" s="86"/>
      <c r="D91" s="86"/>
      <c r="E91" s="86"/>
      <c r="F91" s="86"/>
      <c r="G91" s="88"/>
      <c r="H91" s="499"/>
      <c r="I91" s="98"/>
      <c r="J91" s="98"/>
      <c r="K91" s="98"/>
      <c r="L91" s="80"/>
      <c r="M91" s="98"/>
      <c r="N91" s="80"/>
      <c r="O91" s="89"/>
      <c r="P91" s="48"/>
      <c r="Q91" s="90"/>
      <c r="R91" s="91"/>
      <c r="S91" s="94"/>
      <c r="T91" s="94"/>
      <c r="U91" s="94"/>
      <c r="V91" s="94"/>
      <c r="W91" s="499"/>
      <c r="X91" s="283" t="s">
        <v>791</v>
      </c>
      <c r="Y91" s="11" t="s">
        <v>65</v>
      </c>
      <c r="Z91" s="1" t="s">
        <v>31</v>
      </c>
      <c r="AA91" s="529">
        <v>11</v>
      </c>
      <c r="AB91" s="163" t="s">
        <v>792</v>
      </c>
      <c r="AC91" s="309"/>
      <c r="AD91" s="168">
        <f t="shared" ref="AD91:AF92" si="38">AD92</f>
        <v>2451.1</v>
      </c>
      <c r="AE91" s="168">
        <f t="shared" si="38"/>
        <v>2451.1</v>
      </c>
      <c r="AF91" s="168">
        <f t="shared" si="38"/>
        <v>0</v>
      </c>
      <c r="AG91" s="575">
        <f t="shared" si="25"/>
        <v>0</v>
      </c>
      <c r="AH91" s="194"/>
      <c r="AI91" s="156"/>
    </row>
    <row r="92" spans="1:35" s="500" customFormat="1" x14ac:dyDescent="0.25">
      <c r="A92" s="97"/>
      <c r="B92" s="85"/>
      <c r="C92" s="86"/>
      <c r="D92" s="86"/>
      <c r="E92" s="86"/>
      <c r="F92" s="86"/>
      <c r="G92" s="88"/>
      <c r="H92" s="499"/>
      <c r="I92" s="98"/>
      <c r="J92" s="98"/>
      <c r="K92" s="98"/>
      <c r="L92" s="80"/>
      <c r="M92" s="98"/>
      <c r="N92" s="80"/>
      <c r="O92" s="89"/>
      <c r="P92" s="48"/>
      <c r="Q92" s="90"/>
      <c r="R92" s="91"/>
      <c r="S92" s="94"/>
      <c r="T92" s="94"/>
      <c r="U92" s="94"/>
      <c r="V92" s="94"/>
      <c r="W92" s="499"/>
      <c r="X92" s="278" t="s">
        <v>44</v>
      </c>
      <c r="Y92" s="11" t="s">
        <v>65</v>
      </c>
      <c r="Z92" s="1" t="s">
        <v>31</v>
      </c>
      <c r="AA92" s="529">
        <v>11</v>
      </c>
      <c r="AB92" s="163" t="s">
        <v>792</v>
      </c>
      <c r="AC92" s="309">
        <v>800</v>
      </c>
      <c r="AD92" s="168">
        <f t="shared" si="38"/>
        <v>2451.1</v>
      </c>
      <c r="AE92" s="168">
        <f t="shared" si="38"/>
        <v>2451.1</v>
      </c>
      <c r="AF92" s="168">
        <f t="shared" si="38"/>
        <v>0</v>
      </c>
      <c r="AG92" s="575">
        <f t="shared" si="25"/>
        <v>0</v>
      </c>
      <c r="AH92" s="194"/>
      <c r="AI92" s="156"/>
    </row>
    <row r="93" spans="1:35" s="500" customFormat="1" x14ac:dyDescent="0.25">
      <c r="A93" s="97"/>
      <c r="B93" s="85"/>
      <c r="C93" s="86"/>
      <c r="D93" s="86"/>
      <c r="E93" s="86"/>
      <c r="F93" s="86"/>
      <c r="G93" s="88"/>
      <c r="H93" s="499"/>
      <c r="I93" s="98"/>
      <c r="J93" s="98"/>
      <c r="K93" s="98"/>
      <c r="L93" s="80"/>
      <c r="M93" s="98"/>
      <c r="N93" s="80"/>
      <c r="O93" s="89"/>
      <c r="P93" s="48"/>
      <c r="Q93" s="90"/>
      <c r="R93" s="91"/>
      <c r="S93" s="94"/>
      <c r="T93" s="94"/>
      <c r="U93" s="94"/>
      <c r="V93" s="94"/>
      <c r="W93" s="499"/>
      <c r="X93" s="278" t="s">
        <v>139</v>
      </c>
      <c r="Y93" s="11" t="s">
        <v>65</v>
      </c>
      <c r="Z93" s="1" t="s">
        <v>31</v>
      </c>
      <c r="AA93" s="529">
        <v>11</v>
      </c>
      <c r="AB93" s="163" t="s">
        <v>792</v>
      </c>
      <c r="AC93" s="309">
        <v>870</v>
      </c>
      <c r="AD93" s="168">
        <f>2530.5+1443.2-135-1000-387.6</f>
        <v>2451.1</v>
      </c>
      <c r="AE93" s="168">
        <f>2530.5+1443.2-135-1000-387.6</f>
        <v>2451.1</v>
      </c>
      <c r="AF93" s="168">
        <f>2572+125.9+1443.2-4141.1</f>
        <v>0</v>
      </c>
      <c r="AG93" s="575">
        <f t="shared" si="25"/>
        <v>0</v>
      </c>
      <c r="AH93" s="194"/>
      <c r="AI93" s="156"/>
    </row>
    <row r="94" spans="1:35" ht="31.5" x14ac:dyDescent="0.25">
      <c r="A94" s="97"/>
      <c r="B94" s="85"/>
      <c r="C94" s="86"/>
      <c r="D94" s="86"/>
      <c r="E94" s="86"/>
      <c r="F94" s="86"/>
      <c r="G94" s="88"/>
      <c r="H94" s="47"/>
      <c r="I94" s="98"/>
      <c r="J94" s="98"/>
      <c r="K94" s="98"/>
      <c r="L94" s="80"/>
      <c r="M94" s="98"/>
      <c r="N94" s="80"/>
      <c r="O94" s="89"/>
      <c r="P94" s="48"/>
      <c r="Q94" s="90"/>
      <c r="R94" s="91"/>
      <c r="S94" s="94"/>
      <c r="T94" s="94"/>
      <c r="U94" s="94"/>
      <c r="V94" s="94"/>
      <c r="X94" s="283" t="s">
        <v>347</v>
      </c>
      <c r="Y94" s="11" t="s">
        <v>65</v>
      </c>
      <c r="Z94" s="1" t="s">
        <v>31</v>
      </c>
      <c r="AA94" s="529">
        <v>11</v>
      </c>
      <c r="AB94" s="163" t="s">
        <v>348</v>
      </c>
      <c r="AC94" s="309"/>
      <c r="AD94" s="168">
        <f t="shared" ref="AD94:AF95" si="39">AD95</f>
        <v>1000</v>
      </c>
      <c r="AE94" s="168">
        <f t="shared" si="39"/>
        <v>1000</v>
      </c>
      <c r="AF94" s="168">
        <f t="shared" si="39"/>
        <v>0</v>
      </c>
      <c r="AG94" s="575">
        <f t="shared" si="25"/>
        <v>0</v>
      </c>
      <c r="AH94" s="194"/>
      <c r="AI94" s="156"/>
    </row>
    <row r="95" spans="1:35" x14ac:dyDescent="0.25">
      <c r="A95" s="97"/>
      <c r="B95" s="85"/>
      <c r="C95" s="86"/>
      <c r="D95" s="86"/>
      <c r="E95" s="86"/>
      <c r="F95" s="86"/>
      <c r="G95" s="88"/>
      <c r="H95" s="47"/>
      <c r="I95" s="98"/>
      <c r="J95" s="98"/>
      <c r="K95" s="98"/>
      <c r="L95" s="80"/>
      <c r="M95" s="98"/>
      <c r="N95" s="80"/>
      <c r="O95" s="89"/>
      <c r="P95" s="48"/>
      <c r="Q95" s="90"/>
      <c r="R95" s="91"/>
      <c r="S95" s="94"/>
      <c r="T95" s="94"/>
      <c r="U95" s="94"/>
      <c r="V95" s="94"/>
      <c r="X95" s="278" t="s">
        <v>44</v>
      </c>
      <c r="Y95" s="11" t="s">
        <v>65</v>
      </c>
      <c r="Z95" s="1" t="s">
        <v>31</v>
      </c>
      <c r="AA95" s="529">
        <v>11</v>
      </c>
      <c r="AB95" s="163" t="s">
        <v>348</v>
      </c>
      <c r="AC95" s="309">
        <v>800</v>
      </c>
      <c r="AD95" s="168">
        <f t="shared" si="39"/>
        <v>1000</v>
      </c>
      <c r="AE95" s="168">
        <f t="shared" si="39"/>
        <v>1000</v>
      </c>
      <c r="AF95" s="168">
        <f t="shared" si="39"/>
        <v>0</v>
      </c>
      <c r="AG95" s="575">
        <f t="shared" si="25"/>
        <v>0</v>
      </c>
      <c r="AH95" s="194"/>
      <c r="AI95" s="156"/>
    </row>
    <row r="96" spans="1:35" x14ac:dyDescent="0.25">
      <c r="A96" s="97"/>
      <c r="B96" s="85"/>
      <c r="C96" s="86"/>
      <c r="D96" s="86"/>
      <c r="E96" s="86"/>
      <c r="F96" s="86"/>
      <c r="G96" s="88"/>
      <c r="H96" s="47"/>
      <c r="I96" s="98"/>
      <c r="J96" s="98"/>
      <c r="K96" s="98"/>
      <c r="L96" s="80"/>
      <c r="M96" s="98"/>
      <c r="N96" s="80"/>
      <c r="O96" s="89"/>
      <c r="P96" s="48"/>
      <c r="Q96" s="90"/>
      <c r="R96" s="91"/>
      <c r="S96" s="94"/>
      <c r="T96" s="94"/>
      <c r="U96" s="94"/>
      <c r="V96" s="94"/>
      <c r="X96" s="278" t="s">
        <v>139</v>
      </c>
      <c r="Y96" s="11" t="s">
        <v>65</v>
      </c>
      <c r="Z96" s="1" t="s">
        <v>31</v>
      </c>
      <c r="AA96" s="529">
        <v>11</v>
      </c>
      <c r="AB96" s="163" t="s">
        <v>348</v>
      </c>
      <c r="AC96" s="309">
        <v>870</v>
      </c>
      <c r="AD96" s="168">
        <v>1000</v>
      </c>
      <c r="AE96" s="168">
        <v>1000</v>
      </c>
      <c r="AF96" s="168">
        <f>1000-1000</f>
        <v>0</v>
      </c>
      <c r="AG96" s="575">
        <f t="shared" si="25"/>
        <v>0</v>
      </c>
      <c r="AH96" s="194"/>
      <c r="AI96" s="156"/>
    </row>
    <row r="97" spans="1:35" x14ac:dyDescent="0.25">
      <c r="A97" s="54"/>
      <c r="B97" s="85"/>
      <c r="C97" s="86"/>
      <c r="D97" s="86"/>
      <c r="E97" s="86"/>
      <c r="F97" s="86"/>
      <c r="G97" s="88"/>
      <c r="H97" s="88"/>
      <c r="I97" s="88"/>
      <c r="J97" s="88"/>
      <c r="K97" s="88"/>
      <c r="L97" s="80"/>
      <c r="M97" s="88"/>
      <c r="N97" s="80"/>
      <c r="O97" s="89"/>
      <c r="P97" s="88"/>
      <c r="Q97" s="90"/>
      <c r="R97" s="94"/>
      <c r="S97" s="94"/>
      <c r="T97" s="94"/>
      <c r="U97" s="94"/>
      <c r="V97" s="94"/>
      <c r="W97" s="94"/>
      <c r="X97" s="278" t="s">
        <v>15</v>
      </c>
      <c r="Y97" s="11" t="s">
        <v>65</v>
      </c>
      <c r="Z97" s="1" t="s">
        <v>31</v>
      </c>
      <c r="AA97" s="529">
        <v>13</v>
      </c>
      <c r="AB97" s="347"/>
      <c r="AC97" s="309"/>
      <c r="AD97" s="168">
        <f>AD98+AD137+AD143+AD154</f>
        <v>149911.6</v>
      </c>
      <c r="AE97" s="168">
        <f>AE98+AE137+AE143+AE154</f>
        <v>301825.69999999995</v>
      </c>
      <c r="AF97" s="168">
        <f>AF98+AF137+AF143+AF154</f>
        <v>149784.30000000002</v>
      </c>
      <c r="AG97" s="575">
        <f t="shared" si="25"/>
        <v>0.49626092145234829</v>
      </c>
      <c r="AH97" s="194"/>
      <c r="AI97" s="156"/>
    </row>
    <row r="98" spans="1:35" x14ac:dyDescent="0.25">
      <c r="A98" s="100"/>
      <c r="B98" s="85"/>
      <c r="C98" s="86"/>
      <c r="D98" s="86"/>
      <c r="E98" s="87"/>
      <c r="F98" s="86"/>
      <c r="G98" s="86"/>
      <c r="H98" s="101"/>
      <c r="I98" s="98"/>
      <c r="J98" s="98"/>
      <c r="K98" s="98"/>
      <c r="L98" s="80"/>
      <c r="M98" s="98"/>
      <c r="N98" s="80"/>
      <c r="O98" s="89"/>
      <c r="P98" s="48"/>
      <c r="Q98" s="90"/>
      <c r="R98" s="91"/>
      <c r="S98" s="94"/>
      <c r="T98" s="94"/>
      <c r="U98" s="94"/>
      <c r="V98" s="94"/>
      <c r="X98" s="284" t="s">
        <v>193</v>
      </c>
      <c r="Y98" s="11" t="s">
        <v>65</v>
      </c>
      <c r="Z98" s="1" t="s">
        <v>31</v>
      </c>
      <c r="AA98" s="529">
        <v>13</v>
      </c>
      <c r="AB98" s="163" t="s">
        <v>115</v>
      </c>
      <c r="AC98" s="309"/>
      <c r="AD98" s="168">
        <f>AD99+AD108</f>
        <v>102486.2</v>
      </c>
      <c r="AE98" s="168">
        <f>AE99+AE108</f>
        <v>102486.2</v>
      </c>
      <c r="AF98" s="168">
        <f>AF99+AF108</f>
        <v>102268</v>
      </c>
      <c r="AG98" s="575">
        <f t="shared" si="25"/>
        <v>0.99787093286705919</v>
      </c>
      <c r="AH98" s="194"/>
      <c r="AI98" s="156"/>
    </row>
    <row r="99" spans="1:35" x14ac:dyDescent="0.25">
      <c r="A99" s="100"/>
      <c r="B99" s="85"/>
      <c r="C99" s="86"/>
      <c r="D99" s="86"/>
      <c r="E99" s="87"/>
      <c r="F99" s="86"/>
      <c r="G99" s="86"/>
      <c r="H99" s="101"/>
      <c r="I99" s="98"/>
      <c r="J99" s="98"/>
      <c r="K99" s="98"/>
      <c r="L99" s="80"/>
      <c r="M99" s="98"/>
      <c r="N99" s="80"/>
      <c r="O99" s="89"/>
      <c r="P99" s="48"/>
      <c r="Q99" s="90"/>
      <c r="R99" s="91"/>
      <c r="S99" s="94"/>
      <c r="T99" s="94"/>
      <c r="U99" s="94"/>
      <c r="V99" s="94"/>
      <c r="X99" s="299" t="s">
        <v>611</v>
      </c>
      <c r="Y99" s="11" t="s">
        <v>65</v>
      </c>
      <c r="Z99" s="1" t="s">
        <v>31</v>
      </c>
      <c r="AA99" s="529">
        <v>13</v>
      </c>
      <c r="AB99" s="163" t="s">
        <v>116</v>
      </c>
      <c r="AC99" s="309"/>
      <c r="AD99" s="168">
        <f t="shared" ref="AD99:AF100" si="40">AD100</f>
        <v>11918.199999999999</v>
      </c>
      <c r="AE99" s="168">
        <f t="shared" si="40"/>
        <v>11918.199999999999</v>
      </c>
      <c r="AF99" s="168">
        <f t="shared" si="40"/>
        <v>11851.7</v>
      </c>
      <c r="AG99" s="575">
        <f t="shared" si="25"/>
        <v>0.99442029836720325</v>
      </c>
      <c r="AH99" s="194"/>
      <c r="AI99" s="156"/>
    </row>
    <row r="100" spans="1:35" ht="31.5" x14ac:dyDescent="0.25">
      <c r="A100" s="100"/>
      <c r="B100" s="85"/>
      <c r="C100" s="86"/>
      <c r="D100" s="86"/>
      <c r="E100" s="87"/>
      <c r="F100" s="86"/>
      <c r="G100" s="86"/>
      <c r="H100" s="101"/>
      <c r="I100" s="98"/>
      <c r="J100" s="98"/>
      <c r="K100" s="98"/>
      <c r="L100" s="80"/>
      <c r="M100" s="98"/>
      <c r="N100" s="80"/>
      <c r="O100" s="89"/>
      <c r="P100" s="48"/>
      <c r="Q100" s="90"/>
      <c r="R100" s="91"/>
      <c r="S100" s="94"/>
      <c r="T100" s="94"/>
      <c r="U100" s="94"/>
      <c r="V100" s="94"/>
      <c r="X100" s="282" t="s">
        <v>189</v>
      </c>
      <c r="Y100" s="11" t="s">
        <v>65</v>
      </c>
      <c r="Z100" s="1" t="s">
        <v>31</v>
      </c>
      <c r="AA100" s="529">
        <v>13</v>
      </c>
      <c r="AB100" s="163" t="s">
        <v>190</v>
      </c>
      <c r="AC100" s="309"/>
      <c r="AD100" s="168">
        <f t="shared" si="40"/>
        <v>11918.199999999999</v>
      </c>
      <c r="AE100" s="168">
        <f t="shared" si="40"/>
        <v>11918.199999999999</v>
      </c>
      <c r="AF100" s="168">
        <f t="shared" si="40"/>
        <v>11851.7</v>
      </c>
      <c r="AG100" s="575">
        <f t="shared" si="25"/>
        <v>0.99442029836720325</v>
      </c>
      <c r="AH100" s="194"/>
      <c r="AI100" s="156"/>
    </row>
    <row r="101" spans="1:35" ht="31.5" x14ac:dyDescent="0.25">
      <c r="A101" s="100"/>
      <c r="B101" s="85"/>
      <c r="C101" s="86"/>
      <c r="D101" s="86"/>
      <c r="E101" s="87"/>
      <c r="F101" s="86"/>
      <c r="G101" s="86"/>
      <c r="H101" s="101"/>
      <c r="I101" s="98"/>
      <c r="J101" s="98"/>
      <c r="K101" s="98"/>
      <c r="L101" s="80"/>
      <c r="M101" s="98"/>
      <c r="N101" s="80"/>
      <c r="O101" s="89"/>
      <c r="P101" s="48"/>
      <c r="Q101" s="90"/>
      <c r="R101" s="91"/>
      <c r="S101" s="94"/>
      <c r="T101" s="94"/>
      <c r="U101" s="94"/>
      <c r="V101" s="94"/>
      <c r="X101" s="283" t="s">
        <v>191</v>
      </c>
      <c r="Y101" s="11" t="s">
        <v>65</v>
      </c>
      <c r="Z101" s="1" t="s">
        <v>31</v>
      </c>
      <c r="AA101" s="529">
        <v>13</v>
      </c>
      <c r="AB101" s="163" t="s">
        <v>192</v>
      </c>
      <c r="AC101" s="311"/>
      <c r="AD101" s="168">
        <f>AD106+AD102+AD104</f>
        <v>11918.199999999999</v>
      </c>
      <c r="AE101" s="168">
        <f>AE106+AE102+AE104</f>
        <v>11918.199999999999</v>
      </c>
      <c r="AF101" s="168">
        <f>AF106+AF102+AF104</f>
        <v>11851.7</v>
      </c>
      <c r="AG101" s="575">
        <f t="shared" si="25"/>
        <v>0.99442029836720325</v>
      </c>
      <c r="AH101" s="194"/>
      <c r="AI101" s="156"/>
    </row>
    <row r="102" spans="1:35" x14ac:dyDescent="0.25">
      <c r="A102" s="100"/>
      <c r="B102" s="85"/>
      <c r="C102" s="86"/>
      <c r="D102" s="86"/>
      <c r="E102" s="87"/>
      <c r="F102" s="86"/>
      <c r="G102" s="86"/>
      <c r="H102" s="101"/>
      <c r="I102" s="98"/>
      <c r="J102" s="98"/>
      <c r="K102" s="98"/>
      <c r="L102" s="80"/>
      <c r="M102" s="98"/>
      <c r="N102" s="80"/>
      <c r="O102" s="89"/>
      <c r="P102" s="48"/>
      <c r="Q102" s="90"/>
      <c r="R102" s="91"/>
      <c r="S102" s="94"/>
      <c r="T102" s="94"/>
      <c r="U102" s="94"/>
      <c r="V102" s="94"/>
      <c r="X102" s="278" t="s">
        <v>123</v>
      </c>
      <c r="Y102" s="11" t="s">
        <v>65</v>
      </c>
      <c r="Z102" s="1" t="s">
        <v>31</v>
      </c>
      <c r="AA102" s="529">
        <v>13</v>
      </c>
      <c r="AB102" s="163" t="s">
        <v>192</v>
      </c>
      <c r="AC102" s="309">
        <v>200</v>
      </c>
      <c r="AD102" s="168">
        <f>AD103</f>
        <v>59.8</v>
      </c>
      <c r="AE102" s="168">
        <f>AE103</f>
        <v>59.8</v>
      </c>
      <c r="AF102" s="168">
        <f>AF103</f>
        <v>0</v>
      </c>
      <c r="AG102" s="575">
        <f t="shared" si="25"/>
        <v>0</v>
      </c>
      <c r="AH102" s="194"/>
      <c r="AI102" s="156"/>
    </row>
    <row r="103" spans="1:35" ht="31.5" x14ac:dyDescent="0.25">
      <c r="A103" s="100"/>
      <c r="B103" s="85"/>
      <c r="C103" s="86"/>
      <c r="D103" s="86"/>
      <c r="E103" s="87"/>
      <c r="F103" s="86"/>
      <c r="G103" s="86"/>
      <c r="H103" s="101"/>
      <c r="I103" s="98"/>
      <c r="J103" s="98"/>
      <c r="K103" s="98"/>
      <c r="L103" s="80"/>
      <c r="M103" s="98"/>
      <c r="N103" s="80"/>
      <c r="O103" s="89"/>
      <c r="P103" s="48"/>
      <c r="Q103" s="90"/>
      <c r="R103" s="91"/>
      <c r="S103" s="94"/>
      <c r="T103" s="94"/>
      <c r="U103" s="94"/>
      <c r="V103" s="94"/>
      <c r="X103" s="278" t="s">
        <v>54</v>
      </c>
      <c r="Y103" s="11" t="s">
        <v>65</v>
      </c>
      <c r="Z103" s="1" t="s">
        <v>31</v>
      </c>
      <c r="AA103" s="529">
        <v>13</v>
      </c>
      <c r="AB103" s="163" t="s">
        <v>192</v>
      </c>
      <c r="AC103" s="309">
        <v>240</v>
      </c>
      <c r="AD103" s="168">
        <f>60-0.2</f>
        <v>59.8</v>
      </c>
      <c r="AE103" s="168">
        <f>60-0.2</f>
        <v>59.8</v>
      </c>
      <c r="AF103" s="168">
        <v>0</v>
      </c>
      <c r="AG103" s="575">
        <f t="shared" si="25"/>
        <v>0</v>
      </c>
      <c r="AH103" s="194"/>
      <c r="AI103" s="156"/>
    </row>
    <row r="104" spans="1:35" x14ac:dyDescent="0.25">
      <c r="A104" s="100"/>
      <c r="B104" s="85"/>
      <c r="C104" s="86"/>
      <c r="D104" s="86"/>
      <c r="E104" s="87"/>
      <c r="F104" s="86"/>
      <c r="G104" s="86"/>
      <c r="H104" s="101"/>
      <c r="I104" s="98"/>
      <c r="J104" s="98"/>
      <c r="K104" s="98"/>
      <c r="L104" s="80"/>
      <c r="M104" s="98"/>
      <c r="N104" s="80"/>
      <c r="O104" s="89"/>
      <c r="P104" s="48"/>
      <c r="Q104" s="90"/>
      <c r="R104" s="91"/>
      <c r="S104" s="94"/>
      <c r="T104" s="94"/>
      <c r="U104" s="94"/>
      <c r="V104" s="94"/>
      <c r="X104" s="278" t="s">
        <v>100</v>
      </c>
      <c r="Y104" s="11" t="s">
        <v>65</v>
      </c>
      <c r="Z104" s="1" t="s">
        <v>31</v>
      </c>
      <c r="AA104" s="529">
        <v>13</v>
      </c>
      <c r="AB104" s="163" t="s">
        <v>192</v>
      </c>
      <c r="AC104" s="309">
        <v>300</v>
      </c>
      <c r="AD104" s="168">
        <f>AD105</f>
        <v>2186.5</v>
      </c>
      <c r="AE104" s="168">
        <f>AE105</f>
        <v>2186.5</v>
      </c>
      <c r="AF104" s="168">
        <f t="shared" ref="AF104" si="41">AF105</f>
        <v>2179.8000000000002</v>
      </c>
      <c r="AG104" s="575">
        <f t="shared" si="25"/>
        <v>0.99693574205351021</v>
      </c>
      <c r="AH104" s="194"/>
      <c r="AI104" s="156"/>
    </row>
    <row r="105" spans="1:35" x14ac:dyDescent="0.25">
      <c r="A105" s="100"/>
      <c r="B105" s="85"/>
      <c r="C105" s="86"/>
      <c r="D105" s="86"/>
      <c r="E105" s="87"/>
      <c r="F105" s="86"/>
      <c r="G105" s="86"/>
      <c r="H105" s="101"/>
      <c r="I105" s="98"/>
      <c r="J105" s="98"/>
      <c r="K105" s="98"/>
      <c r="L105" s="80"/>
      <c r="M105" s="98"/>
      <c r="N105" s="80"/>
      <c r="O105" s="89"/>
      <c r="P105" s="48"/>
      <c r="Q105" s="90"/>
      <c r="R105" s="91"/>
      <c r="S105" s="94"/>
      <c r="T105" s="94"/>
      <c r="U105" s="94"/>
      <c r="V105" s="94"/>
      <c r="X105" s="278" t="s">
        <v>464</v>
      </c>
      <c r="Y105" s="11" t="s">
        <v>65</v>
      </c>
      <c r="Z105" s="1" t="s">
        <v>31</v>
      </c>
      <c r="AA105" s="529">
        <v>13</v>
      </c>
      <c r="AB105" s="163" t="s">
        <v>192</v>
      </c>
      <c r="AC105" s="309">
        <v>360</v>
      </c>
      <c r="AD105" s="168">
        <f>1994+192.5</f>
        <v>2186.5</v>
      </c>
      <c r="AE105" s="168">
        <f>1994+192.5</f>
        <v>2186.5</v>
      </c>
      <c r="AF105" s="168">
        <v>2179.8000000000002</v>
      </c>
      <c r="AG105" s="575">
        <f t="shared" si="25"/>
        <v>0.99693574205351021</v>
      </c>
      <c r="AH105" s="194"/>
      <c r="AI105" s="156"/>
    </row>
    <row r="106" spans="1:35" ht="31.5" x14ac:dyDescent="0.25">
      <c r="A106" s="100"/>
      <c r="B106" s="85"/>
      <c r="C106" s="86"/>
      <c r="D106" s="86"/>
      <c r="E106" s="87"/>
      <c r="F106" s="86"/>
      <c r="G106" s="86"/>
      <c r="H106" s="101"/>
      <c r="I106" s="98"/>
      <c r="J106" s="98"/>
      <c r="K106" s="98"/>
      <c r="L106" s="80"/>
      <c r="M106" s="98"/>
      <c r="N106" s="80"/>
      <c r="O106" s="89"/>
      <c r="P106" s="48"/>
      <c r="Q106" s="90"/>
      <c r="R106" s="91"/>
      <c r="S106" s="94"/>
      <c r="T106" s="94"/>
      <c r="U106" s="94"/>
      <c r="V106" s="94"/>
      <c r="X106" s="278" t="s">
        <v>62</v>
      </c>
      <c r="Y106" s="11" t="s">
        <v>65</v>
      </c>
      <c r="Z106" s="1" t="s">
        <v>31</v>
      </c>
      <c r="AA106" s="529">
        <v>13</v>
      </c>
      <c r="AB106" s="163" t="s">
        <v>192</v>
      </c>
      <c r="AC106" s="309">
        <v>600</v>
      </c>
      <c r="AD106" s="168">
        <f>AD107</f>
        <v>9671.9</v>
      </c>
      <c r="AE106" s="168">
        <f>AE107</f>
        <v>9671.9</v>
      </c>
      <c r="AF106" s="168">
        <f>AF107</f>
        <v>9671.9</v>
      </c>
      <c r="AG106" s="575">
        <f t="shared" si="25"/>
        <v>1</v>
      </c>
      <c r="AH106" s="194"/>
      <c r="AI106" s="156"/>
    </row>
    <row r="107" spans="1:35" x14ac:dyDescent="0.25">
      <c r="A107" s="100"/>
      <c r="B107" s="85"/>
      <c r="C107" s="86"/>
      <c r="D107" s="86"/>
      <c r="E107" s="87"/>
      <c r="F107" s="86"/>
      <c r="G107" s="86"/>
      <c r="H107" s="101"/>
      <c r="I107" s="98"/>
      <c r="J107" s="98"/>
      <c r="K107" s="98"/>
      <c r="L107" s="80"/>
      <c r="M107" s="98"/>
      <c r="N107" s="80"/>
      <c r="O107" s="89"/>
      <c r="P107" s="48"/>
      <c r="Q107" s="90"/>
      <c r="R107" s="91"/>
      <c r="S107" s="94"/>
      <c r="T107" s="94"/>
      <c r="U107" s="94"/>
      <c r="V107" s="94"/>
      <c r="X107" s="278" t="s">
        <v>63</v>
      </c>
      <c r="Y107" s="11" t="s">
        <v>65</v>
      </c>
      <c r="Z107" s="1" t="s">
        <v>31</v>
      </c>
      <c r="AA107" s="529">
        <v>13</v>
      </c>
      <c r="AB107" s="163" t="s">
        <v>192</v>
      </c>
      <c r="AC107" s="309">
        <v>610</v>
      </c>
      <c r="AD107" s="168">
        <f>9000+671.9</f>
        <v>9671.9</v>
      </c>
      <c r="AE107" s="168">
        <f>9000+671.9</f>
        <v>9671.9</v>
      </c>
      <c r="AF107" s="168">
        <v>9671.9</v>
      </c>
      <c r="AG107" s="575">
        <f t="shared" si="25"/>
        <v>1</v>
      </c>
      <c r="AH107" s="194"/>
      <c r="AI107" s="156"/>
    </row>
    <row r="108" spans="1:35" x14ac:dyDescent="0.25">
      <c r="A108" s="100"/>
      <c r="B108" s="85"/>
      <c r="C108" s="86"/>
      <c r="D108" s="86"/>
      <c r="E108" s="87"/>
      <c r="F108" s="86"/>
      <c r="G108" s="86"/>
      <c r="H108" s="101"/>
      <c r="I108" s="98"/>
      <c r="J108" s="98"/>
      <c r="K108" s="98"/>
      <c r="L108" s="80"/>
      <c r="M108" s="98"/>
      <c r="N108" s="80"/>
      <c r="O108" s="89"/>
      <c r="P108" s="48"/>
      <c r="Q108" s="90"/>
      <c r="R108" s="91"/>
      <c r="S108" s="94"/>
      <c r="T108" s="94"/>
      <c r="U108" s="94"/>
      <c r="V108" s="94"/>
      <c r="X108" s="284" t="s">
        <v>198</v>
      </c>
      <c r="Y108" s="11" t="s">
        <v>65</v>
      </c>
      <c r="Z108" s="1" t="s">
        <v>31</v>
      </c>
      <c r="AA108" s="529">
        <v>13</v>
      </c>
      <c r="AB108" s="163" t="s">
        <v>199</v>
      </c>
      <c r="AC108" s="309"/>
      <c r="AD108" s="168">
        <f>AD109+AD133</f>
        <v>90568</v>
      </c>
      <c r="AE108" s="168">
        <f>AE109+AE133</f>
        <v>90568</v>
      </c>
      <c r="AF108" s="168">
        <f>AF109+AF133</f>
        <v>90416.3</v>
      </c>
      <c r="AG108" s="575">
        <f t="shared" si="25"/>
        <v>0.99832501545799845</v>
      </c>
      <c r="AH108" s="194"/>
      <c r="AI108" s="156"/>
    </row>
    <row r="109" spans="1:35" ht="31.5" x14ac:dyDescent="0.25">
      <c r="A109" s="100"/>
      <c r="B109" s="85"/>
      <c r="C109" s="86"/>
      <c r="D109" s="86"/>
      <c r="E109" s="87"/>
      <c r="F109" s="86"/>
      <c r="G109" s="86"/>
      <c r="H109" s="101"/>
      <c r="I109" s="98"/>
      <c r="J109" s="98"/>
      <c r="K109" s="98"/>
      <c r="L109" s="80"/>
      <c r="M109" s="98"/>
      <c r="N109" s="80"/>
      <c r="O109" s="89"/>
      <c r="P109" s="48"/>
      <c r="Q109" s="90"/>
      <c r="R109" s="91"/>
      <c r="S109" s="94"/>
      <c r="T109" s="94"/>
      <c r="U109" s="94"/>
      <c r="V109" s="94"/>
      <c r="X109" s="284" t="s">
        <v>200</v>
      </c>
      <c r="Y109" s="11" t="s">
        <v>65</v>
      </c>
      <c r="Z109" s="1" t="s">
        <v>31</v>
      </c>
      <c r="AA109" s="529">
        <v>13</v>
      </c>
      <c r="AB109" s="163" t="s">
        <v>201</v>
      </c>
      <c r="AC109" s="309"/>
      <c r="AD109" s="168">
        <f>AD110+AD113+AD118</f>
        <v>90527.3</v>
      </c>
      <c r="AE109" s="168">
        <f>AE110+AE113+AE118</f>
        <v>90527.3</v>
      </c>
      <c r="AF109" s="168">
        <f>AF110+AF113+AF118</f>
        <v>90385</v>
      </c>
      <c r="AG109" s="575">
        <f t="shared" si="25"/>
        <v>0.9984280984852083</v>
      </c>
      <c r="AH109" s="194"/>
      <c r="AI109" s="156"/>
    </row>
    <row r="110" spans="1:35" x14ac:dyDescent="0.25">
      <c r="A110" s="96"/>
      <c r="B110" s="85"/>
      <c r="C110" s="86"/>
      <c r="D110" s="86"/>
      <c r="E110" s="87"/>
      <c r="F110" s="86"/>
      <c r="G110" s="88"/>
      <c r="H110" s="88"/>
      <c r="I110" s="88"/>
      <c r="J110" s="88"/>
      <c r="K110" s="88"/>
      <c r="L110" s="80"/>
      <c r="M110" s="88"/>
      <c r="N110" s="80"/>
      <c r="O110" s="89"/>
      <c r="P110" s="88"/>
      <c r="Q110" s="90"/>
      <c r="R110" s="94"/>
      <c r="S110" s="94"/>
      <c r="T110" s="94"/>
      <c r="U110" s="94"/>
      <c r="V110" s="94"/>
      <c r="W110" s="94"/>
      <c r="X110" s="283" t="s">
        <v>232</v>
      </c>
      <c r="Y110" s="202" t="s">
        <v>65</v>
      </c>
      <c r="Z110" s="1" t="s">
        <v>31</v>
      </c>
      <c r="AA110" s="529">
        <v>13</v>
      </c>
      <c r="AB110" s="306" t="s">
        <v>233</v>
      </c>
      <c r="AC110" s="309"/>
      <c r="AD110" s="168">
        <f>AD112</f>
        <v>144.19999999999999</v>
      </c>
      <c r="AE110" s="168">
        <f>AE112</f>
        <v>144.19999999999999</v>
      </c>
      <c r="AF110" s="168">
        <f>AF112</f>
        <v>144.19999999999999</v>
      </c>
      <c r="AG110" s="575">
        <f t="shared" si="25"/>
        <v>1</v>
      </c>
      <c r="AH110" s="194"/>
      <c r="AI110" s="156"/>
    </row>
    <row r="111" spans="1:35" x14ac:dyDescent="0.25">
      <c r="A111" s="96"/>
      <c r="B111" s="85"/>
      <c r="C111" s="86"/>
      <c r="D111" s="86"/>
      <c r="E111" s="87"/>
      <c r="F111" s="86"/>
      <c r="G111" s="88"/>
      <c r="H111" s="88"/>
      <c r="I111" s="88"/>
      <c r="J111" s="88"/>
      <c r="K111" s="88"/>
      <c r="L111" s="80"/>
      <c r="M111" s="88"/>
      <c r="N111" s="80"/>
      <c r="O111" s="89"/>
      <c r="P111" s="88"/>
      <c r="Q111" s="90"/>
      <c r="R111" s="94"/>
      <c r="S111" s="94"/>
      <c r="T111" s="94"/>
      <c r="U111" s="94"/>
      <c r="V111" s="94"/>
      <c r="W111" s="94"/>
      <c r="X111" s="278" t="s">
        <v>44</v>
      </c>
      <c r="Y111" s="11" t="s">
        <v>65</v>
      </c>
      <c r="Z111" s="1" t="s">
        <v>31</v>
      </c>
      <c r="AA111" s="529">
        <v>13</v>
      </c>
      <c r="AB111" s="306" t="s">
        <v>233</v>
      </c>
      <c r="AC111" s="309">
        <v>800</v>
      </c>
      <c r="AD111" s="168">
        <f>AD112</f>
        <v>144.19999999999999</v>
      </c>
      <c r="AE111" s="168">
        <f>AE112</f>
        <v>144.19999999999999</v>
      </c>
      <c r="AF111" s="168">
        <f>AF112</f>
        <v>144.19999999999999</v>
      </c>
      <c r="AG111" s="575">
        <f t="shared" si="25"/>
        <v>1</v>
      </c>
      <c r="AH111" s="194"/>
      <c r="AI111" s="156"/>
    </row>
    <row r="112" spans="1:35" x14ac:dyDescent="0.25">
      <c r="A112" s="97"/>
      <c r="B112" s="85"/>
      <c r="C112" s="86"/>
      <c r="D112" s="86"/>
      <c r="E112" s="87"/>
      <c r="F112" s="86"/>
      <c r="G112" s="88"/>
      <c r="H112" s="47"/>
      <c r="I112" s="98"/>
      <c r="J112" s="98"/>
      <c r="K112" s="98"/>
      <c r="L112" s="80"/>
      <c r="M112" s="98"/>
      <c r="N112" s="80"/>
      <c r="O112" s="89"/>
      <c r="P112" s="88"/>
      <c r="Q112" s="90"/>
      <c r="R112" s="91"/>
      <c r="S112" s="94"/>
      <c r="T112" s="94"/>
      <c r="U112" s="94"/>
      <c r="V112" s="94"/>
      <c r="X112" s="278" t="s">
        <v>60</v>
      </c>
      <c r="Y112" s="11" t="s">
        <v>65</v>
      </c>
      <c r="Z112" s="1" t="s">
        <v>31</v>
      </c>
      <c r="AA112" s="529">
        <v>13</v>
      </c>
      <c r="AB112" s="306" t="s">
        <v>233</v>
      </c>
      <c r="AC112" s="309">
        <v>850</v>
      </c>
      <c r="AD112" s="168">
        <f>144+0.2</f>
        <v>144.19999999999999</v>
      </c>
      <c r="AE112" s="168">
        <f>144+0.2</f>
        <v>144.19999999999999</v>
      </c>
      <c r="AF112" s="168">
        <v>144.19999999999999</v>
      </c>
      <c r="AG112" s="575">
        <f t="shared" si="25"/>
        <v>1</v>
      </c>
      <c r="AH112" s="194"/>
      <c r="AI112" s="156"/>
    </row>
    <row r="113" spans="1:35" ht="30.6" customHeight="1" x14ac:dyDescent="0.25">
      <c r="A113" s="100"/>
      <c r="B113" s="85"/>
      <c r="C113" s="86"/>
      <c r="D113" s="86"/>
      <c r="E113" s="87"/>
      <c r="F113" s="86"/>
      <c r="G113" s="86"/>
      <c r="H113" s="101"/>
      <c r="I113" s="98"/>
      <c r="J113" s="98"/>
      <c r="K113" s="98"/>
      <c r="L113" s="80"/>
      <c r="M113" s="98"/>
      <c r="N113" s="80"/>
      <c r="O113" s="89"/>
      <c r="P113" s="48"/>
      <c r="Q113" s="90"/>
      <c r="R113" s="91"/>
      <c r="S113" s="94"/>
      <c r="T113" s="94"/>
      <c r="U113" s="94"/>
      <c r="V113" s="94"/>
      <c r="X113" s="283" t="s">
        <v>645</v>
      </c>
      <c r="Y113" s="11" t="s">
        <v>65</v>
      </c>
      <c r="Z113" s="1" t="s">
        <v>31</v>
      </c>
      <c r="AA113" s="529">
        <v>13</v>
      </c>
      <c r="AB113" s="306" t="s">
        <v>644</v>
      </c>
      <c r="AC113" s="309"/>
      <c r="AD113" s="168">
        <f>AD114+AD116</f>
        <v>12211.5</v>
      </c>
      <c r="AE113" s="168">
        <f>AE114+AE116</f>
        <v>12211.5</v>
      </c>
      <c r="AF113" s="168">
        <f>AF114+AF116</f>
        <v>12150.9</v>
      </c>
      <c r="AG113" s="575">
        <f t="shared" si="25"/>
        <v>0.99503746468492815</v>
      </c>
      <c r="AH113" s="194"/>
      <c r="AI113" s="156"/>
    </row>
    <row r="114" spans="1:35" ht="47.25" x14ac:dyDescent="0.25">
      <c r="A114" s="100"/>
      <c r="B114" s="85"/>
      <c r="C114" s="86"/>
      <c r="D114" s="86"/>
      <c r="E114" s="87"/>
      <c r="F114" s="86"/>
      <c r="G114" s="86"/>
      <c r="H114" s="101"/>
      <c r="I114" s="98"/>
      <c r="J114" s="98"/>
      <c r="K114" s="98"/>
      <c r="L114" s="80"/>
      <c r="M114" s="98"/>
      <c r="N114" s="80"/>
      <c r="O114" s="89"/>
      <c r="P114" s="48"/>
      <c r="Q114" s="90"/>
      <c r="R114" s="91"/>
      <c r="S114" s="94"/>
      <c r="T114" s="94"/>
      <c r="U114" s="94"/>
      <c r="V114" s="94"/>
      <c r="X114" s="278" t="s">
        <v>43</v>
      </c>
      <c r="Y114" s="11" t="s">
        <v>65</v>
      </c>
      <c r="Z114" s="1" t="s">
        <v>31</v>
      </c>
      <c r="AA114" s="529">
        <v>13</v>
      </c>
      <c r="AB114" s="306" t="s">
        <v>644</v>
      </c>
      <c r="AC114" s="317" t="s">
        <v>129</v>
      </c>
      <c r="AD114" s="168">
        <f>AD115</f>
        <v>11578.2</v>
      </c>
      <c r="AE114" s="168">
        <f>AE115</f>
        <v>11578.2</v>
      </c>
      <c r="AF114" s="168">
        <f>AF115</f>
        <v>11577.3</v>
      </c>
      <c r="AG114" s="575">
        <f t="shared" si="25"/>
        <v>0.99992226771000658</v>
      </c>
      <c r="AH114" s="194"/>
      <c r="AI114" s="156"/>
    </row>
    <row r="115" spans="1:35" x14ac:dyDescent="0.25">
      <c r="A115" s="100"/>
      <c r="B115" s="85"/>
      <c r="C115" s="86"/>
      <c r="D115" s="86"/>
      <c r="E115" s="87"/>
      <c r="F115" s="86"/>
      <c r="G115" s="86"/>
      <c r="H115" s="101"/>
      <c r="I115" s="98"/>
      <c r="J115" s="98"/>
      <c r="K115" s="98"/>
      <c r="L115" s="80"/>
      <c r="M115" s="98"/>
      <c r="N115" s="80"/>
      <c r="O115" s="89"/>
      <c r="P115" s="48"/>
      <c r="Q115" s="90"/>
      <c r="R115" s="91"/>
      <c r="S115" s="94"/>
      <c r="T115" s="94"/>
      <c r="U115" s="94"/>
      <c r="V115" s="94"/>
      <c r="X115" s="278" t="s">
        <v>70</v>
      </c>
      <c r="Y115" s="11" t="s">
        <v>65</v>
      </c>
      <c r="Z115" s="1" t="s">
        <v>31</v>
      </c>
      <c r="AA115" s="529">
        <v>13</v>
      </c>
      <c r="AB115" s="306" t="s">
        <v>644</v>
      </c>
      <c r="AC115" s="317" t="s">
        <v>130</v>
      </c>
      <c r="AD115" s="168">
        <f>11391.2+187</f>
        <v>11578.2</v>
      </c>
      <c r="AE115" s="168">
        <f>11391.2+187</f>
        <v>11578.2</v>
      </c>
      <c r="AF115" s="168">
        <v>11577.3</v>
      </c>
      <c r="AG115" s="575">
        <f t="shared" si="25"/>
        <v>0.99992226771000658</v>
      </c>
      <c r="AH115" s="194"/>
      <c r="AI115" s="156"/>
    </row>
    <row r="116" spans="1:35" x14ac:dyDescent="0.25">
      <c r="A116" s="100"/>
      <c r="B116" s="85"/>
      <c r="C116" s="86"/>
      <c r="D116" s="86"/>
      <c r="E116" s="87"/>
      <c r="F116" s="86"/>
      <c r="G116" s="86"/>
      <c r="H116" s="101"/>
      <c r="I116" s="98"/>
      <c r="J116" s="98"/>
      <c r="K116" s="98"/>
      <c r="L116" s="80"/>
      <c r="M116" s="98"/>
      <c r="N116" s="80"/>
      <c r="O116" s="89"/>
      <c r="P116" s="48"/>
      <c r="Q116" s="90"/>
      <c r="R116" s="91"/>
      <c r="S116" s="94"/>
      <c r="T116" s="94"/>
      <c r="U116" s="94"/>
      <c r="V116" s="94"/>
      <c r="X116" s="278" t="s">
        <v>123</v>
      </c>
      <c r="Y116" s="11" t="s">
        <v>65</v>
      </c>
      <c r="Z116" s="1" t="s">
        <v>31</v>
      </c>
      <c r="AA116" s="529">
        <v>13</v>
      </c>
      <c r="AB116" s="306" t="s">
        <v>644</v>
      </c>
      <c r="AC116" s="317" t="s">
        <v>39</v>
      </c>
      <c r="AD116" s="168">
        <f>AD117</f>
        <v>633.29999999999995</v>
      </c>
      <c r="AE116" s="168">
        <f>AE117</f>
        <v>633.29999999999995</v>
      </c>
      <c r="AF116" s="168">
        <f>AF117</f>
        <v>573.6</v>
      </c>
      <c r="AG116" s="575">
        <f t="shared" si="25"/>
        <v>0.90573188062529619</v>
      </c>
      <c r="AH116" s="194"/>
      <c r="AI116" s="156"/>
    </row>
    <row r="117" spans="1:35" ht="31.5" x14ac:dyDescent="0.25">
      <c r="A117" s="100"/>
      <c r="B117" s="85"/>
      <c r="C117" s="86"/>
      <c r="D117" s="86"/>
      <c r="E117" s="87"/>
      <c r="F117" s="86"/>
      <c r="G117" s="86"/>
      <c r="H117" s="101"/>
      <c r="I117" s="98"/>
      <c r="J117" s="98"/>
      <c r="K117" s="98"/>
      <c r="L117" s="80"/>
      <c r="M117" s="98"/>
      <c r="N117" s="80"/>
      <c r="O117" s="89"/>
      <c r="P117" s="48"/>
      <c r="Q117" s="90"/>
      <c r="R117" s="91"/>
      <c r="S117" s="94"/>
      <c r="T117" s="94"/>
      <c r="U117" s="94"/>
      <c r="V117" s="94"/>
      <c r="X117" s="278" t="s">
        <v>54</v>
      </c>
      <c r="Y117" s="11" t="s">
        <v>65</v>
      </c>
      <c r="Z117" s="1" t="s">
        <v>31</v>
      </c>
      <c r="AA117" s="529">
        <v>13</v>
      </c>
      <c r="AB117" s="306" t="s">
        <v>644</v>
      </c>
      <c r="AC117" s="317" t="s">
        <v>67</v>
      </c>
      <c r="AD117" s="168">
        <f>806.6-40.7+54.4-187</f>
        <v>633.29999999999995</v>
      </c>
      <c r="AE117" s="168">
        <f>806.6-40.7+54.4-187</f>
        <v>633.29999999999995</v>
      </c>
      <c r="AF117" s="168">
        <v>573.6</v>
      </c>
      <c r="AG117" s="575">
        <f t="shared" si="25"/>
        <v>0.90573188062529619</v>
      </c>
      <c r="AH117" s="194"/>
      <c r="AI117" s="156"/>
    </row>
    <row r="118" spans="1:35" ht="31.5" x14ac:dyDescent="0.25">
      <c r="A118" s="100"/>
      <c r="B118" s="85"/>
      <c r="C118" s="86"/>
      <c r="D118" s="86"/>
      <c r="E118" s="87"/>
      <c r="F118" s="86"/>
      <c r="G118" s="86"/>
      <c r="H118" s="101"/>
      <c r="I118" s="98"/>
      <c r="J118" s="98"/>
      <c r="K118" s="98"/>
      <c r="L118" s="80"/>
      <c r="M118" s="98"/>
      <c r="N118" s="80"/>
      <c r="O118" s="89"/>
      <c r="P118" s="48"/>
      <c r="Q118" s="90"/>
      <c r="R118" s="91"/>
      <c r="S118" s="94"/>
      <c r="T118" s="94"/>
      <c r="U118" s="94"/>
      <c r="V118" s="94"/>
      <c r="X118" s="283" t="s">
        <v>212</v>
      </c>
      <c r="Y118" s="11" t="s">
        <v>65</v>
      </c>
      <c r="Z118" s="1" t="s">
        <v>31</v>
      </c>
      <c r="AA118" s="529">
        <v>13</v>
      </c>
      <c r="AB118" s="306" t="s">
        <v>213</v>
      </c>
      <c r="AC118" s="309"/>
      <c r="AD118" s="168">
        <f>AD119+AD126</f>
        <v>78171.600000000006</v>
      </c>
      <c r="AE118" s="168">
        <f>AE119+AE126</f>
        <v>78171.600000000006</v>
      </c>
      <c r="AF118" s="168">
        <f>AF119+AF126</f>
        <v>78089.899999999994</v>
      </c>
      <c r="AG118" s="575">
        <f t="shared" si="25"/>
        <v>0.99895486340307715</v>
      </c>
      <c r="AH118" s="194"/>
      <c r="AI118" s="156"/>
    </row>
    <row r="119" spans="1:35" ht="47.25" x14ac:dyDescent="0.25">
      <c r="A119" s="100"/>
      <c r="B119" s="85"/>
      <c r="C119" s="86"/>
      <c r="D119" s="86"/>
      <c r="E119" s="87"/>
      <c r="F119" s="86"/>
      <c r="G119" s="86"/>
      <c r="H119" s="101"/>
      <c r="I119" s="98"/>
      <c r="J119" s="98"/>
      <c r="K119" s="98"/>
      <c r="L119" s="80"/>
      <c r="M119" s="98"/>
      <c r="N119" s="80"/>
      <c r="O119" s="89"/>
      <c r="P119" s="48"/>
      <c r="Q119" s="90"/>
      <c r="R119" s="91"/>
      <c r="S119" s="94"/>
      <c r="T119" s="94"/>
      <c r="U119" s="94"/>
      <c r="V119" s="94"/>
      <c r="X119" s="278" t="s">
        <v>228</v>
      </c>
      <c r="Y119" s="11" t="s">
        <v>65</v>
      </c>
      <c r="Z119" s="1" t="s">
        <v>31</v>
      </c>
      <c r="AA119" s="529">
        <v>13</v>
      </c>
      <c r="AB119" s="306" t="s">
        <v>229</v>
      </c>
      <c r="AC119" s="317"/>
      <c r="AD119" s="168">
        <f>AD120+AD122+AD124</f>
        <v>65230</v>
      </c>
      <c r="AE119" s="168">
        <f>AE120+AE122+AE124</f>
        <v>65230</v>
      </c>
      <c r="AF119" s="168">
        <f>AF120+AF122+AF124</f>
        <v>65197.9</v>
      </c>
      <c r="AG119" s="575">
        <f t="shared" si="25"/>
        <v>0.99950789514027294</v>
      </c>
      <c r="AH119" s="194"/>
      <c r="AI119" s="156"/>
    </row>
    <row r="120" spans="1:35" ht="47.25" x14ac:dyDescent="0.25">
      <c r="A120" s="100"/>
      <c r="B120" s="85"/>
      <c r="C120" s="86"/>
      <c r="D120" s="86"/>
      <c r="E120" s="87"/>
      <c r="F120" s="86"/>
      <c r="G120" s="86"/>
      <c r="H120" s="101"/>
      <c r="I120" s="98"/>
      <c r="J120" s="98"/>
      <c r="K120" s="98"/>
      <c r="L120" s="80"/>
      <c r="M120" s="98"/>
      <c r="N120" s="80"/>
      <c r="O120" s="89"/>
      <c r="P120" s="48"/>
      <c r="Q120" s="90"/>
      <c r="R120" s="91"/>
      <c r="S120" s="94"/>
      <c r="T120" s="94"/>
      <c r="U120" s="94"/>
      <c r="V120" s="94"/>
      <c r="X120" s="278" t="s">
        <v>43</v>
      </c>
      <c r="Y120" s="11" t="s">
        <v>65</v>
      </c>
      <c r="Z120" s="1" t="s">
        <v>31</v>
      </c>
      <c r="AA120" s="529">
        <v>13</v>
      </c>
      <c r="AB120" s="306" t="s">
        <v>229</v>
      </c>
      <c r="AC120" s="317" t="s">
        <v>129</v>
      </c>
      <c r="AD120" s="168">
        <f>AD121</f>
        <v>64779</v>
      </c>
      <c r="AE120" s="168">
        <f>AE121</f>
        <v>64774.1</v>
      </c>
      <c r="AF120" s="168">
        <f>AF121</f>
        <v>64742</v>
      </c>
      <c r="AG120" s="575">
        <f t="shared" si="25"/>
        <v>0.99950443155520496</v>
      </c>
      <c r="AH120" s="194"/>
      <c r="AI120" s="156"/>
    </row>
    <row r="121" spans="1:35" x14ac:dyDescent="0.25">
      <c r="A121" s="100"/>
      <c r="B121" s="85"/>
      <c r="C121" s="86"/>
      <c r="D121" s="86"/>
      <c r="E121" s="87"/>
      <c r="F121" s="86"/>
      <c r="G121" s="86"/>
      <c r="H121" s="101"/>
      <c r="I121" s="98"/>
      <c r="J121" s="98"/>
      <c r="K121" s="98"/>
      <c r="L121" s="80"/>
      <c r="M121" s="98"/>
      <c r="N121" s="80"/>
      <c r="O121" s="89"/>
      <c r="P121" s="48"/>
      <c r="Q121" s="90"/>
      <c r="R121" s="91"/>
      <c r="S121" s="94"/>
      <c r="T121" s="94"/>
      <c r="U121" s="94"/>
      <c r="V121" s="94"/>
      <c r="X121" s="278" t="s">
        <v>70</v>
      </c>
      <c r="Y121" s="11" t="s">
        <v>65</v>
      </c>
      <c r="Z121" s="1" t="s">
        <v>31</v>
      </c>
      <c r="AA121" s="529">
        <v>13</v>
      </c>
      <c r="AB121" s="306" t="s">
        <v>229</v>
      </c>
      <c r="AC121" s="317" t="s">
        <v>130</v>
      </c>
      <c r="AD121" s="168">
        <f>54604.1-2.2+2000+219.7+869-200+7288.4</f>
        <v>64779</v>
      </c>
      <c r="AE121" s="168">
        <v>64774.1</v>
      </c>
      <c r="AF121" s="168">
        <v>64742</v>
      </c>
      <c r="AG121" s="575">
        <f t="shared" si="25"/>
        <v>0.99950443155520496</v>
      </c>
      <c r="AH121" s="194"/>
      <c r="AI121" s="156"/>
    </row>
    <row r="122" spans="1:35" x14ac:dyDescent="0.25">
      <c r="A122" s="100"/>
      <c r="B122" s="85"/>
      <c r="C122" s="86"/>
      <c r="D122" s="86"/>
      <c r="E122" s="87"/>
      <c r="F122" s="86"/>
      <c r="G122" s="86"/>
      <c r="H122" s="101"/>
      <c r="I122" s="98"/>
      <c r="J122" s="98"/>
      <c r="K122" s="98"/>
      <c r="L122" s="80"/>
      <c r="M122" s="98"/>
      <c r="N122" s="80"/>
      <c r="O122" s="89"/>
      <c r="P122" s="48"/>
      <c r="Q122" s="90"/>
      <c r="R122" s="91"/>
      <c r="S122" s="94"/>
      <c r="T122" s="94"/>
      <c r="U122" s="94"/>
      <c r="V122" s="94"/>
      <c r="X122" s="278" t="s">
        <v>123</v>
      </c>
      <c r="Y122" s="11" t="s">
        <v>65</v>
      </c>
      <c r="Z122" s="1" t="s">
        <v>31</v>
      </c>
      <c r="AA122" s="529">
        <v>13</v>
      </c>
      <c r="AB122" s="306" t="s">
        <v>229</v>
      </c>
      <c r="AC122" s="317" t="s">
        <v>39</v>
      </c>
      <c r="AD122" s="168">
        <f>AD123</f>
        <v>448.8</v>
      </c>
      <c r="AE122" s="168">
        <f>AE123</f>
        <v>448.8</v>
      </c>
      <c r="AF122" s="168">
        <f>AF123</f>
        <v>448.8</v>
      </c>
      <c r="AG122" s="575">
        <f t="shared" si="25"/>
        <v>1</v>
      </c>
      <c r="AH122" s="194"/>
      <c r="AI122" s="156"/>
    </row>
    <row r="123" spans="1:35" ht="31.5" x14ac:dyDescent="0.25">
      <c r="A123" s="100"/>
      <c r="B123" s="85"/>
      <c r="C123" s="86"/>
      <c r="D123" s="86"/>
      <c r="E123" s="87"/>
      <c r="F123" s="86"/>
      <c r="G123" s="86"/>
      <c r="H123" s="101"/>
      <c r="I123" s="98"/>
      <c r="J123" s="98"/>
      <c r="K123" s="98"/>
      <c r="L123" s="80"/>
      <c r="M123" s="98"/>
      <c r="N123" s="80"/>
      <c r="O123" s="89"/>
      <c r="P123" s="48"/>
      <c r="Q123" s="90"/>
      <c r="R123" s="91"/>
      <c r="S123" s="94"/>
      <c r="T123" s="94"/>
      <c r="U123" s="94"/>
      <c r="V123" s="94"/>
      <c r="X123" s="278" t="s">
        <v>54</v>
      </c>
      <c r="Y123" s="11" t="s">
        <v>65</v>
      </c>
      <c r="Z123" s="1" t="s">
        <v>31</v>
      </c>
      <c r="AA123" s="529">
        <v>13</v>
      </c>
      <c r="AB123" s="306" t="s">
        <v>229</v>
      </c>
      <c r="AC123" s="317" t="s">
        <v>67</v>
      </c>
      <c r="AD123" s="168">
        <f>668.5-219.7</f>
        <v>448.8</v>
      </c>
      <c r="AE123" s="168">
        <f>668.5-219.7</f>
        <v>448.8</v>
      </c>
      <c r="AF123" s="168">
        <v>448.8</v>
      </c>
      <c r="AG123" s="575">
        <f t="shared" si="25"/>
        <v>1</v>
      </c>
      <c r="AH123" s="194"/>
      <c r="AI123" s="156"/>
    </row>
    <row r="124" spans="1:35" x14ac:dyDescent="0.25">
      <c r="A124" s="100"/>
      <c r="B124" s="85"/>
      <c r="C124" s="86"/>
      <c r="D124" s="86"/>
      <c r="E124" s="87"/>
      <c r="F124" s="86"/>
      <c r="G124" s="86"/>
      <c r="H124" s="101"/>
      <c r="I124" s="98"/>
      <c r="J124" s="98"/>
      <c r="K124" s="98"/>
      <c r="L124" s="80"/>
      <c r="M124" s="98"/>
      <c r="N124" s="80"/>
      <c r="O124" s="89"/>
      <c r="P124" s="48"/>
      <c r="Q124" s="90"/>
      <c r="R124" s="91"/>
      <c r="S124" s="94"/>
      <c r="T124" s="94"/>
      <c r="U124" s="94"/>
      <c r="V124" s="94"/>
      <c r="X124" s="278" t="s">
        <v>44</v>
      </c>
      <c r="Y124" s="11" t="s">
        <v>65</v>
      </c>
      <c r="Z124" s="1" t="s">
        <v>31</v>
      </c>
      <c r="AA124" s="529">
        <v>13</v>
      </c>
      <c r="AB124" s="306" t="s">
        <v>229</v>
      </c>
      <c r="AC124" s="317" t="s">
        <v>373</v>
      </c>
      <c r="AD124" s="168">
        <f>AD125</f>
        <v>2.2000000000000002</v>
      </c>
      <c r="AE124" s="168">
        <f>AE125</f>
        <v>7.1</v>
      </c>
      <c r="AF124" s="168">
        <f t="shared" ref="AF124" si="42">AF125</f>
        <v>7.1</v>
      </c>
      <c r="AG124" s="575">
        <f t="shared" si="25"/>
        <v>1</v>
      </c>
      <c r="AH124" s="194"/>
      <c r="AI124" s="156"/>
    </row>
    <row r="125" spans="1:35" x14ac:dyDescent="0.25">
      <c r="A125" s="100"/>
      <c r="B125" s="85"/>
      <c r="C125" s="86"/>
      <c r="D125" s="86"/>
      <c r="E125" s="87"/>
      <c r="F125" s="86"/>
      <c r="G125" s="86"/>
      <c r="H125" s="101"/>
      <c r="I125" s="98"/>
      <c r="J125" s="98"/>
      <c r="K125" s="98"/>
      <c r="L125" s="80"/>
      <c r="M125" s="98"/>
      <c r="N125" s="80"/>
      <c r="O125" s="89"/>
      <c r="P125" s="48"/>
      <c r="Q125" s="90"/>
      <c r="R125" s="91"/>
      <c r="S125" s="94"/>
      <c r="T125" s="94"/>
      <c r="U125" s="94"/>
      <c r="V125" s="94"/>
      <c r="X125" s="278" t="s">
        <v>60</v>
      </c>
      <c r="Y125" s="11" t="s">
        <v>65</v>
      </c>
      <c r="Z125" s="1" t="s">
        <v>31</v>
      </c>
      <c r="AA125" s="529">
        <v>13</v>
      </c>
      <c r="AB125" s="306" t="s">
        <v>229</v>
      </c>
      <c r="AC125" s="317" t="s">
        <v>472</v>
      </c>
      <c r="AD125" s="168">
        <v>2.2000000000000002</v>
      </c>
      <c r="AE125" s="168">
        <v>7.1</v>
      </c>
      <c r="AF125" s="168">
        <v>7.1</v>
      </c>
      <c r="AG125" s="575">
        <f t="shared" si="25"/>
        <v>1</v>
      </c>
      <c r="AH125" s="194"/>
      <c r="AI125" s="156"/>
    </row>
    <row r="126" spans="1:35" ht="47.25" x14ac:dyDescent="0.25">
      <c r="A126" s="100"/>
      <c r="B126" s="85"/>
      <c r="C126" s="86"/>
      <c r="D126" s="86"/>
      <c r="E126" s="87"/>
      <c r="F126" s="86"/>
      <c r="G126" s="86"/>
      <c r="H126" s="101"/>
      <c r="I126" s="98"/>
      <c r="J126" s="98"/>
      <c r="K126" s="98"/>
      <c r="L126" s="80"/>
      <c r="M126" s="98"/>
      <c r="N126" s="80"/>
      <c r="O126" s="89"/>
      <c r="P126" s="48"/>
      <c r="Q126" s="90"/>
      <c r="R126" s="91"/>
      <c r="S126" s="94"/>
      <c r="T126" s="94"/>
      <c r="U126" s="94"/>
      <c r="V126" s="94"/>
      <c r="X126" s="278" t="s">
        <v>419</v>
      </c>
      <c r="Y126" s="11" t="s">
        <v>65</v>
      </c>
      <c r="Z126" s="1" t="s">
        <v>31</v>
      </c>
      <c r="AA126" s="529">
        <v>13</v>
      </c>
      <c r="AB126" s="306" t="s">
        <v>420</v>
      </c>
      <c r="AC126" s="330"/>
      <c r="AD126" s="168">
        <f>AD127+AD129+AD131</f>
        <v>12941.6</v>
      </c>
      <c r="AE126" s="168">
        <f>AE127+AE129+AE131</f>
        <v>12941.6</v>
      </c>
      <c r="AF126" s="168">
        <f>AF127+AF129+AF131</f>
        <v>12892</v>
      </c>
      <c r="AG126" s="575">
        <f t="shared" si="25"/>
        <v>0.99616739815787847</v>
      </c>
      <c r="AH126" s="194"/>
      <c r="AI126" s="156"/>
    </row>
    <row r="127" spans="1:35" ht="47.25" x14ac:dyDescent="0.25">
      <c r="A127" s="100"/>
      <c r="B127" s="85"/>
      <c r="C127" s="86"/>
      <c r="D127" s="86"/>
      <c r="E127" s="87"/>
      <c r="F127" s="86"/>
      <c r="G127" s="86"/>
      <c r="H127" s="101"/>
      <c r="I127" s="98"/>
      <c r="J127" s="98"/>
      <c r="K127" s="98"/>
      <c r="L127" s="80"/>
      <c r="M127" s="98"/>
      <c r="N127" s="80"/>
      <c r="O127" s="89"/>
      <c r="P127" s="48"/>
      <c r="Q127" s="90"/>
      <c r="R127" s="91"/>
      <c r="S127" s="94"/>
      <c r="T127" s="94"/>
      <c r="U127" s="94"/>
      <c r="V127" s="94"/>
      <c r="X127" s="278" t="s">
        <v>43</v>
      </c>
      <c r="Y127" s="11" t="s">
        <v>65</v>
      </c>
      <c r="Z127" s="1" t="s">
        <v>31</v>
      </c>
      <c r="AA127" s="529">
        <v>13</v>
      </c>
      <c r="AB127" s="306" t="s">
        <v>420</v>
      </c>
      <c r="AC127" s="317" t="s">
        <v>129</v>
      </c>
      <c r="AD127" s="168">
        <f>AD128</f>
        <v>12334.7</v>
      </c>
      <c r="AE127" s="168">
        <f>AE128</f>
        <v>12334.7</v>
      </c>
      <c r="AF127" s="168">
        <f>AF128</f>
        <v>12333.4</v>
      </c>
      <c r="AG127" s="575">
        <f t="shared" si="25"/>
        <v>0.9998946062733588</v>
      </c>
      <c r="AH127" s="194"/>
      <c r="AI127" s="156"/>
    </row>
    <row r="128" spans="1:35" x14ac:dyDescent="0.25">
      <c r="A128" s="100"/>
      <c r="B128" s="85"/>
      <c r="C128" s="86"/>
      <c r="D128" s="86"/>
      <c r="E128" s="87"/>
      <c r="F128" s="86"/>
      <c r="G128" s="86"/>
      <c r="H128" s="101"/>
      <c r="I128" s="98"/>
      <c r="J128" s="98"/>
      <c r="K128" s="98"/>
      <c r="L128" s="80"/>
      <c r="M128" s="98"/>
      <c r="N128" s="80"/>
      <c r="O128" s="89"/>
      <c r="P128" s="48"/>
      <c r="Q128" s="90"/>
      <c r="R128" s="91"/>
      <c r="S128" s="94"/>
      <c r="T128" s="94"/>
      <c r="U128" s="94"/>
      <c r="V128" s="94"/>
      <c r="X128" s="278" t="s">
        <v>70</v>
      </c>
      <c r="Y128" s="11" t="s">
        <v>65</v>
      </c>
      <c r="Z128" s="1" t="s">
        <v>31</v>
      </c>
      <c r="AA128" s="529">
        <v>13</v>
      </c>
      <c r="AB128" s="306" t="s">
        <v>420</v>
      </c>
      <c r="AC128" s="317" t="s">
        <v>130</v>
      </c>
      <c r="AD128" s="168">
        <f>6057.3+5828.4+449</f>
        <v>12334.7</v>
      </c>
      <c r="AE128" s="168">
        <f>6057.3+5828.4+449</f>
        <v>12334.7</v>
      </c>
      <c r="AF128" s="168">
        <v>12333.4</v>
      </c>
      <c r="AG128" s="575">
        <f t="shared" si="25"/>
        <v>0.9998946062733588</v>
      </c>
      <c r="AH128" s="194"/>
      <c r="AI128" s="156"/>
    </row>
    <row r="129" spans="1:35" x14ac:dyDescent="0.25">
      <c r="A129" s="100"/>
      <c r="B129" s="85"/>
      <c r="C129" s="86"/>
      <c r="D129" s="86"/>
      <c r="E129" s="87"/>
      <c r="F129" s="86"/>
      <c r="G129" s="86"/>
      <c r="H129" s="101"/>
      <c r="I129" s="98"/>
      <c r="J129" s="98"/>
      <c r="K129" s="98"/>
      <c r="L129" s="80"/>
      <c r="M129" s="98"/>
      <c r="N129" s="80"/>
      <c r="O129" s="89"/>
      <c r="P129" s="48"/>
      <c r="Q129" s="90"/>
      <c r="R129" s="91"/>
      <c r="S129" s="94"/>
      <c r="T129" s="94"/>
      <c r="U129" s="94"/>
      <c r="V129" s="94"/>
      <c r="X129" s="278" t="s">
        <v>123</v>
      </c>
      <c r="Y129" s="11" t="s">
        <v>65</v>
      </c>
      <c r="Z129" s="1" t="s">
        <v>31</v>
      </c>
      <c r="AA129" s="529">
        <v>13</v>
      </c>
      <c r="AB129" s="306" t="s">
        <v>420</v>
      </c>
      <c r="AC129" s="317" t="s">
        <v>39</v>
      </c>
      <c r="AD129" s="168">
        <f>AD130</f>
        <v>556.9</v>
      </c>
      <c r="AE129" s="168">
        <f>AE130</f>
        <v>556.9</v>
      </c>
      <c r="AF129" s="168">
        <f>AF130</f>
        <v>508.6</v>
      </c>
      <c r="AG129" s="575">
        <f t="shared" si="25"/>
        <v>0.91326988687376554</v>
      </c>
      <c r="AH129" s="194"/>
      <c r="AI129" s="156"/>
    </row>
    <row r="130" spans="1:35" ht="31.5" x14ac:dyDescent="0.25">
      <c r="A130" s="100"/>
      <c r="B130" s="85"/>
      <c r="C130" s="86"/>
      <c r="D130" s="86"/>
      <c r="E130" s="87"/>
      <c r="F130" s="86"/>
      <c r="G130" s="86"/>
      <c r="H130" s="101"/>
      <c r="I130" s="98"/>
      <c r="J130" s="98"/>
      <c r="K130" s="98"/>
      <c r="L130" s="80"/>
      <c r="M130" s="98"/>
      <c r="N130" s="80"/>
      <c r="O130" s="89"/>
      <c r="P130" s="48"/>
      <c r="Q130" s="90"/>
      <c r="R130" s="91"/>
      <c r="S130" s="94"/>
      <c r="T130" s="94"/>
      <c r="U130" s="94"/>
      <c r="V130" s="94"/>
      <c r="X130" s="278" t="s">
        <v>54</v>
      </c>
      <c r="Y130" s="11" t="s">
        <v>65</v>
      </c>
      <c r="Z130" s="1" t="s">
        <v>31</v>
      </c>
      <c r="AA130" s="529">
        <v>13</v>
      </c>
      <c r="AB130" s="306" t="s">
        <v>420</v>
      </c>
      <c r="AC130" s="317" t="s">
        <v>67</v>
      </c>
      <c r="AD130" s="168">
        <f>606.9-50</f>
        <v>556.9</v>
      </c>
      <c r="AE130" s="168">
        <f>606.9-50</f>
        <v>556.9</v>
      </c>
      <c r="AF130" s="168">
        <v>508.6</v>
      </c>
      <c r="AG130" s="575">
        <f t="shared" si="25"/>
        <v>0.91326988687376554</v>
      </c>
      <c r="AH130" s="194"/>
      <c r="AI130" s="156"/>
    </row>
    <row r="131" spans="1:35" x14ac:dyDescent="0.25">
      <c r="A131" s="100"/>
      <c r="B131" s="85"/>
      <c r="C131" s="86"/>
      <c r="D131" s="86"/>
      <c r="E131" s="87"/>
      <c r="F131" s="86"/>
      <c r="G131" s="86"/>
      <c r="H131" s="101"/>
      <c r="I131" s="98"/>
      <c r="J131" s="98"/>
      <c r="K131" s="98"/>
      <c r="L131" s="80"/>
      <c r="M131" s="98"/>
      <c r="N131" s="80"/>
      <c r="O131" s="89"/>
      <c r="P131" s="48"/>
      <c r="Q131" s="90"/>
      <c r="R131" s="91"/>
      <c r="S131" s="94"/>
      <c r="T131" s="94"/>
      <c r="U131" s="94"/>
      <c r="V131" s="94"/>
      <c r="X131" s="278" t="s">
        <v>44</v>
      </c>
      <c r="Y131" s="11" t="s">
        <v>65</v>
      </c>
      <c r="Z131" s="1" t="s">
        <v>31</v>
      </c>
      <c r="AA131" s="529">
        <v>13</v>
      </c>
      <c r="AB131" s="306" t="s">
        <v>420</v>
      </c>
      <c r="AC131" s="317" t="s">
        <v>373</v>
      </c>
      <c r="AD131" s="168">
        <f>AD132</f>
        <v>50</v>
      </c>
      <c r="AE131" s="168">
        <f>AE132</f>
        <v>50</v>
      </c>
      <c r="AF131" s="168">
        <f t="shared" ref="AF131" si="43">AF132</f>
        <v>50</v>
      </c>
      <c r="AG131" s="575">
        <f t="shared" si="25"/>
        <v>1</v>
      </c>
      <c r="AH131" s="194"/>
      <c r="AI131" s="156"/>
    </row>
    <row r="132" spans="1:35" x14ac:dyDescent="0.25">
      <c r="A132" s="100"/>
      <c r="B132" s="85"/>
      <c r="C132" s="86"/>
      <c r="D132" s="86"/>
      <c r="E132" s="87"/>
      <c r="F132" s="86"/>
      <c r="G132" s="86"/>
      <c r="H132" s="101"/>
      <c r="I132" s="98"/>
      <c r="J132" s="98"/>
      <c r="K132" s="98"/>
      <c r="L132" s="80"/>
      <c r="M132" s="98"/>
      <c r="N132" s="80"/>
      <c r="O132" s="89"/>
      <c r="P132" s="48"/>
      <c r="Q132" s="90"/>
      <c r="R132" s="91"/>
      <c r="S132" s="94"/>
      <c r="T132" s="94"/>
      <c r="U132" s="94"/>
      <c r="V132" s="94"/>
      <c r="X132" s="278" t="s">
        <v>60</v>
      </c>
      <c r="Y132" s="11" t="s">
        <v>65</v>
      </c>
      <c r="Z132" s="1" t="s">
        <v>31</v>
      </c>
      <c r="AA132" s="529">
        <v>13</v>
      </c>
      <c r="AB132" s="306" t="s">
        <v>420</v>
      </c>
      <c r="AC132" s="317" t="s">
        <v>472</v>
      </c>
      <c r="AD132" s="168">
        <v>50</v>
      </c>
      <c r="AE132" s="168">
        <v>50</v>
      </c>
      <c r="AF132" s="168">
        <v>50</v>
      </c>
      <c r="AG132" s="575">
        <f t="shared" si="25"/>
        <v>1</v>
      </c>
      <c r="AH132" s="194"/>
      <c r="AI132" s="156"/>
    </row>
    <row r="133" spans="1:35" ht="31.5" x14ac:dyDescent="0.25">
      <c r="A133" s="100"/>
      <c r="B133" s="85"/>
      <c r="C133" s="86"/>
      <c r="D133" s="86"/>
      <c r="E133" s="87"/>
      <c r="F133" s="86"/>
      <c r="G133" s="86"/>
      <c r="H133" s="101"/>
      <c r="I133" s="98"/>
      <c r="J133" s="98"/>
      <c r="K133" s="98"/>
      <c r="L133" s="80"/>
      <c r="M133" s="98"/>
      <c r="N133" s="80"/>
      <c r="O133" s="89"/>
      <c r="P133" s="48"/>
      <c r="Q133" s="90"/>
      <c r="R133" s="91"/>
      <c r="S133" s="94"/>
      <c r="T133" s="94"/>
      <c r="U133" s="94"/>
      <c r="V133" s="94"/>
      <c r="X133" s="278" t="s">
        <v>615</v>
      </c>
      <c r="Y133" s="11" t="s">
        <v>65</v>
      </c>
      <c r="Z133" s="1" t="s">
        <v>31</v>
      </c>
      <c r="AA133" s="529">
        <v>13</v>
      </c>
      <c r="AB133" s="306" t="s">
        <v>616</v>
      </c>
      <c r="AC133" s="309"/>
      <c r="AD133" s="168">
        <f t="shared" ref="AD133:AE135" si="44">AD134</f>
        <v>40.700000000000003</v>
      </c>
      <c r="AE133" s="168">
        <f t="shared" si="44"/>
        <v>40.700000000000003</v>
      </c>
      <c r="AF133" s="168">
        <f t="shared" ref="AF133:AF135" si="45">AF134</f>
        <v>31.3</v>
      </c>
      <c r="AG133" s="575">
        <f t="shared" si="25"/>
        <v>0.76904176904176902</v>
      </c>
      <c r="AH133" s="194"/>
      <c r="AI133" s="156"/>
    </row>
    <row r="134" spans="1:35" ht="78.75" x14ac:dyDescent="0.25">
      <c r="A134" s="100"/>
      <c r="B134" s="85"/>
      <c r="C134" s="86"/>
      <c r="D134" s="86"/>
      <c r="E134" s="87"/>
      <c r="F134" s="86"/>
      <c r="G134" s="86"/>
      <c r="H134" s="101"/>
      <c r="I134" s="98"/>
      <c r="J134" s="98"/>
      <c r="K134" s="98"/>
      <c r="L134" s="80"/>
      <c r="M134" s="98"/>
      <c r="N134" s="80"/>
      <c r="O134" s="89"/>
      <c r="P134" s="48"/>
      <c r="Q134" s="90"/>
      <c r="R134" s="91"/>
      <c r="S134" s="94"/>
      <c r="T134" s="94"/>
      <c r="U134" s="94"/>
      <c r="V134" s="94"/>
      <c r="X134" s="278" t="s">
        <v>449</v>
      </c>
      <c r="Y134" s="11" t="s">
        <v>65</v>
      </c>
      <c r="Z134" s="1" t="s">
        <v>31</v>
      </c>
      <c r="AA134" s="529">
        <v>13</v>
      </c>
      <c r="AB134" s="163" t="s">
        <v>617</v>
      </c>
      <c r="AC134" s="309"/>
      <c r="AD134" s="168">
        <f t="shared" si="44"/>
        <v>40.700000000000003</v>
      </c>
      <c r="AE134" s="168">
        <f t="shared" si="44"/>
        <v>40.700000000000003</v>
      </c>
      <c r="AF134" s="168">
        <f t="shared" si="45"/>
        <v>31.3</v>
      </c>
      <c r="AG134" s="575">
        <f t="shared" si="25"/>
        <v>0.76904176904176902</v>
      </c>
      <c r="AH134" s="194"/>
      <c r="AI134" s="156"/>
    </row>
    <row r="135" spans="1:35" x14ac:dyDescent="0.25">
      <c r="A135" s="100"/>
      <c r="B135" s="85"/>
      <c r="C135" s="86"/>
      <c r="D135" s="86"/>
      <c r="E135" s="87"/>
      <c r="F135" s="86"/>
      <c r="G135" s="86"/>
      <c r="H135" s="101"/>
      <c r="I135" s="98"/>
      <c r="J135" s="98"/>
      <c r="K135" s="98"/>
      <c r="L135" s="80"/>
      <c r="M135" s="98"/>
      <c r="N135" s="80"/>
      <c r="O135" s="89"/>
      <c r="P135" s="48"/>
      <c r="Q135" s="90"/>
      <c r="R135" s="91"/>
      <c r="S135" s="94"/>
      <c r="T135" s="94"/>
      <c r="U135" s="94"/>
      <c r="V135" s="94"/>
      <c r="X135" s="278" t="s">
        <v>123</v>
      </c>
      <c r="Y135" s="11" t="s">
        <v>65</v>
      </c>
      <c r="Z135" s="1" t="s">
        <v>31</v>
      </c>
      <c r="AA135" s="529">
        <v>13</v>
      </c>
      <c r="AB135" s="163" t="s">
        <v>617</v>
      </c>
      <c r="AC135" s="309">
        <v>200</v>
      </c>
      <c r="AD135" s="168">
        <f t="shared" si="44"/>
        <v>40.700000000000003</v>
      </c>
      <c r="AE135" s="168">
        <f t="shared" si="44"/>
        <v>40.700000000000003</v>
      </c>
      <c r="AF135" s="168">
        <f t="shared" si="45"/>
        <v>31.3</v>
      </c>
      <c r="AG135" s="575">
        <f t="shared" si="25"/>
        <v>0.76904176904176902</v>
      </c>
      <c r="AH135" s="194"/>
      <c r="AI135" s="156"/>
    </row>
    <row r="136" spans="1:35" ht="31.5" x14ac:dyDescent="0.25">
      <c r="A136" s="100"/>
      <c r="B136" s="85"/>
      <c r="C136" s="86"/>
      <c r="D136" s="86"/>
      <c r="E136" s="87"/>
      <c r="F136" s="86"/>
      <c r="G136" s="86"/>
      <c r="H136" s="101"/>
      <c r="I136" s="98"/>
      <c r="J136" s="98"/>
      <c r="K136" s="98"/>
      <c r="L136" s="80"/>
      <c r="M136" s="98"/>
      <c r="N136" s="80"/>
      <c r="O136" s="89"/>
      <c r="P136" s="48"/>
      <c r="Q136" s="90"/>
      <c r="R136" s="91"/>
      <c r="S136" s="94"/>
      <c r="T136" s="94"/>
      <c r="U136" s="94"/>
      <c r="V136" s="94"/>
      <c r="X136" s="278" t="s">
        <v>54</v>
      </c>
      <c r="Y136" s="11" t="s">
        <v>65</v>
      </c>
      <c r="Z136" s="1" t="s">
        <v>31</v>
      </c>
      <c r="AA136" s="529">
        <v>13</v>
      </c>
      <c r="AB136" s="163" t="s">
        <v>617</v>
      </c>
      <c r="AC136" s="309">
        <v>240</v>
      </c>
      <c r="AD136" s="168">
        <v>40.700000000000003</v>
      </c>
      <c r="AE136" s="168">
        <v>40.700000000000003</v>
      </c>
      <c r="AF136" s="168">
        <v>31.3</v>
      </c>
      <c r="AG136" s="575">
        <f t="shared" si="25"/>
        <v>0.76904176904176902</v>
      </c>
      <c r="AH136" s="194"/>
      <c r="AI136" s="156"/>
    </row>
    <row r="137" spans="1:35" ht="31.5" x14ac:dyDescent="0.25">
      <c r="A137" s="97"/>
      <c r="B137" s="85"/>
      <c r="C137" s="86"/>
      <c r="D137" s="86"/>
      <c r="E137" s="87"/>
      <c r="F137" s="86"/>
      <c r="G137" s="88"/>
      <c r="H137" s="47"/>
      <c r="I137" s="98"/>
      <c r="J137" s="98"/>
      <c r="K137" s="98"/>
      <c r="L137" s="80"/>
      <c r="M137" s="98"/>
      <c r="N137" s="80"/>
      <c r="O137" s="89"/>
      <c r="P137" s="88"/>
      <c r="Q137" s="90"/>
      <c r="R137" s="91"/>
      <c r="S137" s="94"/>
      <c r="T137" s="94"/>
      <c r="U137" s="94"/>
      <c r="V137" s="94"/>
      <c r="X137" s="280" t="s">
        <v>315</v>
      </c>
      <c r="Y137" s="11" t="s">
        <v>65</v>
      </c>
      <c r="Z137" s="1" t="s">
        <v>31</v>
      </c>
      <c r="AA137" s="529">
        <v>13</v>
      </c>
      <c r="AB137" s="163" t="s">
        <v>134</v>
      </c>
      <c r="AC137" s="309"/>
      <c r="AD137" s="168">
        <f>AD138</f>
        <v>0.20000000000000018</v>
      </c>
      <c r="AE137" s="168">
        <f>AE138</f>
        <v>0.20000000000000018</v>
      </c>
      <c r="AF137" s="168">
        <f t="shared" ref="AF137" si="46">AF138</f>
        <v>0</v>
      </c>
      <c r="AG137" s="575">
        <f t="shared" si="25"/>
        <v>0</v>
      </c>
      <c r="AH137" s="194"/>
      <c r="AI137" s="156"/>
    </row>
    <row r="138" spans="1:35" x14ac:dyDescent="0.25">
      <c r="A138" s="97"/>
      <c r="B138" s="85"/>
      <c r="C138" s="86"/>
      <c r="D138" s="86"/>
      <c r="E138" s="87"/>
      <c r="F138" s="86"/>
      <c r="G138" s="88"/>
      <c r="H138" s="47"/>
      <c r="I138" s="98"/>
      <c r="J138" s="98"/>
      <c r="K138" s="98"/>
      <c r="L138" s="80"/>
      <c r="M138" s="98"/>
      <c r="N138" s="80"/>
      <c r="O138" s="89"/>
      <c r="P138" s="88"/>
      <c r="Q138" s="90"/>
      <c r="R138" s="91"/>
      <c r="S138" s="94"/>
      <c r="T138" s="94"/>
      <c r="U138" s="94"/>
      <c r="V138" s="94"/>
      <c r="X138" s="280" t="s">
        <v>50</v>
      </c>
      <c r="Y138" s="11" t="s">
        <v>65</v>
      </c>
      <c r="Z138" s="1" t="s">
        <v>31</v>
      </c>
      <c r="AA138" s="529">
        <v>13</v>
      </c>
      <c r="AB138" s="163" t="s">
        <v>502</v>
      </c>
      <c r="AC138" s="309"/>
      <c r="AD138" s="168">
        <f>AD139</f>
        <v>0.20000000000000018</v>
      </c>
      <c r="AE138" s="168">
        <f>AE139</f>
        <v>0.20000000000000018</v>
      </c>
      <c r="AF138" s="168">
        <f t="shared" ref="AF138" si="47">AF139</f>
        <v>0</v>
      </c>
      <c r="AG138" s="575">
        <f t="shared" ref="AG138:AG202" si="48">AF138/AE138</f>
        <v>0</v>
      </c>
      <c r="AH138" s="194"/>
      <c r="AI138" s="156"/>
    </row>
    <row r="139" spans="1:35" ht="31.5" x14ac:dyDescent="0.25">
      <c r="A139" s="97"/>
      <c r="B139" s="85"/>
      <c r="C139" s="86"/>
      <c r="D139" s="86"/>
      <c r="E139" s="87"/>
      <c r="F139" s="86"/>
      <c r="G139" s="88"/>
      <c r="H139" s="47"/>
      <c r="I139" s="98"/>
      <c r="J139" s="98"/>
      <c r="K139" s="98"/>
      <c r="L139" s="80"/>
      <c r="M139" s="98"/>
      <c r="N139" s="80"/>
      <c r="O139" s="89"/>
      <c r="P139" s="88"/>
      <c r="Q139" s="90"/>
      <c r="R139" s="91"/>
      <c r="S139" s="94"/>
      <c r="T139" s="94"/>
      <c r="U139" s="94"/>
      <c r="V139" s="94"/>
      <c r="X139" s="296" t="s">
        <v>329</v>
      </c>
      <c r="Y139" s="11" t="s">
        <v>65</v>
      </c>
      <c r="Z139" s="1" t="s">
        <v>31</v>
      </c>
      <c r="AA139" s="529">
        <v>13</v>
      </c>
      <c r="AB139" s="163" t="s">
        <v>511</v>
      </c>
      <c r="AC139" s="309"/>
      <c r="AD139" s="168">
        <f t="shared" ref="AD139:AF141" si="49">AD140</f>
        <v>0.20000000000000018</v>
      </c>
      <c r="AE139" s="168">
        <f t="shared" si="49"/>
        <v>0.20000000000000018</v>
      </c>
      <c r="AF139" s="168">
        <f t="shared" si="49"/>
        <v>0</v>
      </c>
      <c r="AG139" s="575">
        <f t="shared" si="48"/>
        <v>0</v>
      </c>
      <c r="AH139" s="194"/>
      <c r="AI139" s="156"/>
    </row>
    <row r="140" spans="1:35" ht="31.5" x14ac:dyDescent="0.25">
      <c r="A140" s="97"/>
      <c r="B140" s="85"/>
      <c r="C140" s="86"/>
      <c r="D140" s="86"/>
      <c r="E140" s="87"/>
      <c r="F140" s="86"/>
      <c r="G140" s="88"/>
      <c r="H140" s="47"/>
      <c r="I140" s="98"/>
      <c r="J140" s="98"/>
      <c r="K140" s="98"/>
      <c r="L140" s="80"/>
      <c r="M140" s="98"/>
      <c r="N140" s="80"/>
      <c r="O140" s="89"/>
      <c r="P140" s="88"/>
      <c r="Q140" s="90"/>
      <c r="R140" s="91"/>
      <c r="S140" s="94"/>
      <c r="T140" s="94"/>
      <c r="U140" s="94"/>
      <c r="V140" s="94"/>
      <c r="X140" s="295" t="s">
        <v>513</v>
      </c>
      <c r="Y140" s="11" t="s">
        <v>65</v>
      </c>
      <c r="Z140" s="1" t="s">
        <v>31</v>
      </c>
      <c r="AA140" s="529">
        <v>13</v>
      </c>
      <c r="AB140" s="163" t="s">
        <v>512</v>
      </c>
      <c r="AC140" s="309"/>
      <c r="AD140" s="168">
        <f t="shared" si="49"/>
        <v>0.20000000000000018</v>
      </c>
      <c r="AE140" s="168">
        <f t="shared" si="49"/>
        <v>0.20000000000000018</v>
      </c>
      <c r="AF140" s="168">
        <f t="shared" si="49"/>
        <v>0</v>
      </c>
      <c r="AG140" s="575">
        <f t="shared" si="48"/>
        <v>0</v>
      </c>
      <c r="AH140" s="194"/>
      <c r="AI140" s="156"/>
    </row>
    <row r="141" spans="1:35" x14ac:dyDescent="0.25">
      <c r="A141" s="97"/>
      <c r="B141" s="85"/>
      <c r="C141" s="86"/>
      <c r="D141" s="86"/>
      <c r="E141" s="87"/>
      <c r="F141" s="86"/>
      <c r="G141" s="88"/>
      <c r="H141" s="47"/>
      <c r="I141" s="98"/>
      <c r="J141" s="98"/>
      <c r="K141" s="98"/>
      <c r="L141" s="80"/>
      <c r="M141" s="98"/>
      <c r="N141" s="80"/>
      <c r="O141" s="89"/>
      <c r="P141" s="88"/>
      <c r="Q141" s="90"/>
      <c r="R141" s="91"/>
      <c r="S141" s="94"/>
      <c r="T141" s="94"/>
      <c r="U141" s="94"/>
      <c r="V141" s="94"/>
      <c r="X141" s="278" t="s">
        <v>123</v>
      </c>
      <c r="Y141" s="11" t="s">
        <v>65</v>
      </c>
      <c r="Z141" s="1" t="s">
        <v>31</v>
      </c>
      <c r="AA141" s="529">
        <v>13</v>
      </c>
      <c r="AB141" s="163" t="s">
        <v>512</v>
      </c>
      <c r="AC141" s="309">
        <v>200</v>
      </c>
      <c r="AD141" s="168">
        <f t="shared" si="49"/>
        <v>0.20000000000000018</v>
      </c>
      <c r="AE141" s="168">
        <f t="shared" si="49"/>
        <v>0.20000000000000018</v>
      </c>
      <c r="AF141" s="168">
        <f t="shared" si="49"/>
        <v>0</v>
      </c>
      <c r="AG141" s="575">
        <f t="shared" si="48"/>
        <v>0</v>
      </c>
      <c r="AH141" s="194"/>
      <c r="AI141" s="156"/>
    </row>
    <row r="142" spans="1:35" ht="31.5" x14ac:dyDescent="0.25">
      <c r="A142" s="97"/>
      <c r="B142" s="85"/>
      <c r="C142" s="86"/>
      <c r="D142" s="86"/>
      <c r="E142" s="87"/>
      <c r="F142" s="86"/>
      <c r="G142" s="88"/>
      <c r="H142" s="47"/>
      <c r="I142" s="98"/>
      <c r="J142" s="98"/>
      <c r="K142" s="98"/>
      <c r="L142" s="80"/>
      <c r="M142" s="98"/>
      <c r="N142" s="80"/>
      <c r="O142" s="89"/>
      <c r="P142" s="88"/>
      <c r="Q142" s="90"/>
      <c r="R142" s="91"/>
      <c r="S142" s="94"/>
      <c r="T142" s="94"/>
      <c r="U142" s="94"/>
      <c r="V142" s="94"/>
      <c r="X142" s="278" t="s">
        <v>54</v>
      </c>
      <c r="Y142" s="11" t="s">
        <v>65</v>
      </c>
      <c r="Z142" s="1" t="s">
        <v>31</v>
      </c>
      <c r="AA142" s="529">
        <v>13</v>
      </c>
      <c r="AB142" s="163" t="s">
        <v>512</v>
      </c>
      <c r="AC142" s="309">
        <v>240</v>
      </c>
      <c r="AD142" s="168">
        <f>2.1-1.9</f>
        <v>0.20000000000000018</v>
      </c>
      <c r="AE142" s="168">
        <f>2.1-1.9</f>
        <v>0.20000000000000018</v>
      </c>
      <c r="AF142" s="168">
        <v>0</v>
      </c>
      <c r="AG142" s="575">
        <f t="shared" si="48"/>
        <v>0</v>
      </c>
      <c r="AH142" s="194"/>
      <c r="AI142" s="156"/>
    </row>
    <row r="143" spans="1:35" x14ac:dyDescent="0.25">
      <c r="A143" s="97"/>
      <c r="B143" s="85"/>
      <c r="C143" s="86"/>
      <c r="D143" s="86"/>
      <c r="E143" s="87"/>
      <c r="F143" s="86"/>
      <c r="G143" s="88"/>
      <c r="H143" s="47"/>
      <c r="I143" s="98"/>
      <c r="J143" s="98"/>
      <c r="K143" s="98"/>
      <c r="L143" s="80"/>
      <c r="M143" s="98"/>
      <c r="N143" s="80"/>
      <c r="O143" s="89"/>
      <c r="P143" s="88"/>
      <c r="Q143" s="90"/>
      <c r="R143" s="91"/>
      <c r="S143" s="94"/>
      <c r="T143" s="94"/>
      <c r="U143" s="94"/>
      <c r="V143" s="94"/>
      <c r="X143" s="284" t="s">
        <v>245</v>
      </c>
      <c r="Y143" s="11" t="s">
        <v>65</v>
      </c>
      <c r="Z143" s="1" t="s">
        <v>31</v>
      </c>
      <c r="AA143" s="529">
        <v>13</v>
      </c>
      <c r="AB143" s="163" t="s">
        <v>246</v>
      </c>
      <c r="AC143" s="309"/>
      <c r="AD143" s="168">
        <f>AD144+AD149</f>
        <v>42112.1</v>
      </c>
      <c r="AE143" s="168">
        <f>AE144+AE149</f>
        <v>44026.1</v>
      </c>
      <c r="AF143" s="168">
        <f>AF144+AF149</f>
        <v>44026.1</v>
      </c>
      <c r="AG143" s="575">
        <f t="shared" si="48"/>
        <v>1</v>
      </c>
      <c r="AH143" s="194"/>
      <c r="AI143" s="156"/>
    </row>
    <row r="144" spans="1:35" ht="57.6" customHeight="1" x14ac:dyDescent="0.25">
      <c r="A144" s="97"/>
      <c r="B144" s="85"/>
      <c r="C144" s="86"/>
      <c r="D144" s="86"/>
      <c r="E144" s="87"/>
      <c r="F144" s="86"/>
      <c r="G144" s="88"/>
      <c r="H144" s="47"/>
      <c r="I144" s="98"/>
      <c r="J144" s="98"/>
      <c r="K144" s="98"/>
      <c r="L144" s="80"/>
      <c r="M144" s="98"/>
      <c r="N144" s="80"/>
      <c r="O144" s="89"/>
      <c r="P144" s="88"/>
      <c r="Q144" s="90"/>
      <c r="R144" s="91"/>
      <c r="S144" s="94"/>
      <c r="T144" s="94"/>
      <c r="U144" s="94"/>
      <c r="V144" s="94"/>
      <c r="X144" s="299" t="s">
        <v>618</v>
      </c>
      <c r="Y144" s="11" t="s">
        <v>65</v>
      </c>
      <c r="Z144" s="1" t="s">
        <v>31</v>
      </c>
      <c r="AA144" s="529">
        <v>13</v>
      </c>
      <c r="AB144" s="163" t="s">
        <v>247</v>
      </c>
      <c r="AC144" s="309"/>
      <c r="AD144" s="168">
        <f t="shared" ref="AD144:AE147" si="50">AD145</f>
        <v>0</v>
      </c>
      <c r="AE144" s="168">
        <f t="shared" si="50"/>
        <v>2015</v>
      </c>
      <c r="AF144" s="168">
        <f t="shared" ref="AF144" si="51">AF145</f>
        <v>2015</v>
      </c>
      <c r="AG144" s="575">
        <f t="shared" si="48"/>
        <v>1</v>
      </c>
      <c r="AH144" s="194"/>
      <c r="AI144" s="156"/>
    </row>
    <row r="145" spans="1:35" ht="47.25" x14ac:dyDescent="0.25">
      <c r="A145" s="97"/>
      <c r="B145" s="85"/>
      <c r="C145" s="86"/>
      <c r="D145" s="86"/>
      <c r="E145" s="87"/>
      <c r="F145" s="86"/>
      <c r="G145" s="88"/>
      <c r="H145" s="47"/>
      <c r="I145" s="98"/>
      <c r="J145" s="98"/>
      <c r="K145" s="98"/>
      <c r="L145" s="80"/>
      <c r="M145" s="98"/>
      <c r="N145" s="80"/>
      <c r="O145" s="89"/>
      <c r="P145" s="88"/>
      <c r="Q145" s="90"/>
      <c r="R145" s="91"/>
      <c r="S145" s="94"/>
      <c r="T145" s="94"/>
      <c r="U145" s="94"/>
      <c r="V145" s="94"/>
      <c r="X145" s="278" t="s">
        <v>432</v>
      </c>
      <c r="Y145" s="11" t="s">
        <v>65</v>
      </c>
      <c r="Z145" s="1" t="s">
        <v>31</v>
      </c>
      <c r="AA145" s="529">
        <v>13</v>
      </c>
      <c r="AB145" s="163" t="s">
        <v>801</v>
      </c>
      <c r="AC145" s="309"/>
      <c r="AD145" s="168">
        <f t="shared" si="50"/>
        <v>0</v>
      </c>
      <c r="AE145" s="168">
        <f t="shared" si="50"/>
        <v>2015</v>
      </c>
      <c r="AF145" s="168">
        <f t="shared" ref="AF145" si="52">AF146</f>
        <v>2015</v>
      </c>
      <c r="AG145" s="575">
        <f t="shared" si="48"/>
        <v>1</v>
      </c>
      <c r="AH145" s="194"/>
      <c r="AI145" s="156"/>
    </row>
    <row r="146" spans="1:35" ht="36.6" customHeight="1" x14ac:dyDescent="0.25">
      <c r="A146" s="97"/>
      <c r="B146" s="85"/>
      <c r="C146" s="86"/>
      <c r="D146" s="86"/>
      <c r="E146" s="87"/>
      <c r="F146" s="86"/>
      <c r="G146" s="88"/>
      <c r="H146" s="47"/>
      <c r="I146" s="98"/>
      <c r="J146" s="98"/>
      <c r="K146" s="98"/>
      <c r="L146" s="80"/>
      <c r="M146" s="98"/>
      <c r="N146" s="80"/>
      <c r="O146" s="89"/>
      <c r="P146" s="88"/>
      <c r="Q146" s="90"/>
      <c r="R146" s="91"/>
      <c r="S146" s="94"/>
      <c r="T146" s="94"/>
      <c r="U146" s="94"/>
      <c r="V146" s="94"/>
      <c r="X146" s="278" t="s">
        <v>800</v>
      </c>
      <c r="Y146" s="11" t="s">
        <v>65</v>
      </c>
      <c r="Z146" s="1" t="s">
        <v>31</v>
      </c>
      <c r="AA146" s="529">
        <v>13</v>
      </c>
      <c r="AB146" s="163" t="s">
        <v>803</v>
      </c>
      <c r="AC146" s="309"/>
      <c r="AD146" s="168">
        <f t="shared" si="50"/>
        <v>0</v>
      </c>
      <c r="AE146" s="168">
        <f t="shared" si="50"/>
        <v>2015</v>
      </c>
      <c r="AF146" s="168">
        <f t="shared" ref="AF146" si="53">AF147</f>
        <v>2015</v>
      </c>
      <c r="AG146" s="575">
        <f t="shared" si="48"/>
        <v>1</v>
      </c>
      <c r="AH146" s="194"/>
      <c r="AI146" s="156"/>
    </row>
    <row r="147" spans="1:35" ht="31.5" x14ac:dyDescent="0.25">
      <c r="A147" s="97"/>
      <c r="B147" s="85"/>
      <c r="C147" s="86"/>
      <c r="D147" s="86"/>
      <c r="E147" s="87"/>
      <c r="F147" s="86"/>
      <c r="G147" s="88"/>
      <c r="H147" s="47"/>
      <c r="I147" s="98"/>
      <c r="J147" s="98"/>
      <c r="K147" s="98"/>
      <c r="L147" s="80"/>
      <c r="M147" s="98"/>
      <c r="N147" s="80"/>
      <c r="O147" s="89"/>
      <c r="P147" s="88"/>
      <c r="Q147" s="90"/>
      <c r="R147" s="91"/>
      <c r="S147" s="94"/>
      <c r="T147" s="94"/>
      <c r="U147" s="94"/>
      <c r="V147" s="94"/>
      <c r="X147" s="278" t="s">
        <v>802</v>
      </c>
      <c r="Y147" s="11" t="s">
        <v>65</v>
      </c>
      <c r="Z147" s="1" t="s">
        <v>31</v>
      </c>
      <c r="AA147" s="529">
        <v>13</v>
      </c>
      <c r="AB147" s="163" t="s">
        <v>803</v>
      </c>
      <c r="AC147" s="309">
        <v>600</v>
      </c>
      <c r="AD147" s="168">
        <f t="shared" si="50"/>
        <v>0</v>
      </c>
      <c r="AE147" s="168">
        <f t="shared" si="50"/>
        <v>2015</v>
      </c>
      <c r="AF147" s="168">
        <f t="shared" ref="AF147" si="54">AF148</f>
        <v>2015</v>
      </c>
      <c r="AG147" s="575">
        <f t="shared" si="48"/>
        <v>1</v>
      </c>
      <c r="AH147" s="194"/>
      <c r="AI147" s="156"/>
    </row>
    <row r="148" spans="1:35" x14ac:dyDescent="0.25">
      <c r="A148" s="97"/>
      <c r="B148" s="85"/>
      <c r="C148" s="86"/>
      <c r="D148" s="86"/>
      <c r="E148" s="87"/>
      <c r="F148" s="86"/>
      <c r="G148" s="88"/>
      <c r="H148" s="47"/>
      <c r="I148" s="98"/>
      <c r="J148" s="98"/>
      <c r="K148" s="98"/>
      <c r="L148" s="80"/>
      <c r="M148" s="98"/>
      <c r="N148" s="80"/>
      <c r="O148" s="89"/>
      <c r="P148" s="88"/>
      <c r="Q148" s="90"/>
      <c r="R148" s="91"/>
      <c r="S148" s="94"/>
      <c r="T148" s="94"/>
      <c r="U148" s="94"/>
      <c r="V148" s="94"/>
      <c r="X148" s="278" t="s">
        <v>63</v>
      </c>
      <c r="Y148" s="11" t="s">
        <v>65</v>
      </c>
      <c r="Z148" s="1" t="s">
        <v>31</v>
      </c>
      <c r="AA148" s="529">
        <v>13</v>
      </c>
      <c r="AB148" s="163" t="s">
        <v>803</v>
      </c>
      <c r="AC148" s="309">
        <v>610</v>
      </c>
      <c r="AD148" s="168">
        <f>665+134-1+1-664-135</f>
        <v>0</v>
      </c>
      <c r="AE148" s="168">
        <v>2015</v>
      </c>
      <c r="AF148" s="168">
        <v>2015</v>
      </c>
      <c r="AG148" s="575">
        <f t="shared" si="48"/>
        <v>1</v>
      </c>
      <c r="AH148" s="194"/>
      <c r="AI148" s="156"/>
    </row>
    <row r="149" spans="1:35" x14ac:dyDescent="0.25">
      <c r="A149" s="97"/>
      <c r="B149" s="85"/>
      <c r="C149" s="86"/>
      <c r="D149" s="86"/>
      <c r="E149" s="87"/>
      <c r="F149" s="86"/>
      <c r="G149" s="88"/>
      <c r="H149" s="47"/>
      <c r="I149" s="98"/>
      <c r="J149" s="98"/>
      <c r="K149" s="98"/>
      <c r="L149" s="80"/>
      <c r="M149" s="98"/>
      <c r="N149" s="80"/>
      <c r="O149" s="89"/>
      <c r="P149" s="88"/>
      <c r="Q149" s="90"/>
      <c r="R149" s="91"/>
      <c r="S149" s="94"/>
      <c r="T149" s="94"/>
      <c r="U149" s="94"/>
      <c r="V149" s="94"/>
      <c r="X149" s="278" t="s">
        <v>50</v>
      </c>
      <c r="Y149" s="11" t="s">
        <v>65</v>
      </c>
      <c r="Z149" s="1" t="s">
        <v>31</v>
      </c>
      <c r="AA149" s="529">
        <v>13</v>
      </c>
      <c r="AB149" s="163" t="s">
        <v>619</v>
      </c>
      <c r="AC149" s="309"/>
      <c r="AD149" s="168">
        <f t="shared" ref="AD149:AE152" si="55">AD150</f>
        <v>42112.1</v>
      </c>
      <c r="AE149" s="168">
        <f t="shared" si="55"/>
        <v>42011.1</v>
      </c>
      <c r="AF149" s="168">
        <f t="shared" ref="AF149:AF152" si="56">AF150</f>
        <v>42011.1</v>
      </c>
      <c r="AG149" s="575">
        <f t="shared" si="48"/>
        <v>1</v>
      </c>
      <c r="AH149" s="194"/>
      <c r="AI149" s="156"/>
    </row>
    <row r="150" spans="1:35" ht="31.5" x14ac:dyDescent="0.25">
      <c r="A150" s="97"/>
      <c r="B150" s="85"/>
      <c r="C150" s="86"/>
      <c r="D150" s="86"/>
      <c r="E150" s="87"/>
      <c r="F150" s="86"/>
      <c r="G150" s="88"/>
      <c r="H150" s="47"/>
      <c r="I150" s="98"/>
      <c r="J150" s="98"/>
      <c r="K150" s="98"/>
      <c r="L150" s="80"/>
      <c r="M150" s="98"/>
      <c r="N150" s="80"/>
      <c r="O150" s="89"/>
      <c r="P150" s="88"/>
      <c r="Q150" s="90"/>
      <c r="R150" s="91"/>
      <c r="S150" s="94"/>
      <c r="T150" s="94"/>
      <c r="U150" s="94"/>
      <c r="V150" s="94"/>
      <c r="X150" s="278" t="s">
        <v>349</v>
      </c>
      <c r="Y150" s="11" t="s">
        <v>65</v>
      </c>
      <c r="Z150" s="1" t="s">
        <v>31</v>
      </c>
      <c r="AA150" s="529">
        <v>13</v>
      </c>
      <c r="AB150" s="163" t="s">
        <v>620</v>
      </c>
      <c r="AC150" s="309"/>
      <c r="AD150" s="168">
        <f t="shared" si="55"/>
        <v>42112.1</v>
      </c>
      <c r="AE150" s="168">
        <f t="shared" si="55"/>
        <v>42011.1</v>
      </c>
      <c r="AF150" s="168">
        <f t="shared" si="56"/>
        <v>42011.1</v>
      </c>
      <c r="AG150" s="575">
        <f t="shared" si="48"/>
        <v>1</v>
      </c>
      <c r="AH150" s="194"/>
      <c r="AI150" s="156"/>
    </row>
    <row r="151" spans="1:35" ht="31.5" x14ac:dyDescent="0.25">
      <c r="A151" s="97"/>
      <c r="B151" s="85"/>
      <c r="C151" s="86"/>
      <c r="D151" s="86"/>
      <c r="E151" s="87"/>
      <c r="F151" s="86"/>
      <c r="G151" s="88"/>
      <c r="H151" s="47"/>
      <c r="I151" s="98"/>
      <c r="J151" s="98"/>
      <c r="K151" s="98"/>
      <c r="L151" s="80"/>
      <c r="M151" s="98"/>
      <c r="N151" s="80"/>
      <c r="O151" s="89"/>
      <c r="P151" s="88"/>
      <c r="Q151" s="90"/>
      <c r="R151" s="91"/>
      <c r="S151" s="94"/>
      <c r="T151" s="94"/>
      <c r="U151" s="94"/>
      <c r="V151" s="94"/>
      <c r="X151" s="278" t="s">
        <v>248</v>
      </c>
      <c r="Y151" s="11" t="s">
        <v>65</v>
      </c>
      <c r="Z151" s="1" t="s">
        <v>31</v>
      </c>
      <c r="AA151" s="529">
        <v>13</v>
      </c>
      <c r="AB151" s="163" t="s">
        <v>621</v>
      </c>
      <c r="AC151" s="309"/>
      <c r="AD151" s="168">
        <f t="shared" si="55"/>
        <v>42112.1</v>
      </c>
      <c r="AE151" s="168">
        <f t="shared" si="55"/>
        <v>42011.1</v>
      </c>
      <c r="AF151" s="168">
        <f t="shared" si="56"/>
        <v>42011.1</v>
      </c>
      <c r="AG151" s="575">
        <f t="shared" si="48"/>
        <v>1</v>
      </c>
      <c r="AH151" s="194"/>
      <c r="AI151" s="156"/>
    </row>
    <row r="152" spans="1:35" ht="31.5" x14ac:dyDescent="0.25">
      <c r="A152" s="97"/>
      <c r="B152" s="85"/>
      <c r="C152" s="86"/>
      <c r="D152" s="86"/>
      <c r="E152" s="87"/>
      <c r="F152" s="86"/>
      <c r="G152" s="88"/>
      <c r="H152" s="47"/>
      <c r="I152" s="98"/>
      <c r="J152" s="98"/>
      <c r="K152" s="98"/>
      <c r="L152" s="80"/>
      <c r="M152" s="98"/>
      <c r="N152" s="80"/>
      <c r="O152" s="89"/>
      <c r="P152" s="88"/>
      <c r="Q152" s="90"/>
      <c r="R152" s="91"/>
      <c r="S152" s="94"/>
      <c r="T152" s="94"/>
      <c r="U152" s="94"/>
      <c r="V152" s="94"/>
      <c r="X152" s="278" t="s">
        <v>62</v>
      </c>
      <c r="Y152" s="11" t="s">
        <v>65</v>
      </c>
      <c r="Z152" s="1" t="s">
        <v>31</v>
      </c>
      <c r="AA152" s="529">
        <v>13</v>
      </c>
      <c r="AB152" s="163" t="s">
        <v>621</v>
      </c>
      <c r="AC152" s="309">
        <v>600</v>
      </c>
      <c r="AD152" s="168">
        <f t="shared" si="55"/>
        <v>42112.1</v>
      </c>
      <c r="AE152" s="168">
        <f t="shared" si="55"/>
        <v>42011.1</v>
      </c>
      <c r="AF152" s="168">
        <f t="shared" si="56"/>
        <v>42011.1</v>
      </c>
      <c r="AG152" s="575">
        <f t="shared" si="48"/>
        <v>1</v>
      </c>
      <c r="AH152" s="194"/>
      <c r="AI152" s="156"/>
    </row>
    <row r="153" spans="1:35" x14ac:dyDescent="0.25">
      <c r="A153" s="97"/>
      <c r="B153" s="85"/>
      <c r="C153" s="86"/>
      <c r="D153" s="86"/>
      <c r="E153" s="87"/>
      <c r="F153" s="86"/>
      <c r="G153" s="88"/>
      <c r="H153" s="47"/>
      <c r="I153" s="98"/>
      <c r="J153" s="98"/>
      <c r="K153" s="98"/>
      <c r="L153" s="80"/>
      <c r="M153" s="98"/>
      <c r="N153" s="80"/>
      <c r="O153" s="89"/>
      <c r="P153" s="88"/>
      <c r="Q153" s="90"/>
      <c r="R153" s="91"/>
      <c r="S153" s="94"/>
      <c r="T153" s="94"/>
      <c r="U153" s="94"/>
      <c r="V153" s="94"/>
      <c r="X153" s="278" t="s">
        <v>63</v>
      </c>
      <c r="Y153" s="11" t="s">
        <v>65</v>
      </c>
      <c r="Z153" s="1" t="s">
        <v>31</v>
      </c>
      <c r="AA153" s="529">
        <v>13</v>
      </c>
      <c r="AB153" s="163" t="s">
        <v>621</v>
      </c>
      <c r="AC153" s="309">
        <v>610</v>
      </c>
      <c r="AD153" s="168">
        <f>41562.1+550</f>
        <v>42112.1</v>
      </c>
      <c r="AE153" s="168">
        <v>42011.1</v>
      </c>
      <c r="AF153" s="168">
        <v>42011.1</v>
      </c>
      <c r="AG153" s="575">
        <f t="shared" si="48"/>
        <v>1</v>
      </c>
      <c r="AH153" s="194"/>
      <c r="AI153" s="156"/>
    </row>
    <row r="154" spans="1:35" x14ac:dyDescent="0.25">
      <c r="A154" s="97"/>
      <c r="B154" s="85"/>
      <c r="C154" s="86"/>
      <c r="D154" s="86"/>
      <c r="E154" s="87"/>
      <c r="F154" s="86"/>
      <c r="G154" s="88"/>
      <c r="H154" s="47"/>
      <c r="I154" s="98"/>
      <c r="J154" s="98"/>
      <c r="K154" s="98"/>
      <c r="L154" s="80"/>
      <c r="M154" s="98"/>
      <c r="N154" s="80"/>
      <c r="O154" s="89"/>
      <c r="P154" s="88"/>
      <c r="Q154" s="90"/>
      <c r="R154" s="91"/>
      <c r="S154" s="94"/>
      <c r="T154" s="94"/>
      <c r="U154" s="94"/>
      <c r="V154" s="94"/>
      <c r="X154" s="284" t="s">
        <v>234</v>
      </c>
      <c r="Y154" s="11" t="s">
        <v>65</v>
      </c>
      <c r="Z154" s="1" t="s">
        <v>31</v>
      </c>
      <c r="AA154" s="529">
        <v>13</v>
      </c>
      <c r="AB154" s="163" t="s">
        <v>140</v>
      </c>
      <c r="AC154" s="317"/>
      <c r="AD154" s="168">
        <f>AD155+AD158</f>
        <v>5313.1</v>
      </c>
      <c r="AE154" s="168">
        <f>AE155+AE158</f>
        <v>155313.19999999998</v>
      </c>
      <c r="AF154" s="168">
        <f>AF155+AF158</f>
        <v>3490.2</v>
      </c>
      <c r="AG154" s="575">
        <f t="shared" si="48"/>
        <v>2.2472011393751466E-2</v>
      </c>
      <c r="AH154" s="194"/>
      <c r="AI154" s="156"/>
    </row>
    <row r="155" spans="1:35" x14ac:dyDescent="0.25">
      <c r="A155" s="97"/>
      <c r="B155" s="85"/>
      <c r="C155" s="86"/>
      <c r="D155" s="86"/>
      <c r="E155" s="87"/>
      <c r="F155" s="86"/>
      <c r="G155" s="88"/>
      <c r="H155" s="47"/>
      <c r="I155" s="98"/>
      <c r="J155" s="98"/>
      <c r="K155" s="98"/>
      <c r="L155" s="80"/>
      <c r="M155" s="98"/>
      <c r="N155" s="80"/>
      <c r="O155" s="89"/>
      <c r="P155" s="88"/>
      <c r="Q155" s="90"/>
      <c r="R155" s="91"/>
      <c r="S155" s="94"/>
      <c r="T155" s="94"/>
      <c r="U155" s="94"/>
      <c r="V155" s="94"/>
      <c r="X155" s="283" t="s">
        <v>235</v>
      </c>
      <c r="Y155" s="11" t="s">
        <v>65</v>
      </c>
      <c r="Z155" s="8" t="s">
        <v>31</v>
      </c>
      <c r="AA155" s="531">
        <v>13</v>
      </c>
      <c r="AB155" s="163" t="s">
        <v>236</v>
      </c>
      <c r="AC155" s="321"/>
      <c r="AD155" s="168">
        <f t="shared" ref="AD155:AF156" si="57">AD156</f>
        <v>3437.9</v>
      </c>
      <c r="AE155" s="168">
        <f t="shared" si="57"/>
        <v>3437.9</v>
      </c>
      <c r="AF155" s="168">
        <f t="shared" si="57"/>
        <v>3395.2</v>
      </c>
      <c r="AG155" s="575">
        <f t="shared" si="48"/>
        <v>0.98757962709793756</v>
      </c>
      <c r="AH155" s="194"/>
      <c r="AI155" s="156"/>
    </row>
    <row r="156" spans="1:35" x14ac:dyDescent="0.25">
      <c r="A156" s="97"/>
      <c r="B156" s="85"/>
      <c r="C156" s="86"/>
      <c r="D156" s="86"/>
      <c r="E156" s="87"/>
      <c r="F156" s="86"/>
      <c r="G156" s="88"/>
      <c r="H156" s="47"/>
      <c r="I156" s="98"/>
      <c r="J156" s="98"/>
      <c r="K156" s="98"/>
      <c r="L156" s="80"/>
      <c r="M156" s="98"/>
      <c r="N156" s="80"/>
      <c r="O156" s="89"/>
      <c r="P156" s="88"/>
      <c r="Q156" s="90"/>
      <c r="R156" s="91"/>
      <c r="S156" s="94"/>
      <c r="T156" s="94"/>
      <c r="U156" s="94"/>
      <c r="V156" s="94"/>
      <c r="X156" s="401" t="s">
        <v>44</v>
      </c>
      <c r="Y156" s="202" t="s">
        <v>65</v>
      </c>
      <c r="Z156" s="8" t="s">
        <v>31</v>
      </c>
      <c r="AA156" s="531">
        <v>13</v>
      </c>
      <c r="AB156" s="163" t="s">
        <v>236</v>
      </c>
      <c r="AC156" s="321">
        <v>800</v>
      </c>
      <c r="AD156" s="168">
        <f t="shared" si="57"/>
        <v>3437.9</v>
      </c>
      <c r="AE156" s="168">
        <f t="shared" si="57"/>
        <v>3437.9</v>
      </c>
      <c r="AF156" s="168">
        <f t="shared" si="57"/>
        <v>3395.2</v>
      </c>
      <c r="AG156" s="575">
        <f t="shared" si="48"/>
        <v>0.98757962709793756</v>
      </c>
      <c r="AH156" s="194"/>
      <c r="AI156" s="156"/>
    </row>
    <row r="157" spans="1:35" x14ac:dyDescent="0.25">
      <c r="A157" s="97"/>
      <c r="B157" s="85"/>
      <c r="C157" s="86"/>
      <c r="D157" s="86"/>
      <c r="E157" s="87"/>
      <c r="F157" s="86"/>
      <c r="G157" s="88"/>
      <c r="H157" s="47"/>
      <c r="I157" s="98"/>
      <c r="J157" s="98"/>
      <c r="K157" s="98"/>
      <c r="L157" s="80"/>
      <c r="M157" s="98"/>
      <c r="N157" s="80"/>
      <c r="O157" s="89"/>
      <c r="P157" s="88"/>
      <c r="Q157" s="90"/>
      <c r="R157" s="91"/>
      <c r="S157" s="94"/>
      <c r="T157" s="94"/>
      <c r="U157" s="94"/>
      <c r="V157" s="94"/>
      <c r="X157" s="401" t="s">
        <v>135</v>
      </c>
      <c r="Y157" s="202" t="s">
        <v>65</v>
      </c>
      <c r="Z157" s="8" t="s">
        <v>31</v>
      </c>
      <c r="AA157" s="531">
        <v>13</v>
      </c>
      <c r="AB157" s="163" t="s">
        <v>236</v>
      </c>
      <c r="AC157" s="321">
        <v>830</v>
      </c>
      <c r="AD157" s="168">
        <f>100+230+1655.9+1089.6+328.8+16.7+16.9</f>
        <v>3437.9</v>
      </c>
      <c r="AE157" s="168">
        <f>100+230+1655.9+1089.6+328.8+16.7+16.9</f>
        <v>3437.9</v>
      </c>
      <c r="AF157" s="168">
        <v>3395.2</v>
      </c>
      <c r="AG157" s="575">
        <f t="shared" si="48"/>
        <v>0.98757962709793756</v>
      </c>
      <c r="AH157" s="194"/>
      <c r="AI157" s="156"/>
    </row>
    <row r="158" spans="1:35" x14ac:dyDescent="0.25">
      <c r="A158" s="97"/>
      <c r="B158" s="85"/>
      <c r="C158" s="86"/>
      <c r="D158" s="86"/>
      <c r="E158" s="87"/>
      <c r="F158" s="86"/>
      <c r="G158" s="88"/>
      <c r="H158" s="47"/>
      <c r="I158" s="98"/>
      <c r="J158" s="98"/>
      <c r="K158" s="98"/>
      <c r="L158" s="80"/>
      <c r="M158" s="98"/>
      <c r="N158" s="80"/>
      <c r="O158" s="89"/>
      <c r="P158" s="88"/>
      <c r="Q158" s="90"/>
      <c r="R158" s="91"/>
      <c r="S158" s="94"/>
      <c r="T158" s="94"/>
      <c r="U158" s="94"/>
      <c r="V158" s="94"/>
      <c r="X158" s="278" t="s">
        <v>470</v>
      </c>
      <c r="Y158" s="11" t="s">
        <v>65</v>
      </c>
      <c r="Z158" s="8" t="s">
        <v>31</v>
      </c>
      <c r="AA158" s="531">
        <v>13</v>
      </c>
      <c r="AB158" s="308" t="s">
        <v>471</v>
      </c>
      <c r="AC158" s="321"/>
      <c r="AD158" s="168">
        <f>AD162+AD159+AD165</f>
        <v>1875.2000000000007</v>
      </c>
      <c r="AE158" s="168">
        <f t="shared" ref="AE158:AF158" si="58">AE162+AE159+AE165</f>
        <v>151875.29999999999</v>
      </c>
      <c r="AF158" s="168">
        <f t="shared" si="58"/>
        <v>95</v>
      </c>
      <c r="AG158" s="575">
        <f t="shared" si="48"/>
        <v>6.2551316771061532E-4</v>
      </c>
      <c r="AH158" s="194"/>
      <c r="AI158" s="156"/>
    </row>
    <row r="159" spans="1:35" x14ac:dyDescent="0.25">
      <c r="A159" s="97"/>
      <c r="B159" s="85"/>
      <c r="C159" s="86"/>
      <c r="D159" s="86"/>
      <c r="E159" s="87"/>
      <c r="F159" s="86"/>
      <c r="G159" s="88"/>
      <c r="H159" s="47"/>
      <c r="I159" s="98"/>
      <c r="J159" s="98"/>
      <c r="K159" s="98"/>
      <c r="L159" s="80"/>
      <c r="M159" s="98"/>
      <c r="N159" s="80"/>
      <c r="O159" s="89"/>
      <c r="P159" s="88"/>
      <c r="Q159" s="90"/>
      <c r="R159" s="91"/>
      <c r="S159" s="94"/>
      <c r="T159" s="94"/>
      <c r="U159" s="94"/>
      <c r="V159" s="94"/>
      <c r="X159" s="480" t="s">
        <v>735</v>
      </c>
      <c r="Y159" s="11" t="s">
        <v>65</v>
      </c>
      <c r="Z159" s="8" t="s">
        <v>31</v>
      </c>
      <c r="AA159" s="531">
        <v>13</v>
      </c>
      <c r="AB159" s="291" t="s">
        <v>736</v>
      </c>
      <c r="AC159" s="321"/>
      <c r="AD159" s="168">
        <f>AD160</f>
        <v>105</v>
      </c>
      <c r="AE159" s="168">
        <f>AE160</f>
        <v>105</v>
      </c>
      <c r="AF159" s="168">
        <f t="shared" ref="AF159:AF160" si="59">AF160</f>
        <v>95</v>
      </c>
      <c r="AG159" s="575">
        <f t="shared" si="48"/>
        <v>0.90476190476190477</v>
      </c>
      <c r="AH159" s="194"/>
      <c r="AI159" s="156"/>
    </row>
    <row r="160" spans="1:35" x14ac:dyDescent="0.25">
      <c r="A160" s="97"/>
      <c r="B160" s="85"/>
      <c r="C160" s="86"/>
      <c r="D160" s="86"/>
      <c r="E160" s="87"/>
      <c r="F160" s="86"/>
      <c r="G160" s="88"/>
      <c r="H160" s="47"/>
      <c r="I160" s="98"/>
      <c r="J160" s="98"/>
      <c r="K160" s="98"/>
      <c r="L160" s="80"/>
      <c r="M160" s="98"/>
      <c r="N160" s="80"/>
      <c r="O160" s="89"/>
      <c r="P160" s="88"/>
      <c r="Q160" s="90"/>
      <c r="R160" s="91"/>
      <c r="S160" s="94"/>
      <c r="T160" s="94"/>
      <c r="U160" s="94"/>
      <c r="V160" s="94"/>
      <c r="X160" s="487" t="s">
        <v>44</v>
      </c>
      <c r="Y160" s="202" t="s">
        <v>65</v>
      </c>
      <c r="Z160" s="8" t="s">
        <v>31</v>
      </c>
      <c r="AA160" s="531">
        <v>13</v>
      </c>
      <c r="AB160" s="291" t="s">
        <v>736</v>
      </c>
      <c r="AC160" s="321">
        <v>800</v>
      </c>
      <c r="AD160" s="168">
        <f>AD161</f>
        <v>105</v>
      </c>
      <c r="AE160" s="168">
        <f>AE161</f>
        <v>105</v>
      </c>
      <c r="AF160" s="168">
        <f t="shared" si="59"/>
        <v>95</v>
      </c>
      <c r="AG160" s="575">
        <f t="shared" si="48"/>
        <v>0.90476190476190477</v>
      </c>
      <c r="AH160" s="194"/>
      <c r="AI160" s="156"/>
    </row>
    <row r="161" spans="1:35" x14ac:dyDescent="0.25">
      <c r="A161" s="97"/>
      <c r="B161" s="85"/>
      <c r="C161" s="86"/>
      <c r="D161" s="86"/>
      <c r="E161" s="87"/>
      <c r="F161" s="86"/>
      <c r="G161" s="88"/>
      <c r="H161" s="47"/>
      <c r="I161" s="98"/>
      <c r="J161" s="98"/>
      <c r="K161" s="98"/>
      <c r="L161" s="80"/>
      <c r="M161" s="98"/>
      <c r="N161" s="80"/>
      <c r="O161" s="89"/>
      <c r="P161" s="88"/>
      <c r="Q161" s="90"/>
      <c r="R161" s="91"/>
      <c r="S161" s="94"/>
      <c r="T161" s="94"/>
      <c r="U161" s="94"/>
      <c r="V161" s="94"/>
      <c r="X161" s="487" t="s">
        <v>60</v>
      </c>
      <c r="Y161" s="202" t="s">
        <v>65</v>
      </c>
      <c r="Z161" s="8" t="s">
        <v>31</v>
      </c>
      <c r="AA161" s="531">
        <v>13</v>
      </c>
      <c r="AB161" s="291" t="s">
        <v>736</v>
      </c>
      <c r="AC161" s="321">
        <v>850</v>
      </c>
      <c r="AD161" s="168">
        <f>75+30</f>
        <v>105</v>
      </c>
      <c r="AE161" s="168">
        <f>75+30</f>
        <v>105</v>
      </c>
      <c r="AF161" s="168">
        <v>95</v>
      </c>
      <c r="AG161" s="575">
        <f t="shared" si="48"/>
        <v>0.90476190476190477</v>
      </c>
      <c r="AH161" s="194"/>
      <c r="AI161" s="156"/>
    </row>
    <row r="162" spans="1:35" ht="31.5" x14ac:dyDescent="0.25">
      <c r="A162" s="97"/>
      <c r="B162" s="85"/>
      <c r="C162" s="86"/>
      <c r="D162" s="86"/>
      <c r="E162" s="87"/>
      <c r="F162" s="86"/>
      <c r="G162" s="88"/>
      <c r="H162" s="47"/>
      <c r="I162" s="98"/>
      <c r="J162" s="98"/>
      <c r="K162" s="98"/>
      <c r="L162" s="80"/>
      <c r="M162" s="98"/>
      <c r="N162" s="80"/>
      <c r="O162" s="89"/>
      <c r="P162" s="88"/>
      <c r="Q162" s="90"/>
      <c r="R162" s="91"/>
      <c r="S162" s="94"/>
      <c r="T162" s="94"/>
      <c r="U162" s="94"/>
      <c r="V162" s="94"/>
      <c r="X162" s="278" t="s">
        <v>481</v>
      </c>
      <c r="Y162" s="11" t="s">
        <v>65</v>
      </c>
      <c r="Z162" s="8" t="s">
        <v>31</v>
      </c>
      <c r="AA162" s="531">
        <v>13</v>
      </c>
      <c r="AB162" s="308" t="s">
        <v>482</v>
      </c>
      <c r="AC162" s="321"/>
      <c r="AD162" s="168">
        <f>AD163</f>
        <v>1770.2000000000007</v>
      </c>
      <c r="AE162" s="168">
        <f>AE163</f>
        <v>1770.3000000000006</v>
      </c>
      <c r="AF162" s="168">
        <f t="shared" ref="AF162:AF163" si="60">AF163</f>
        <v>0</v>
      </c>
      <c r="AG162" s="575">
        <f t="shared" si="48"/>
        <v>0</v>
      </c>
      <c r="AH162" s="194"/>
      <c r="AI162" s="156"/>
    </row>
    <row r="163" spans="1:35" x14ac:dyDescent="0.25">
      <c r="A163" s="97"/>
      <c r="B163" s="85"/>
      <c r="C163" s="86"/>
      <c r="D163" s="86"/>
      <c r="E163" s="87"/>
      <c r="F163" s="86"/>
      <c r="G163" s="88"/>
      <c r="H163" s="47"/>
      <c r="I163" s="98"/>
      <c r="J163" s="98"/>
      <c r="K163" s="98"/>
      <c r="L163" s="80"/>
      <c r="M163" s="98"/>
      <c r="N163" s="80"/>
      <c r="O163" s="89"/>
      <c r="P163" s="88"/>
      <c r="Q163" s="90"/>
      <c r="R163" s="91"/>
      <c r="S163" s="94"/>
      <c r="T163" s="94"/>
      <c r="U163" s="94"/>
      <c r="V163" s="94"/>
      <c r="X163" s="278" t="s">
        <v>44</v>
      </c>
      <c r="Y163" s="11" t="s">
        <v>65</v>
      </c>
      <c r="Z163" s="8" t="s">
        <v>31</v>
      </c>
      <c r="AA163" s="531">
        <v>13</v>
      </c>
      <c r="AB163" s="308" t="s">
        <v>482</v>
      </c>
      <c r="AC163" s="321">
        <v>800</v>
      </c>
      <c r="AD163" s="168">
        <f>AD164</f>
        <v>1770.2000000000007</v>
      </c>
      <c r="AE163" s="168">
        <f>AE164</f>
        <v>1770.3000000000006</v>
      </c>
      <c r="AF163" s="168">
        <f t="shared" si="60"/>
        <v>0</v>
      </c>
      <c r="AG163" s="575">
        <f t="shared" si="48"/>
        <v>0</v>
      </c>
      <c r="AH163" s="194"/>
      <c r="AI163" s="156"/>
    </row>
    <row r="164" spans="1:35" x14ac:dyDescent="0.25">
      <c r="A164" s="97"/>
      <c r="B164" s="85"/>
      <c r="C164" s="86"/>
      <c r="D164" s="86"/>
      <c r="E164" s="87"/>
      <c r="F164" s="86"/>
      <c r="G164" s="88"/>
      <c r="H164" s="47"/>
      <c r="I164" s="98"/>
      <c r="J164" s="98"/>
      <c r="K164" s="98"/>
      <c r="L164" s="80"/>
      <c r="M164" s="98"/>
      <c r="N164" s="80"/>
      <c r="O164" s="89"/>
      <c r="P164" s="88"/>
      <c r="Q164" s="90"/>
      <c r="R164" s="91"/>
      <c r="S164" s="94"/>
      <c r="T164" s="94"/>
      <c r="U164" s="94"/>
      <c r="V164" s="94"/>
      <c r="X164" s="278" t="s">
        <v>139</v>
      </c>
      <c r="Y164" s="11" t="s">
        <v>65</v>
      </c>
      <c r="Z164" s="8" t="s">
        <v>31</v>
      </c>
      <c r="AA164" s="531">
        <v>13</v>
      </c>
      <c r="AB164" s="308" t="s">
        <v>482</v>
      </c>
      <c r="AC164" s="321">
        <v>870</v>
      </c>
      <c r="AD164" s="168">
        <f>10000-6498.1-32-1+13.4+7488.8-6863.7-966-442+2547.6-715.8-250-93.8-1500+10000+2-403.9+15714.5+1338-27347.8+135-355</f>
        <v>1770.2000000000007</v>
      </c>
      <c r="AE164" s="168">
        <f>10000-6498.1-32-1+13.4+7488.8-6863.7-966-442+2547.6-715.8-250-93.8-1500+10000+2-403.9+15714.5+1338-27347.8+135-355+0.1</f>
        <v>1770.3000000000006</v>
      </c>
      <c r="AF164" s="168">
        <v>0</v>
      </c>
      <c r="AG164" s="575">
        <f t="shared" si="48"/>
        <v>0</v>
      </c>
      <c r="AH164" s="194"/>
      <c r="AI164" s="156"/>
    </row>
    <row r="165" spans="1:35" x14ac:dyDescent="0.25">
      <c r="A165" s="97"/>
      <c r="B165" s="85"/>
      <c r="C165" s="86"/>
      <c r="D165" s="86"/>
      <c r="E165" s="87"/>
      <c r="F165" s="86"/>
      <c r="G165" s="88"/>
      <c r="H165" s="47"/>
      <c r="I165" s="98"/>
      <c r="J165" s="98"/>
      <c r="K165" s="98"/>
      <c r="L165" s="80"/>
      <c r="M165" s="98"/>
      <c r="N165" s="80"/>
      <c r="O165" s="89"/>
      <c r="P165" s="88"/>
      <c r="Q165" s="90"/>
      <c r="R165" s="91"/>
      <c r="S165" s="94"/>
      <c r="T165" s="94"/>
      <c r="U165" s="94"/>
      <c r="V165" s="94"/>
      <c r="X165" s="278" t="s">
        <v>804</v>
      </c>
      <c r="Y165" s="11" t="s">
        <v>65</v>
      </c>
      <c r="Z165" s="8" t="s">
        <v>31</v>
      </c>
      <c r="AA165" s="531">
        <v>13</v>
      </c>
      <c r="AB165" s="308" t="s">
        <v>808</v>
      </c>
      <c r="AC165" s="321"/>
      <c r="AD165" s="168">
        <f t="shared" ref="AD165:AF166" si="61">AD166</f>
        <v>0</v>
      </c>
      <c r="AE165" s="168">
        <f t="shared" si="61"/>
        <v>150000</v>
      </c>
      <c r="AF165" s="168">
        <f t="shared" si="61"/>
        <v>0</v>
      </c>
      <c r="AG165" s="575">
        <f t="shared" si="48"/>
        <v>0</v>
      </c>
      <c r="AH165" s="194"/>
      <c r="AI165" s="156"/>
    </row>
    <row r="166" spans="1:35" x14ac:dyDescent="0.25">
      <c r="A166" s="97"/>
      <c r="B166" s="85"/>
      <c r="C166" s="86"/>
      <c r="D166" s="86"/>
      <c r="E166" s="87"/>
      <c r="F166" s="86"/>
      <c r="G166" s="88"/>
      <c r="H166" s="47"/>
      <c r="I166" s="98"/>
      <c r="J166" s="98"/>
      <c r="K166" s="98"/>
      <c r="L166" s="80"/>
      <c r="M166" s="98"/>
      <c r="N166" s="80"/>
      <c r="O166" s="89"/>
      <c r="P166" s="88"/>
      <c r="Q166" s="90"/>
      <c r="R166" s="91"/>
      <c r="S166" s="94"/>
      <c r="T166" s="94"/>
      <c r="U166" s="94"/>
      <c r="V166" s="94"/>
      <c r="X166" s="278" t="s">
        <v>123</v>
      </c>
      <c r="Y166" s="11" t="s">
        <v>65</v>
      </c>
      <c r="Z166" s="8" t="s">
        <v>31</v>
      </c>
      <c r="AA166" s="531">
        <v>13</v>
      </c>
      <c r="AB166" s="308" t="s">
        <v>808</v>
      </c>
      <c r="AC166" s="321">
        <v>200</v>
      </c>
      <c r="AD166" s="168">
        <f t="shared" si="61"/>
        <v>0</v>
      </c>
      <c r="AE166" s="168">
        <f t="shared" si="61"/>
        <v>150000</v>
      </c>
      <c r="AF166" s="168">
        <f t="shared" si="61"/>
        <v>0</v>
      </c>
      <c r="AG166" s="575">
        <f t="shared" si="48"/>
        <v>0</v>
      </c>
      <c r="AH166" s="194"/>
      <c r="AI166" s="156"/>
    </row>
    <row r="167" spans="1:35" ht="31.5" x14ac:dyDescent="0.25">
      <c r="A167" s="97"/>
      <c r="B167" s="85"/>
      <c r="C167" s="86"/>
      <c r="D167" s="86"/>
      <c r="E167" s="87"/>
      <c r="F167" s="86"/>
      <c r="G167" s="88"/>
      <c r="H167" s="47"/>
      <c r="I167" s="98"/>
      <c r="J167" s="98"/>
      <c r="K167" s="98"/>
      <c r="L167" s="80"/>
      <c r="M167" s="98"/>
      <c r="N167" s="80"/>
      <c r="O167" s="89"/>
      <c r="P167" s="88"/>
      <c r="Q167" s="90"/>
      <c r="R167" s="91"/>
      <c r="S167" s="94"/>
      <c r="T167" s="94"/>
      <c r="U167" s="94"/>
      <c r="V167" s="94"/>
      <c r="X167" s="278" t="s">
        <v>54</v>
      </c>
      <c r="Y167" s="11" t="s">
        <v>65</v>
      </c>
      <c r="Z167" s="8" t="s">
        <v>31</v>
      </c>
      <c r="AA167" s="531">
        <v>13</v>
      </c>
      <c r="AB167" s="308" t="s">
        <v>808</v>
      </c>
      <c r="AC167" s="321">
        <v>240</v>
      </c>
      <c r="AD167" s="168">
        <v>0</v>
      </c>
      <c r="AE167" s="168">
        <v>150000</v>
      </c>
      <c r="AF167" s="168">
        <v>0</v>
      </c>
      <c r="AG167" s="575">
        <f t="shared" si="48"/>
        <v>0</v>
      </c>
      <c r="AH167" s="194"/>
      <c r="AI167" s="156"/>
    </row>
    <row r="168" spans="1:35" s="103" customFormat="1" x14ac:dyDescent="0.25">
      <c r="A168" s="75"/>
      <c r="B168" s="76"/>
      <c r="C168" s="78"/>
      <c r="D168" s="78"/>
      <c r="E168" s="79"/>
      <c r="F168" s="7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2"/>
      <c r="R168" s="102"/>
      <c r="S168" s="102"/>
      <c r="T168" s="102"/>
      <c r="U168" s="102"/>
      <c r="V168" s="102"/>
      <c r="W168" s="102"/>
      <c r="X168" s="279" t="s">
        <v>11</v>
      </c>
      <c r="Y168" s="199" t="s">
        <v>65</v>
      </c>
      <c r="Z168" s="12" t="s">
        <v>32</v>
      </c>
      <c r="AA168" s="557"/>
      <c r="AB168" s="305"/>
      <c r="AC168" s="310"/>
      <c r="AD168" s="170">
        <f>AD169+AD176</f>
        <v>4349.3</v>
      </c>
      <c r="AE168" s="170">
        <f>AE169+AE176</f>
        <v>4349.3</v>
      </c>
      <c r="AF168" s="170">
        <f>AF169+AF176</f>
        <v>4349.3</v>
      </c>
      <c r="AG168" s="574">
        <f t="shared" si="48"/>
        <v>1</v>
      </c>
      <c r="AH168" s="222"/>
      <c r="AI168" s="156"/>
    </row>
    <row r="169" spans="1:35" x14ac:dyDescent="0.25">
      <c r="A169" s="104"/>
      <c r="B169" s="85"/>
      <c r="C169" s="86"/>
      <c r="D169" s="86"/>
      <c r="E169" s="87"/>
      <c r="F169" s="87"/>
      <c r="G169" s="88"/>
      <c r="H169" s="88"/>
      <c r="I169" s="88"/>
      <c r="J169" s="88"/>
      <c r="K169" s="88"/>
      <c r="L169" s="80"/>
      <c r="M169" s="88"/>
      <c r="N169" s="80"/>
      <c r="O169" s="88"/>
      <c r="P169" s="88"/>
      <c r="Q169" s="90"/>
      <c r="R169" s="94"/>
      <c r="S169" s="94"/>
      <c r="T169" s="94"/>
      <c r="U169" s="94"/>
      <c r="V169" s="94"/>
      <c r="X169" s="278" t="s">
        <v>12</v>
      </c>
      <c r="Y169" s="11" t="s">
        <v>65</v>
      </c>
      <c r="Z169" s="1" t="s">
        <v>32</v>
      </c>
      <c r="AA169" s="529" t="s">
        <v>7</v>
      </c>
      <c r="AB169" s="33"/>
      <c r="AC169" s="311"/>
      <c r="AD169" s="168">
        <f>AD170</f>
        <v>4067.3</v>
      </c>
      <c r="AE169" s="168">
        <f>AE170</f>
        <v>4067.3</v>
      </c>
      <c r="AF169" s="168">
        <f>AF170</f>
        <v>4067.3</v>
      </c>
      <c r="AG169" s="575">
        <f t="shared" si="48"/>
        <v>1</v>
      </c>
      <c r="AH169" s="194"/>
      <c r="AI169" s="156"/>
    </row>
    <row r="170" spans="1:35" ht="31.5" x14ac:dyDescent="0.25">
      <c r="A170" s="54"/>
      <c r="B170" s="85"/>
      <c r="C170" s="86"/>
      <c r="D170" s="86"/>
      <c r="E170" s="87"/>
      <c r="F170" s="87"/>
      <c r="G170" s="88"/>
      <c r="H170" s="88"/>
      <c r="I170" s="88"/>
      <c r="J170" s="88"/>
      <c r="K170" s="88"/>
      <c r="L170" s="80"/>
      <c r="M170" s="88"/>
      <c r="N170" s="80"/>
      <c r="O170" s="88"/>
      <c r="P170" s="88"/>
      <c r="Q170" s="90"/>
      <c r="R170" s="94"/>
      <c r="S170" s="94"/>
      <c r="T170" s="94"/>
      <c r="U170" s="94"/>
      <c r="V170" s="94"/>
      <c r="X170" s="280" t="s">
        <v>315</v>
      </c>
      <c r="Y170" s="11" t="s">
        <v>65</v>
      </c>
      <c r="Z170" s="1" t="s">
        <v>32</v>
      </c>
      <c r="AA170" s="529" t="s">
        <v>7</v>
      </c>
      <c r="AB170" s="163" t="s">
        <v>134</v>
      </c>
      <c r="AC170" s="311"/>
      <c r="AD170" s="168">
        <f t="shared" ref="AD170:AF173" si="62">AD171</f>
        <v>4067.3</v>
      </c>
      <c r="AE170" s="168">
        <f t="shared" si="62"/>
        <v>4067.3</v>
      </c>
      <c r="AF170" s="168">
        <f t="shared" si="62"/>
        <v>4067.3</v>
      </c>
      <c r="AG170" s="575">
        <f t="shared" si="48"/>
        <v>1</v>
      </c>
      <c r="AH170" s="194"/>
      <c r="AI170" s="156"/>
    </row>
    <row r="171" spans="1:35" x14ac:dyDescent="0.25">
      <c r="A171" s="54"/>
      <c r="B171" s="85"/>
      <c r="C171" s="86"/>
      <c r="D171" s="86"/>
      <c r="E171" s="87"/>
      <c r="F171" s="87"/>
      <c r="G171" s="88"/>
      <c r="H171" s="88"/>
      <c r="I171" s="88"/>
      <c r="J171" s="88"/>
      <c r="K171" s="88"/>
      <c r="L171" s="80"/>
      <c r="M171" s="88"/>
      <c r="N171" s="80"/>
      <c r="O171" s="88"/>
      <c r="P171" s="88"/>
      <c r="Q171" s="90"/>
      <c r="R171" s="94"/>
      <c r="S171" s="94"/>
      <c r="T171" s="94"/>
      <c r="U171" s="94"/>
      <c r="V171" s="94"/>
      <c r="X171" s="280" t="s">
        <v>50</v>
      </c>
      <c r="Y171" s="11" t="s">
        <v>65</v>
      </c>
      <c r="Z171" s="1" t="s">
        <v>32</v>
      </c>
      <c r="AA171" s="529" t="s">
        <v>7</v>
      </c>
      <c r="AB171" s="163" t="s">
        <v>502</v>
      </c>
      <c r="AC171" s="311"/>
      <c r="AD171" s="168">
        <f t="shared" si="62"/>
        <v>4067.3</v>
      </c>
      <c r="AE171" s="168">
        <f t="shared" si="62"/>
        <v>4067.3</v>
      </c>
      <c r="AF171" s="168">
        <f t="shared" si="62"/>
        <v>4067.3</v>
      </c>
      <c r="AG171" s="575">
        <f t="shared" si="48"/>
        <v>1</v>
      </c>
      <c r="AH171" s="194"/>
      <c r="AI171" s="156"/>
    </row>
    <row r="172" spans="1:35" x14ac:dyDescent="0.25">
      <c r="A172" s="54"/>
      <c r="B172" s="85"/>
      <c r="C172" s="86"/>
      <c r="D172" s="86"/>
      <c r="E172" s="87"/>
      <c r="F172" s="87"/>
      <c r="G172" s="88"/>
      <c r="H172" s="88"/>
      <c r="I172" s="88"/>
      <c r="J172" s="88"/>
      <c r="K172" s="88"/>
      <c r="L172" s="80"/>
      <c r="M172" s="88"/>
      <c r="N172" s="80"/>
      <c r="O172" s="88"/>
      <c r="P172" s="88"/>
      <c r="Q172" s="90"/>
      <c r="R172" s="94"/>
      <c r="S172" s="94"/>
      <c r="T172" s="94"/>
      <c r="U172" s="94"/>
      <c r="V172" s="94"/>
      <c r="X172" s="302" t="s">
        <v>515</v>
      </c>
      <c r="Y172" s="11" t="s">
        <v>65</v>
      </c>
      <c r="Z172" s="1" t="s">
        <v>32</v>
      </c>
      <c r="AA172" s="529" t="s">
        <v>7</v>
      </c>
      <c r="AB172" s="163" t="s">
        <v>503</v>
      </c>
      <c r="AC172" s="311"/>
      <c r="AD172" s="168">
        <f t="shared" si="62"/>
        <v>4067.3</v>
      </c>
      <c r="AE172" s="168">
        <f t="shared" si="62"/>
        <v>4067.3</v>
      </c>
      <c r="AF172" s="168">
        <f t="shared" si="62"/>
        <v>4067.3</v>
      </c>
      <c r="AG172" s="575">
        <f t="shared" si="48"/>
        <v>1</v>
      </c>
      <c r="AH172" s="194"/>
      <c r="AI172" s="156"/>
    </row>
    <row r="173" spans="1:35" s="107" customFormat="1" ht="32.450000000000003" customHeight="1" x14ac:dyDescent="0.25">
      <c r="A173" s="105"/>
      <c r="B173" s="76"/>
      <c r="C173" s="78"/>
      <c r="D173" s="78"/>
      <c r="E173" s="79"/>
      <c r="F173" s="106"/>
      <c r="G173" s="80"/>
      <c r="H173" s="80"/>
      <c r="I173" s="80"/>
      <c r="J173" s="80"/>
      <c r="K173" s="80"/>
      <c r="L173" s="80"/>
      <c r="M173" s="80"/>
      <c r="N173" s="80"/>
      <c r="O173" s="81"/>
      <c r="P173" s="80"/>
      <c r="Q173" s="82"/>
      <c r="R173" s="102"/>
      <c r="S173" s="102"/>
      <c r="T173" s="102"/>
      <c r="U173" s="102"/>
      <c r="V173" s="102"/>
      <c r="W173" s="106"/>
      <c r="X173" s="280" t="s">
        <v>514</v>
      </c>
      <c r="Y173" s="11" t="s">
        <v>65</v>
      </c>
      <c r="Z173" s="1" t="s">
        <v>32</v>
      </c>
      <c r="AA173" s="529" t="s">
        <v>7</v>
      </c>
      <c r="AB173" s="163" t="s">
        <v>510</v>
      </c>
      <c r="AC173" s="323"/>
      <c r="AD173" s="168">
        <f>AD174</f>
        <v>4067.3</v>
      </c>
      <c r="AE173" s="168">
        <f t="shared" si="62"/>
        <v>4067.3</v>
      </c>
      <c r="AF173" s="168">
        <f t="shared" si="62"/>
        <v>4067.3</v>
      </c>
      <c r="AG173" s="575">
        <f t="shared" si="48"/>
        <v>1</v>
      </c>
      <c r="AH173" s="194"/>
      <c r="AI173" s="156"/>
    </row>
    <row r="174" spans="1:35" s="47" customFormat="1" ht="47.25" x14ac:dyDescent="0.25">
      <c r="A174" s="108"/>
      <c r="B174" s="85"/>
      <c r="C174" s="86"/>
      <c r="D174" s="86"/>
      <c r="E174" s="87"/>
      <c r="F174" s="109"/>
      <c r="G174" s="88"/>
      <c r="H174" s="88"/>
      <c r="I174" s="88"/>
      <c r="J174" s="88"/>
      <c r="K174" s="88"/>
      <c r="L174" s="80"/>
      <c r="M174" s="88"/>
      <c r="N174" s="80"/>
      <c r="O174" s="99"/>
      <c r="P174" s="88"/>
      <c r="Q174" s="90"/>
      <c r="R174" s="94"/>
      <c r="S174" s="94"/>
      <c r="T174" s="94"/>
      <c r="U174" s="94"/>
      <c r="V174" s="94"/>
      <c r="W174" s="109"/>
      <c r="X174" s="278" t="s">
        <v>43</v>
      </c>
      <c r="Y174" s="11" t="s">
        <v>65</v>
      </c>
      <c r="Z174" s="1" t="s">
        <v>32</v>
      </c>
      <c r="AA174" s="529" t="s">
        <v>7</v>
      </c>
      <c r="AB174" s="163" t="s">
        <v>510</v>
      </c>
      <c r="AC174" s="309">
        <v>100</v>
      </c>
      <c r="AD174" s="168">
        <f>AD175</f>
        <v>4067.3</v>
      </c>
      <c r="AE174" s="168">
        <f>AE175</f>
        <v>4067.3</v>
      </c>
      <c r="AF174" s="168">
        <f>AF175</f>
        <v>4067.3</v>
      </c>
      <c r="AG174" s="575">
        <f t="shared" si="48"/>
        <v>1</v>
      </c>
      <c r="AH174" s="194"/>
      <c r="AI174" s="156"/>
    </row>
    <row r="175" spans="1:35" x14ac:dyDescent="0.25">
      <c r="A175" s="97"/>
      <c r="B175" s="85"/>
      <c r="C175" s="86"/>
      <c r="D175" s="86"/>
      <c r="E175" s="87"/>
      <c r="F175" s="86"/>
      <c r="G175" s="88"/>
      <c r="H175" s="109"/>
      <c r="I175" s="109"/>
      <c r="J175" s="109"/>
      <c r="K175" s="109"/>
      <c r="L175" s="80"/>
      <c r="M175" s="109"/>
      <c r="N175" s="80"/>
      <c r="O175" s="99"/>
      <c r="P175" s="88"/>
      <c r="Q175" s="90"/>
      <c r="R175" s="91"/>
      <c r="S175" s="94"/>
      <c r="T175" s="94"/>
      <c r="U175" s="94"/>
      <c r="V175" s="94"/>
      <c r="W175" s="109"/>
      <c r="X175" s="278" t="s">
        <v>99</v>
      </c>
      <c r="Y175" s="11" t="s">
        <v>65</v>
      </c>
      <c r="Z175" s="1" t="s">
        <v>32</v>
      </c>
      <c r="AA175" s="529" t="s">
        <v>7</v>
      </c>
      <c r="AB175" s="163" t="s">
        <v>510</v>
      </c>
      <c r="AC175" s="309">
        <v>120</v>
      </c>
      <c r="AD175" s="168">
        <v>4067.3</v>
      </c>
      <c r="AE175" s="168">
        <v>4067.3</v>
      </c>
      <c r="AF175" s="168">
        <v>4067.3</v>
      </c>
      <c r="AG175" s="575">
        <f t="shared" si="48"/>
        <v>1</v>
      </c>
      <c r="AH175" s="194"/>
      <c r="AI175" s="156"/>
    </row>
    <row r="176" spans="1:35" x14ac:dyDescent="0.25">
      <c r="A176" s="97"/>
      <c r="B176" s="85"/>
      <c r="C176" s="86"/>
      <c r="D176" s="86"/>
      <c r="E176" s="87"/>
      <c r="F176" s="86"/>
      <c r="G176" s="88"/>
      <c r="H176" s="109"/>
      <c r="I176" s="109"/>
      <c r="J176" s="109"/>
      <c r="K176" s="109"/>
      <c r="L176" s="80"/>
      <c r="M176" s="109"/>
      <c r="N176" s="80"/>
      <c r="O176" s="99"/>
      <c r="P176" s="88"/>
      <c r="Q176" s="90"/>
      <c r="R176" s="91"/>
      <c r="S176" s="94"/>
      <c r="T176" s="94"/>
      <c r="U176" s="94"/>
      <c r="V176" s="94"/>
      <c r="W176" s="109"/>
      <c r="X176" s="278" t="s">
        <v>49</v>
      </c>
      <c r="Y176" s="11" t="s">
        <v>65</v>
      </c>
      <c r="Z176" s="1" t="s">
        <v>32</v>
      </c>
      <c r="AA176" s="529" t="s">
        <v>51</v>
      </c>
      <c r="AB176" s="33"/>
      <c r="AC176" s="309"/>
      <c r="AD176" s="168">
        <f t="shared" ref="AD176:AF181" si="63">AD177</f>
        <v>282</v>
      </c>
      <c r="AE176" s="168">
        <f t="shared" si="63"/>
        <v>282</v>
      </c>
      <c r="AF176" s="168">
        <f t="shared" si="63"/>
        <v>282</v>
      </c>
      <c r="AG176" s="575">
        <f t="shared" si="48"/>
        <v>1</v>
      </c>
      <c r="AH176" s="194"/>
      <c r="AI176" s="156"/>
    </row>
    <row r="177" spans="1:35" x14ac:dyDescent="0.25">
      <c r="A177" s="97"/>
      <c r="B177" s="85"/>
      <c r="C177" s="86"/>
      <c r="D177" s="86"/>
      <c r="E177" s="87"/>
      <c r="F177" s="86"/>
      <c r="G177" s="88"/>
      <c r="H177" s="109"/>
      <c r="I177" s="109"/>
      <c r="J177" s="109"/>
      <c r="K177" s="109"/>
      <c r="L177" s="80"/>
      <c r="M177" s="109"/>
      <c r="N177" s="80"/>
      <c r="O177" s="99"/>
      <c r="P177" s="88"/>
      <c r="Q177" s="90"/>
      <c r="R177" s="91"/>
      <c r="S177" s="94"/>
      <c r="T177" s="94"/>
      <c r="U177" s="94"/>
      <c r="V177" s="94"/>
      <c r="W177" s="109"/>
      <c r="X177" s="284" t="s">
        <v>193</v>
      </c>
      <c r="Y177" s="11" t="s">
        <v>65</v>
      </c>
      <c r="Z177" s="1" t="s">
        <v>32</v>
      </c>
      <c r="AA177" s="529" t="s">
        <v>51</v>
      </c>
      <c r="AB177" s="163" t="s">
        <v>115</v>
      </c>
      <c r="AC177" s="309"/>
      <c r="AD177" s="168">
        <f t="shared" si="63"/>
        <v>282</v>
      </c>
      <c r="AE177" s="168">
        <f t="shared" si="63"/>
        <v>282</v>
      </c>
      <c r="AF177" s="168">
        <f t="shared" si="63"/>
        <v>282</v>
      </c>
      <c r="AG177" s="575">
        <f t="shared" si="48"/>
        <v>1</v>
      </c>
      <c r="AH177" s="194"/>
      <c r="AI177" s="156"/>
    </row>
    <row r="178" spans="1:35" x14ac:dyDescent="0.25">
      <c r="A178" s="97"/>
      <c r="B178" s="85"/>
      <c r="C178" s="86"/>
      <c r="D178" s="86"/>
      <c r="E178" s="87"/>
      <c r="F178" s="86"/>
      <c r="G178" s="88"/>
      <c r="H178" s="109"/>
      <c r="I178" s="109"/>
      <c r="J178" s="109"/>
      <c r="K178" s="109"/>
      <c r="L178" s="80"/>
      <c r="M178" s="109"/>
      <c r="N178" s="80"/>
      <c r="O178" s="99"/>
      <c r="P178" s="88"/>
      <c r="Q178" s="90"/>
      <c r="R178" s="91"/>
      <c r="S178" s="94"/>
      <c r="T178" s="94"/>
      <c r="U178" s="94"/>
      <c r="V178" s="94"/>
      <c r="W178" s="109"/>
      <c r="X178" s="284" t="s">
        <v>198</v>
      </c>
      <c r="Y178" s="11" t="s">
        <v>65</v>
      </c>
      <c r="Z178" s="1" t="s">
        <v>32</v>
      </c>
      <c r="AA178" s="529" t="s">
        <v>51</v>
      </c>
      <c r="AB178" s="163" t="s">
        <v>199</v>
      </c>
      <c r="AC178" s="309"/>
      <c r="AD178" s="168">
        <f t="shared" ref="AD178:AF179" si="64">AD179</f>
        <v>282</v>
      </c>
      <c r="AE178" s="168">
        <f t="shared" si="64"/>
        <v>282</v>
      </c>
      <c r="AF178" s="168">
        <f t="shared" si="64"/>
        <v>282</v>
      </c>
      <c r="AG178" s="575">
        <f t="shared" si="48"/>
        <v>1</v>
      </c>
      <c r="AH178" s="194"/>
      <c r="AI178" s="156"/>
    </row>
    <row r="179" spans="1:35" ht="31.5" x14ac:dyDescent="0.25">
      <c r="A179" s="97"/>
      <c r="B179" s="85"/>
      <c r="C179" s="86"/>
      <c r="D179" s="86"/>
      <c r="E179" s="87"/>
      <c r="F179" s="86"/>
      <c r="G179" s="88"/>
      <c r="H179" s="109"/>
      <c r="I179" s="109"/>
      <c r="J179" s="109"/>
      <c r="K179" s="109"/>
      <c r="L179" s="80"/>
      <c r="M179" s="109"/>
      <c r="N179" s="80"/>
      <c r="O179" s="99"/>
      <c r="P179" s="88"/>
      <c r="Q179" s="90"/>
      <c r="R179" s="91"/>
      <c r="S179" s="94"/>
      <c r="T179" s="94"/>
      <c r="U179" s="94"/>
      <c r="V179" s="94"/>
      <c r="W179" s="109"/>
      <c r="X179" s="284" t="s">
        <v>200</v>
      </c>
      <c r="Y179" s="11" t="s">
        <v>65</v>
      </c>
      <c r="Z179" s="1" t="s">
        <v>32</v>
      </c>
      <c r="AA179" s="529" t="s">
        <v>51</v>
      </c>
      <c r="AB179" s="163" t="s">
        <v>201</v>
      </c>
      <c r="AC179" s="309"/>
      <c r="AD179" s="168">
        <f t="shared" si="64"/>
        <v>282</v>
      </c>
      <c r="AE179" s="168">
        <f t="shared" si="64"/>
        <v>282</v>
      </c>
      <c r="AF179" s="168">
        <f t="shared" si="64"/>
        <v>282</v>
      </c>
      <c r="AG179" s="575">
        <f t="shared" si="48"/>
        <v>1</v>
      </c>
      <c r="AH179" s="194"/>
      <c r="AI179" s="156"/>
    </row>
    <row r="180" spans="1:35" x14ac:dyDescent="0.25">
      <c r="A180" s="96"/>
      <c r="B180" s="85"/>
      <c r="C180" s="86"/>
      <c r="D180" s="86"/>
      <c r="E180" s="87"/>
      <c r="F180" s="79"/>
      <c r="G180" s="88"/>
      <c r="H180" s="88"/>
      <c r="I180" s="88"/>
      <c r="J180" s="88"/>
      <c r="K180" s="88"/>
      <c r="L180" s="80"/>
      <c r="M180" s="88"/>
      <c r="N180" s="80"/>
      <c r="O180" s="89"/>
      <c r="P180" s="88"/>
      <c r="Q180" s="90"/>
      <c r="R180" s="94"/>
      <c r="S180" s="94"/>
      <c r="T180" s="94"/>
      <c r="U180" s="94"/>
      <c r="V180" s="94"/>
      <c r="W180" s="94"/>
      <c r="X180" s="283" t="s">
        <v>230</v>
      </c>
      <c r="Y180" s="11" t="s">
        <v>65</v>
      </c>
      <c r="Z180" s="1" t="s">
        <v>32</v>
      </c>
      <c r="AA180" s="529" t="s">
        <v>51</v>
      </c>
      <c r="AB180" s="306" t="s">
        <v>231</v>
      </c>
      <c r="AC180" s="310"/>
      <c r="AD180" s="168">
        <f t="shared" si="63"/>
        <v>282</v>
      </c>
      <c r="AE180" s="168">
        <f t="shared" si="63"/>
        <v>282</v>
      </c>
      <c r="AF180" s="168">
        <f t="shared" si="63"/>
        <v>282</v>
      </c>
      <c r="AG180" s="575">
        <f t="shared" si="48"/>
        <v>1</v>
      </c>
      <c r="AH180" s="194"/>
      <c r="AI180" s="156"/>
    </row>
    <row r="181" spans="1:35" x14ac:dyDescent="0.25">
      <c r="A181" s="96"/>
      <c r="B181" s="85"/>
      <c r="C181" s="86"/>
      <c r="D181" s="86"/>
      <c r="E181" s="87"/>
      <c r="F181" s="79"/>
      <c r="G181" s="88"/>
      <c r="H181" s="88"/>
      <c r="I181" s="88"/>
      <c r="J181" s="88"/>
      <c r="K181" s="88"/>
      <c r="L181" s="80"/>
      <c r="M181" s="88"/>
      <c r="N181" s="80"/>
      <c r="O181" s="89"/>
      <c r="P181" s="88"/>
      <c r="Q181" s="90"/>
      <c r="R181" s="94"/>
      <c r="S181" s="94"/>
      <c r="T181" s="94"/>
      <c r="U181" s="94"/>
      <c r="V181" s="94"/>
      <c r="W181" s="94"/>
      <c r="X181" s="278" t="s">
        <v>123</v>
      </c>
      <c r="Y181" s="11" t="s">
        <v>65</v>
      </c>
      <c r="Z181" s="1" t="s">
        <v>32</v>
      </c>
      <c r="AA181" s="529" t="s">
        <v>51</v>
      </c>
      <c r="AB181" s="306" t="s">
        <v>231</v>
      </c>
      <c r="AC181" s="315">
        <v>200</v>
      </c>
      <c r="AD181" s="168">
        <f t="shared" si="63"/>
        <v>282</v>
      </c>
      <c r="AE181" s="168">
        <f t="shared" si="63"/>
        <v>282</v>
      </c>
      <c r="AF181" s="168">
        <f t="shared" si="63"/>
        <v>282</v>
      </c>
      <c r="AG181" s="575">
        <f t="shared" si="48"/>
        <v>1</v>
      </c>
      <c r="AH181" s="194"/>
      <c r="AI181" s="156"/>
    </row>
    <row r="182" spans="1:35" ht="31.5" x14ac:dyDescent="0.25">
      <c r="A182" s="96"/>
      <c r="B182" s="85"/>
      <c r="C182" s="86"/>
      <c r="D182" s="86"/>
      <c r="E182" s="87"/>
      <c r="F182" s="79"/>
      <c r="G182" s="88"/>
      <c r="H182" s="88"/>
      <c r="I182" s="88"/>
      <c r="J182" s="88"/>
      <c r="K182" s="88"/>
      <c r="L182" s="80"/>
      <c r="M182" s="88"/>
      <c r="N182" s="80"/>
      <c r="O182" s="89"/>
      <c r="P182" s="88"/>
      <c r="Q182" s="90"/>
      <c r="R182" s="94"/>
      <c r="S182" s="94"/>
      <c r="T182" s="94"/>
      <c r="U182" s="94"/>
      <c r="V182" s="94"/>
      <c r="W182" s="94"/>
      <c r="X182" s="278" t="s">
        <v>54</v>
      </c>
      <c r="Y182" s="11" t="s">
        <v>65</v>
      </c>
      <c r="Z182" s="1" t="s">
        <v>32</v>
      </c>
      <c r="AA182" s="529" t="s">
        <v>51</v>
      </c>
      <c r="AB182" s="306" t="s">
        <v>231</v>
      </c>
      <c r="AC182" s="315">
        <v>240</v>
      </c>
      <c r="AD182" s="168">
        <f>200+50+32</f>
        <v>282</v>
      </c>
      <c r="AE182" s="168">
        <f>200+50+32</f>
        <v>282</v>
      </c>
      <c r="AF182" s="168">
        <v>282</v>
      </c>
      <c r="AG182" s="575">
        <f t="shared" si="48"/>
        <v>1</v>
      </c>
      <c r="AH182" s="194"/>
      <c r="AI182" s="156"/>
    </row>
    <row r="183" spans="1:35" s="84" customFormat="1" x14ac:dyDescent="0.25">
      <c r="A183" s="75"/>
      <c r="B183" s="76"/>
      <c r="C183" s="78"/>
      <c r="D183" s="78"/>
      <c r="E183" s="79"/>
      <c r="F183" s="7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2"/>
      <c r="R183" s="102"/>
      <c r="S183" s="102"/>
      <c r="T183" s="102"/>
      <c r="U183" s="102"/>
      <c r="V183" s="102"/>
      <c r="W183" s="102"/>
      <c r="X183" s="279" t="s">
        <v>48</v>
      </c>
      <c r="Y183" s="199" t="s">
        <v>65</v>
      </c>
      <c r="Z183" s="12" t="s">
        <v>7</v>
      </c>
      <c r="AA183" s="557"/>
      <c r="AB183" s="305"/>
      <c r="AC183" s="310"/>
      <c r="AD183" s="170">
        <f>AD184+AD195+AD233</f>
        <v>41353.300000000003</v>
      </c>
      <c r="AE183" s="170">
        <f>AE184+AE195+AE233</f>
        <v>41353.300000000003</v>
      </c>
      <c r="AF183" s="170">
        <f>AF184+AF195+AF233</f>
        <v>39451.599999999999</v>
      </c>
      <c r="AG183" s="574">
        <f t="shared" si="48"/>
        <v>0.95401334355420231</v>
      </c>
      <c r="AH183" s="222"/>
      <c r="AI183" s="156"/>
    </row>
    <row r="184" spans="1:35" s="110" customFormat="1" x14ac:dyDescent="0.25">
      <c r="A184" s="100"/>
      <c r="B184" s="85"/>
      <c r="C184" s="86"/>
      <c r="D184" s="86"/>
      <c r="E184" s="87"/>
      <c r="F184" s="87"/>
      <c r="G184" s="88"/>
      <c r="H184" s="88"/>
      <c r="I184" s="88"/>
      <c r="J184" s="88"/>
      <c r="K184" s="88"/>
      <c r="L184" s="80"/>
      <c r="M184" s="88"/>
      <c r="N184" s="80"/>
      <c r="O184" s="88"/>
      <c r="P184" s="88"/>
      <c r="Q184" s="90"/>
      <c r="R184" s="94"/>
      <c r="S184" s="94"/>
      <c r="T184" s="94"/>
      <c r="U184" s="94"/>
      <c r="V184" s="94"/>
      <c r="W184" s="94"/>
      <c r="X184" s="278" t="s">
        <v>395</v>
      </c>
      <c r="Y184" s="11" t="s">
        <v>65</v>
      </c>
      <c r="Z184" s="1" t="s">
        <v>7</v>
      </c>
      <c r="AA184" s="529" t="s">
        <v>23</v>
      </c>
      <c r="AB184" s="33"/>
      <c r="AC184" s="311"/>
      <c r="AD184" s="168">
        <f>AD185</f>
        <v>1201.5</v>
      </c>
      <c r="AE184" s="168">
        <f>AE185</f>
        <v>1201.5</v>
      </c>
      <c r="AF184" s="168">
        <f>AF185</f>
        <v>1136.9000000000001</v>
      </c>
      <c r="AG184" s="575">
        <f t="shared" si="48"/>
        <v>0.94623387432376205</v>
      </c>
      <c r="AH184" s="194"/>
      <c r="AI184" s="156"/>
    </row>
    <row r="185" spans="1:35" s="110" customFormat="1" ht="31.5" x14ac:dyDescent="0.25">
      <c r="A185" s="100"/>
      <c r="B185" s="85"/>
      <c r="C185" s="86"/>
      <c r="D185" s="86"/>
      <c r="E185" s="87"/>
      <c r="F185" s="87"/>
      <c r="G185" s="88"/>
      <c r="H185" s="88"/>
      <c r="I185" s="88"/>
      <c r="J185" s="88"/>
      <c r="K185" s="88"/>
      <c r="L185" s="80"/>
      <c r="M185" s="88"/>
      <c r="N185" s="80"/>
      <c r="O185" s="88"/>
      <c r="P185" s="88"/>
      <c r="Q185" s="90"/>
      <c r="R185" s="94"/>
      <c r="S185" s="94"/>
      <c r="T185" s="94"/>
      <c r="U185" s="94"/>
      <c r="V185" s="94"/>
      <c r="W185" s="94"/>
      <c r="X185" s="284" t="s">
        <v>168</v>
      </c>
      <c r="Y185" s="11" t="s">
        <v>65</v>
      </c>
      <c r="Z185" s="1" t="s">
        <v>7</v>
      </c>
      <c r="AA185" s="529" t="s">
        <v>23</v>
      </c>
      <c r="AB185" s="33" t="s">
        <v>105</v>
      </c>
      <c r="AC185" s="311"/>
      <c r="AD185" s="168">
        <f>AD186</f>
        <v>1201.5</v>
      </c>
      <c r="AE185" s="168">
        <f>AE186</f>
        <v>1201.5</v>
      </c>
      <c r="AF185" s="168">
        <f t="shared" ref="AF185" si="65">AF186</f>
        <v>1136.9000000000001</v>
      </c>
      <c r="AG185" s="575">
        <f t="shared" si="48"/>
        <v>0.94623387432376205</v>
      </c>
      <c r="AH185" s="194"/>
      <c r="AI185" s="156"/>
    </row>
    <row r="186" spans="1:35" s="110" customFormat="1" ht="31.5" x14ac:dyDescent="0.25">
      <c r="A186" s="100"/>
      <c r="B186" s="85"/>
      <c r="C186" s="86"/>
      <c r="D186" s="86"/>
      <c r="E186" s="87"/>
      <c r="F186" s="87"/>
      <c r="G186" s="88"/>
      <c r="H186" s="88"/>
      <c r="I186" s="88"/>
      <c r="J186" s="88"/>
      <c r="K186" s="88"/>
      <c r="L186" s="80"/>
      <c r="M186" s="88"/>
      <c r="N186" s="80"/>
      <c r="O186" s="88"/>
      <c r="P186" s="88"/>
      <c r="Q186" s="90"/>
      <c r="R186" s="94"/>
      <c r="S186" s="94"/>
      <c r="T186" s="94"/>
      <c r="U186" s="94"/>
      <c r="V186" s="94"/>
      <c r="W186" s="94"/>
      <c r="X186" s="284" t="s">
        <v>681</v>
      </c>
      <c r="Y186" s="11" t="s">
        <v>65</v>
      </c>
      <c r="Z186" s="1" t="s">
        <v>7</v>
      </c>
      <c r="AA186" s="529" t="s">
        <v>23</v>
      </c>
      <c r="AB186" s="163" t="s">
        <v>106</v>
      </c>
      <c r="AC186" s="311"/>
      <c r="AD186" s="168">
        <f>AD187+AD191</f>
        <v>1201.5</v>
      </c>
      <c r="AE186" s="168">
        <f>AE187+AE191</f>
        <v>1201.5</v>
      </c>
      <c r="AF186" s="168">
        <f t="shared" ref="AF186" si="66">AF187+AF191</f>
        <v>1136.9000000000001</v>
      </c>
      <c r="AG186" s="575">
        <f t="shared" si="48"/>
        <v>0.94623387432376205</v>
      </c>
      <c r="AH186" s="194"/>
      <c r="AI186" s="156"/>
    </row>
    <row r="187" spans="1:35" s="110" customFormat="1" ht="78.75" x14ac:dyDescent="0.25">
      <c r="A187" s="100"/>
      <c r="B187" s="85"/>
      <c r="C187" s="86"/>
      <c r="D187" s="86"/>
      <c r="E187" s="87"/>
      <c r="F187" s="87"/>
      <c r="G187" s="88"/>
      <c r="H187" s="88"/>
      <c r="I187" s="88"/>
      <c r="J187" s="88"/>
      <c r="K187" s="88"/>
      <c r="L187" s="80"/>
      <c r="M187" s="88"/>
      <c r="N187" s="80"/>
      <c r="O187" s="88"/>
      <c r="P187" s="88"/>
      <c r="Q187" s="90"/>
      <c r="R187" s="94"/>
      <c r="S187" s="94"/>
      <c r="T187" s="94"/>
      <c r="U187" s="94"/>
      <c r="V187" s="94"/>
      <c r="W187" s="94"/>
      <c r="X187" s="282" t="s">
        <v>683</v>
      </c>
      <c r="Y187" s="11" t="s">
        <v>65</v>
      </c>
      <c r="Z187" s="1" t="s">
        <v>7</v>
      </c>
      <c r="AA187" s="529" t="s">
        <v>23</v>
      </c>
      <c r="AB187" s="163" t="s">
        <v>126</v>
      </c>
      <c r="AC187" s="311"/>
      <c r="AD187" s="168">
        <f t="shared" ref="AD187:AF189" si="67">AD188</f>
        <v>821.5</v>
      </c>
      <c r="AE187" s="168">
        <f t="shared" si="67"/>
        <v>821.5</v>
      </c>
      <c r="AF187" s="168">
        <f t="shared" si="67"/>
        <v>756.9</v>
      </c>
      <c r="AG187" s="575">
        <f t="shared" si="48"/>
        <v>0.92136335970785144</v>
      </c>
      <c r="AH187" s="194"/>
      <c r="AI187" s="156"/>
    </row>
    <row r="188" spans="1:35" s="110" customFormat="1" ht="31.5" x14ac:dyDescent="0.25">
      <c r="A188" s="100"/>
      <c r="B188" s="85"/>
      <c r="C188" s="86"/>
      <c r="D188" s="86"/>
      <c r="E188" s="87"/>
      <c r="F188" s="87"/>
      <c r="G188" s="88"/>
      <c r="H188" s="88"/>
      <c r="I188" s="88"/>
      <c r="J188" s="88"/>
      <c r="K188" s="88"/>
      <c r="L188" s="80"/>
      <c r="M188" s="88"/>
      <c r="N188" s="80"/>
      <c r="O188" s="88"/>
      <c r="P188" s="88"/>
      <c r="Q188" s="90"/>
      <c r="R188" s="94"/>
      <c r="S188" s="94"/>
      <c r="T188" s="94"/>
      <c r="U188" s="94"/>
      <c r="V188" s="94"/>
      <c r="W188" s="94"/>
      <c r="X188" s="282" t="s">
        <v>180</v>
      </c>
      <c r="Y188" s="11" t="s">
        <v>65</v>
      </c>
      <c r="Z188" s="1" t="s">
        <v>7</v>
      </c>
      <c r="AA188" s="529" t="s">
        <v>23</v>
      </c>
      <c r="AB188" s="163" t="s">
        <v>181</v>
      </c>
      <c r="AC188" s="311"/>
      <c r="AD188" s="168">
        <f t="shared" si="67"/>
        <v>821.5</v>
      </c>
      <c r="AE188" s="168">
        <f t="shared" si="67"/>
        <v>821.5</v>
      </c>
      <c r="AF188" s="168">
        <f t="shared" si="67"/>
        <v>756.9</v>
      </c>
      <c r="AG188" s="575">
        <f t="shared" si="48"/>
        <v>0.92136335970785144</v>
      </c>
      <c r="AH188" s="194"/>
      <c r="AI188" s="156"/>
    </row>
    <row r="189" spans="1:35" s="110" customFormat="1" x14ac:dyDescent="0.25">
      <c r="A189" s="100"/>
      <c r="B189" s="85"/>
      <c r="C189" s="86"/>
      <c r="D189" s="86"/>
      <c r="E189" s="87"/>
      <c r="F189" s="87"/>
      <c r="G189" s="88"/>
      <c r="H189" s="88"/>
      <c r="I189" s="88"/>
      <c r="J189" s="88"/>
      <c r="K189" s="88"/>
      <c r="L189" s="80"/>
      <c r="M189" s="88"/>
      <c r="N189" s="80"/>
      <c r="O189" s="88"/>
      <c r="P189" s="88"/>
      <c r="Q189" s="90"/>
      <c r="R189" s="94"/>
      <c r="S189" s="94"/>
      <c r="T189" s="94"/>
      <c r="U189" s="94"/>
      <c r="V189" s="94"/>
      <c r="W189" s="94"/>
      <c r="X189" s="278" t="s">
        <v>123</v>
      </c>
      <c r="Y189" s="11" t="s">
        <v>65</v>
      </c>
      <c r="Z189" s="1" t="s">
        <v>7</v>
      </c>
      <c r="AA189" s="529" t="s">
        <v>23</v>
      </c>
      <c r="AB189" s="163" t="s">
        <v>181</v>
      </c>
      <c r="AC189" s="311">
        <v>200</v>
      </c>
      <c r="AD189" s="168">
        <f t="shared" si="67"/>
        <v>821.5</v>
      </c>
      <c r="AE189" s="168">
        <f t="shared" si="67"/>
        <v>821.5</v>
      </c>
      <c r="AF189" s="168">
        <f t="shared" si="67"/>
        <v>756.9</v>
      </c>
      <c r="AG189" s="575">
        <f t="shared" si="48"/>
        <v>0.92136335970785144</v>
      </c>
      <c r="AH189" s="194"/>
      <c r="AI189" s="156"/>
    </row>
    <row r="190" spans="1:35" s="110" customFormat="1" ht="31.5" x14ac:dyDescent="0.25">
      <c r="A190" s="100"/>
      <c r="B190" s="85"/>
      <c r="C190" s="86"/>
      <c r="D190" s="86"/>
      <c r="E190" s="87"/>
      <c r="F190" s="87"/>
      <c r="G190" s="88"/>
      <c r="H190" s="88"/>
      <c r="I190" s="88"/>
      <c r="J190" s="88"/>
      <c r="K190" s="88"/>
      <c r="L190" s="80"/>
      <c r="M190" s="88"/>
      <c r="N190" s="80"/>
      <c r="O190" s="88"/>
      <c r="P190" s="88"/>
      <c r="Q190" s="90"/>
      <c r="R190" s="94"/>
      <c r="S190" s="94"/>
      <c r="T190" s="94"/>
      <c r="U190" s="94"/>
      <c r="V190" s="94"/>
      <c r="W190" s="94"/>
      <c r="X190" s="278" t="s">
        <v>54</v>
      </c>
      <c r="Y190" s="11" t="s">
        <v>65</v>
      </c>
      <c r="Z190" s="1" t="s">
        <v>7</v>
      </c>
      <c r="AA190" s="529" t="s">
        <v>23</v>
      </c>
      <c r="AB190" s="163" t="s">
        <v>181</v>
      </c>
      <c r="AC190" s="311">
        <v>240</v>
      </c>
      <c r="AD190" s="168">
        <f>850+46.1+52.9+0.4-10-17.9-100</f>
        <v>821.5</v>
      </c>
      <c r="AE190" s="168">
        <f>850+46.1+52.9+0.4-10-17.9-100</f>
        <v>821.5</v>
      </c>
      <c r="AF190" s="168">
        <v>756.9</v>
      </c>
      <c r="AG190" s="575">
        <f t="shared" si="48"/>
        <v>0.92136335970785144</v>
      </c>
      <c r="AH190" s="194"/>
      <c r="AI190" s="156"/>
    </row>
    <row r="191" spans="1:35" s="110" customFormat="1" ht="53.45" customHeight="1" x14ac:dyDescent="0.25">
      <c r="A191" s="100"/>
      <c r="B191" s="85"/>
      <c r="C191" s="86"/>
      <c r="D191" s="86"/>
      <c r="E191" s="87"/>
      <c r="F191" s="87"/>
      <c r="G191" s="88"/>
      <c r="H191" s="88"/>
      <c r="I191" s="88"/>
      <c r="J191" s="88"/>
      <c r="K191" s="88"/>
      <c r="L191" s="80"/>
      <c r="M191" s="88"/>
      <c r="N191" s="80"/>
      <c r="O191" s="88"/>
      <c r="P191" s="88"/>
      <c r="Q191" s="90"/>
      <c r="R191" s="94"/>
      <c r="S191" s="94"/>
      <c r="T191" s="94"/>
      <c r="U191" s="94"/>
      <c r="V191" s="94"/>
      <c r="W191" s="94"/>
      <c r="X191" s="282" t="s">
        <v>653</v>
      </c>
      <c r="Y191" s="11" t="s">
        <v>65</v>
      </c>
      <c r="Z191" s="1" t="s">
        <v>7</v>
      </c>
      <c r="AA191" s="529" t="s">
        <v>23</v>
      </c>
      <c r="AB191" s="163" t="s">
        <v>652</v>
      </c>
      <c r="AC191" s="317"/>
      <c r="AD191" s="168">
        <f>AD192</f>
        <v>380</v>
      </c>
      <c r="AE191" s="168">
        <f>AE192</f>
        <v>380</v>
      </c>
      <c r="AF191" s="168">
        <f t="shared" ref="AF191" si="68">AF192</f>
        <v>380</v>
      </c>
      <c r="AG191" s="575">
        <f t="shared" si="48"/>
        <v>1</v>
      </c>
      <c r="AH191" s="194"/>
      <c r="AI191" s="156"/>
    </row>
    <row r="192" spans="1:35" s="110" customFormat="1" ht="33.6" customHeight="1" x14ac:dyDescent="0.25">
      <c r="A192" s="100"/>
      <c r="B192" s="85"/>
      <c r="C192" s="86"/>
      <c r="D192" s="86"/>
      <c r="E192" s="87"/>
      <c r="F192" s="87"/>
      <c r="G192" s="88"/>
      <c r="H192" s="88"/>
      <c r="I192" s="88"/>
      <c r="J192" s="88"/>
      <c r="K192" s="88"/>
      <c r="L192" s="80"/>
      <c r="M192" s="88"/>
      <c r="N192" s="80"/>
      <c r="O192" s="88"/>
      <c r="P192" s="88"/>
      <c r="Q192" s="90"/>
      <c r="R192" s="94"/>
      <c r="S192" s="94"/>
      <c r="T192" s="94"/>
      <c r="U192" s="94"/>
      <c r="V192" s="94"/>
      <c r="W192" s="94"/>
      <c r="X192" s="283" t="s">
        <v>654</v>
      </c>
      <c r="Y192" s="11" t="s">
        <v>65</v>
      </c>
      <c r="Z192" s="1" t="s">
        <v>7</v>
      </c>
      <c r="AA192" s="529" t="s">
        <v>23</v>
      </c>
      <c r="AB192" s="163" t="s">
        <v>655</v>
      </c>
      <c r="AC192" s="317"/>
      <c r="AD192" s="168">
        <f t="shared" ref="AD192:AF193" si="69">AD193</f>
        <v>380</v>
      </c>
      <c r="AE192" s="168">
        <f t="shared" si="69"/>
        <v>380</v>
      </c>
      <c r="AF192" s="168">
        <f t="shared" si="69"/>
        <v>380</v>
      </c>
      <c r="AG192" s="575">
        <f t="shared" si="48"/>
        <v>1</v>
      </c>
      <c r="AH192" s="194"/>
      <c r="AI192" s="156"/>
    </row>
    <row r="193" spans="1:35" s="110" customFormat="1" x14ac:dyDescent="0.25">
      <c r="A193" s="100"/>
      <c r="B193" s="85"/>
      <c r="C193" s="86"/>
      <c r="D193" s="86"/>
      <c r="E193" s="87"/>
      <c r="F193" s="87"/>
      <c r="G193" s="88"/>
      <c r="H193" s="88"/>
      <c r="I193" s="88"/>
      <c r="J193" s="88"/>
      <c r="K193" s="88"/>
      <c r="L193" s="80"/>
      <c r="M193" s="88"/>
      <c r="N193" s="80"/>
      <c r="O193" s="88"/>
      <c r="P193" s="88"/>
      <c r="Q193" s="90"/>
      <c r="R193" s="94"/>
      <c r="S193" s="94"/>
      <c r="T193" s="94"/>
      <c r="U193" s="94"/>
      <c r="V193" s="94"/>
      <c r="W193" s="94"/>
      <c r="X193" s="278" t="s">
        <v>123</v>
      </c>
      <c r="Y193" s="11" t="s">
        <v>65</v>
      </c>
      <c r="Z193" s="1" t="s">
        <v>7</v>
      </c>
      <c r="AA193" s="529" t="s">
        <v>23</v>
      </c>
      <c r="AB193" s="163" t="s">
        <v>655</v>
      </c>
      <c r="AC193" s="317" t="s">
        <v>39</v>
      </c>
      <c r="AD193" s="168">
        <f t="shared" si="69"/>
        <v>380</v>
      </c>
      <c r="AE193" s="168">
        <f t="shared" si="69"/>
        <v>380</v>
      </c>
      <c r="AF193" s="168">
        <f t="shared" si="69"/>
        <v>380</v>
      </c>
      <c r="AG193" s="575">
        <f t="shared" si="48"/>
        <v>1</v>
      </c>
      <c r="AH193" s="194"/>
      <c r="AI193" s="156"/>
    </row>
    <row r="194" spans="1:35" s="110" customFormat="1" ht="31.5" x14ac:dyDescent="0.25">
      <c r="A194" s="100"/>
      <c r="B194" s="85"/>
      <c r="C194" s="86"/>
      <c r="D194" s="86"/>
      <c r="E194" s="87"/>
      <c r="F194" s="87"/>
      <c r="G194" s="88"/>
      <c r="H194" s="88"/>
      <c r="I194" s="88"/>
      <c r="J194" s="88"/>
      <c r="K194" s="88"/>
      <c r="L194" s="80"/>
      <c r="M194" s="88"/>
      <c r="N194" s="80"/>
      <c r="O194" s="88"/>
      <c r="P194" s="88"/>
      <c r="Q194" s="90"/>
      <c r="R194" s="94"/>
      <c r="S194" s="94"/>
      <c r="T194" s="94"/>
      <c r="U194" s="94"/>
      <c r="V194" s="94"/>
      <c r="W194" s="94"/>
      <c r="X194" s="278" t="s">
        <v>54</v>
      </c>
      <c r="Y194" s="11" t="s">
        <v>65</v>
      </c>
      <c r="Z194" s="1" t="s">
        <v>7</v>
      </c>
      <c r="AA194" s="529" t="s">
        <v>23</v>
      </c>
      <c r="AB194" s="163" t="s">
        <v>655</v>
      </c>
      <c r="AC194" s="317" t="s">
        <v>67</v>
      </c>
      <c r="AD194" s="168">
        <f>450-50+380-400</f>
        <v>380</v>
      </c>
      <c r="AE194" s="168">
        <f>450-50+380-400</f>
        <v>380</v>
      </c>
      <c r="AF194" s="168">
        <v>380</v>
      </c>
      <c r="AG194" s="575">
        <f t="shared" si="48"/>
        <v>1</v>
      </c>
      <c r="AH194" s="194"/>
      <c r="AI194" s="156"/>
    </row>
    <row r="195" spans="1:35" s="110" customFormat="1" ht="31.5" x14ac:dyDescent="0.25">
      <c r="A195" s="100"/>
      <c r="B195" s="85"/>
      <c r="C195" s="86"/>
      <c r="D195" s="86"/>
      <c r="E195" s="87"/>
      <c r="F195" s="87"/>
      <c r="G195" s="88"/>
      <c r="H195" s="88"/>
      <c r="I195" s="88"/>
      <c r="J195" s="88"/>
      <c r="K195" s="88"/>
      <c r="L195" s="80"/>
      <c r="M195" s="88"/>
      <c r="N195" s="80"/>
      <c r="O195" s="88"/>
      <c r="P195" s="88"/>
      <c r="Q195" s="90"/>
      <c r="R195" s="94"/>
      <c r="S195" s="94"/>
      <c r="T195" s="94"/>
      <c r="U195" s="94"/>
      <c r="V195" s="94"/>
      <c r="W195" s="94"/>
      <c r="X195" s="278" t="s">
        <v>396</v>
      </c>
      <c r="Y195" s="11" t="s">
        <v>65</v>
      </c>
      <c r="Z195" s="1" t="s">
        <v>7</v>
      </c>
      <c r="AA195" s="529" t="s">
        <v>38</v>
      </c>
      <c r="AB195" s="33"/>
      <c r="AC195" s="311"/>
      <c r="AD195" s="168">
        <f>AD196+AD227</f>
        <v>25679.000000000004</v>
      </c>
      <c r="AE195" s="168">
        <f>AE196+AE227</f>
        <v>25679.000000000004</v>
      </c>
      <c r="AF195" s="168">
        <f>AF196+AF227</f>
        <v>25252.799999999999</v>
      </c>
      <c r="AG195" s="575">
        <f t="shared" si="48"/>
        <v>0.98340278048210583</v>
      </c>
      <c r="AH195" s="194"/>
      <c r="AI195" s="156"/>
    </row>
    <row r="196" spans="1:35" s="110" customFormat="1" ht="31.5" x14ac:dyDescent="0.25">
      <c r="A196" s="100"/>
      <c r="B196" s="85"/>
      <c r="C196" s="86"/>
      <c r="D196" s="86"/>
      <c r="E196" s="87"/>
      <c r="F196" s="87"/>
      <c r="G196" s="88"/>
      <c r="H196" s="88"/>
      <c r="I196" s="88"/>
      <c r="J196" s="88"/>
      <c r="K196" s="88"/>
      <c r="L196" s="80"/>
      <c r="M196" s="88"/>
      <c r="N196" s="80"/>
      <c r="O196" s="88"/>
      <c r="P196" s="88"/>
      <c r="Q196" s="90"/>
      <c r="R196" s="94"/>
      <c r="S196" s="94"/>
      <c r="T196" s="94"/>
      <c r="U196" s="94"/>
      <c r="V196" s="94"/>
      <c r="W196" s="94"/>
      <c r="X196" s="284" t="s">
        <v>168</v>
      </c>
      <c r="Y196" s="11" t="s">
        <v>65</v>
      </c>
      <c r="Z196" s="1" t="s">
        <v>7</v>
      </c>
      <c r="AA196" s="529" t="s">
        <v>38</v>
      </c>
      <c r="AB196" s="33" t="s">
        <v>105</v>
      </c>
      <c r="AC196" s="311"/>
      <c r="AD196" s="168">
        <f>AD197+AD206+AD220+AD213</f>
        <v>25659.000000000004</v>
      </c>
      <c r="AE196" s="168">
        <f>AE197+AE206+AE220+AE213</f>
        <v>25659.000000000004</v>
      </c>
      <c r="AF196" s="168">
        <f>AF197+AF206+AF220+AF213</f>
        <v>25235.3</v>
      </c>
      <c r="AG196" s="575">
        <f t="shared" si="48"/>
        <v>0.98348727541993042</v>
      </c>
      <c r="AH196" s="194"/>
      <c r="AI196" s="156"/>
    </row>
    <row r="197" spans="1:35" s="110" customFormat="1" ht="39.6" customHeight="1" x14ac:dyDescent="0.25">
      <c r="A197" s="54"/>
      <c r="B197" s="85"/>
      <c r="C197" s="86"/>
      <c r="D197" s="86"/>
      <c r="E197" s="87"/>
      <c r="F197" s="111"/>
      <c r="G197" s="88"/>
      <c r="H197" s="112"/>
      <c r="I197" s="56"/>
      <c r="J197" s="56"/>
      <c r="K197" s="56"/>
      <c r="L197" s="88"/>
      <c r="M197" s="56"/>
      <c r="N197" s="88"/>
      <c r="O197" s="89"/>
      <c r="P197" s="88"/>
      <c r="Q197" s="90"/>
      <c r="R197" s="94"/>
      <c r="S197" s="94"/>
      <c r="T197" s="94"/>
      <c r="U197" s="94"/>
      <c r="V197" s="94"/>
      <c r="W197" s="94"/>
      <c r="X197" s="284" t="s">
        <v>715</v>
      </c>
      <c r="Y197" s="11" t="s">
        <v>65</v>
      </c>
      <c r="Z197" s="1" t="s">
        <v>7</v>
      </c>
      <c r="AA197" s="529" t="s">
        <v>38</v>
      </c>
      <c r="AB197" s="163" t="s">
        <v>110</v>
      </c>
      <c r="AC197" s="317"/>
      <c r="AD197" s="168">
        <f>AD202+AD198</f>
        <v>2029.5000000000002</v>
      </c>
      <c r="AE197" s="168">
        <f t="shared" ref="AE197:AG197" si="70">AE202+AE198</f>
        <v>2029.5000000000002</v>
      </c>
      <c r="AF197" s="168">
        <f t="shared" si="70"/>
        <v>1621.1</v>
      </c>
      <c r="AG197" s="168">
        <f t="shared" si="70"/>
        <v>0.95951464930452779</v>
      </c>
      <c r="AH197" s="194"/>
      <c r="AI197" s="156"/>
    </row>
    <row r="198" spans="1:35" s="110" customFormat="1" ht="39.6" customHeight="1" x14ac:dyDescent="0.25">
      <c r="A198" s="54"/>
      <c r="B198" s="85"/>
      <c r="C198" s="86"/>
      <c r="D198" s="86"/>
      <c r="E198" s="87"/>
      <c r="F198" s="111"/>
      <c r="G198" s="88"/>
      <c r="H198" s="112"/>
      <c r="I198" s="56"/>
      <c r="J198" s="56"/>
      <c r="K198" s="56"/>
      <c r="L198" s="88"/>
      <c r="M198" s="56"/>
      <c r="N198" s="88"/>
      <c r="O198" s="89"/>
      <c r="P198" s="88"/>
      <c r="Q198" s="90"/>
      <c r="R198" s="94"/>
      <c r="S198" s="94"/>
      <c r="T198" s="94"/>
      <c r="U198" s="94"/>
      <c r="V198" s="94"/>
      <c r="W198" s="94"/>
      <c r="X198" s="284" t="s">
        <v>705</v>
      </c>
      <c r="Y198" s="11" t="s">
        <v>65</v>
      </c>
      <c r="Z198" s="1" t="s">
        <v>7</v>
      </c>
      <c r="AA198" s="529" t="s">
        <v>38</v>
      </c>
      <c r="AB198" s="163" t="s">
        <v>706</v>
      </c>
      <c r="AC198" s="317"/>
      <c r="AD198" s="168">
        <f t="shared" ref="AD198:AE200" si="71">AD199</f>
        <v>1689.5000000000002</v>
      </c>
      <c r="AE198" s="168">
        <f t="shared" si="71"/>
        <v>1689.5000000000002</v>
      </c>
      <c r="AF198" s="168">
        <f t="shared" ref="AF198:AF200" si="72">AF199</f>
        <v>1621.1</v>
      </c>
      <c r="AG198" s="575">
        <f t="shared" si="48"/>
        <v>0.95951464930452779</v>
      </c>
      <c r="AH198" s="194"/>
      <c r="AI198" s="156"/>
    </row>
    <row r="199" spans="1:35" s="110" customFormat="1" ht="24.6" customHeight="1" x14ac:dyDescent="0.25">
      <c r="A199" s="54"/>
      <c r="B199" s="85"/>
      <c r="C199" s="86"/>
      <c r="D199" s="86"/>
      <c r="E199" s="87"/>
      <c r="F199" s="111"/>
      <c r="G199" s="88"/>
      <c r="H199" s="112"/>
      <c r="I199" s="56"/>
      <c r="J199" s="56"/>
      <c r="K199" s="56"/>
      <c r="L199" s="88"/>
      <c r="M199" s="56"/>
      <c r="N199" s="88"/>
      <c r="O199" s="89"/>
      <c r="P199" s="88"/>
      <c r="Q199" s="90"/>
      <c r="R199" s="94"/>
      <c r="S199" s="94"/>
      <c r="T199" s="94"/>
      <c r="U199" s="94"/>
      <c r="V199" s="94"/>
      <c r="W199" s="94"/>
      <c r="X199" s="284" t="s">
        <v>707</v>
      </c>
      <c r="Y199" s="11" t="s">
        <v>65</v>
      </c>
      <c r="Z199" s="1" t="s">
        <v>7</v>
      </c>
      <c r="AA199" s="529" t="s">
        <v>38</v>
      </c>
      <c r="AB199" s="163" t="s">
        <v>708</v>
      </c>
      <c r="AC199" s="317"/>
      <c r="AD199" s="168">
        <f t="shared" si="71"/>
        <v>1689.5000000000002</v>
      </c>
      <c r="AE199" s="168">
        <f t="shared" si="71"/>
        <v>1689.5000000000002</v>
      </c>
      <c r="AF199" s="168">
        <f t="shared" si="72"/>
        <v>1621.1</v>
      </c>
      <c r="AG199" s="575">
        <f t="shared" si="48"/>
        <v>0.95951464930452779</v>
      </c>
      <c r="AH199" s="194"/>
      <c r="AI199" s="156"/>
    </row>
    <row r="200" spans="1:35" s="110" customFormat="1" ht="22.15" customHeight="1" x14ac:dyDescent="0.25">
      <c r="A200" s="54"/>
      <c r="B200" s="85"/>
      <c r="C200" s="86"/>
      <c r="D200" s="86"/>
      <c r="E200" s="87"/>
      <c r="F200" s="111"/>
      <c r="G200" s="88"/>
      <c r="H200" s="112"/>
      <c r="I200" s="56"/>
      <c r="J200" s="56"/>
      <c r="K200" s="56"/>
      <c r="L200" s="88"/>
      <c r="M200" s="56"/>
      <c r="N200" s="88"/>
      <c r="O200" s="89"/>
      <c r="P200" s="88"/>
      <c r="Q200" s="90"/>
      <c r="R200" s="94"/>
      <c r="S200" s="94"/>
      <c r="T200" s="94"/>
      <c r="U200" s="94"/>
      <c r="V200" s="94"/>
      <c r="W200" s="94"/>
      <c r="X200" s="278" t="s">
        <v>123</v>
      </c>
      <c r="Y200" s="11" t="s">
        <v>65</v>
      </c>
      <c r="Z200" s="1" t="s">
        <v>7</v>
      </c>
      <c r="AA200" s="529" t="s">
        <v>38</v>
      </c>
      <c r="AB200" s="163" t="s">
        <v>708</v>
      </c>
      <c r="AC200" s="317" t="s">
        <v>39</v>
      </c>
      <c r="AD200" s="168">
        <f t="shared" si="71"/>
        <v>1689.5000000000002</v>
      </c>
      <c r="AE200" s="168">
        <f t="shared" si="71"/>
        <v>1689.5000000000002</v>
      </c>
      <c r="AF200" s="168">
        <f t="shared" si="72"/>
        <v>1621.1</v>
      </c>
      <c r="AG200" s="575">
        <f t="shared" si="48"/>
        <v>0.95951464930452779</v>
      </c>
      <c r="AH200" s="194"/>
      <c r="AI200" s="156"/>
    </row>
    <row r="201" spans="1:35" s="110" customFormat="1" ht="39.6" customHeight="1" x14ac:dyDescent="0.25">
      <c r="A201" s="54"/>
      <c r="B201" s="85"/>
      <c r="C201" s="86"/>
      <c r="D201" s="86"/>
      <c r="E201" s="87"/>
      <c r="F201" s="111"/>
      <c r="G201" s="88"/>
      <c r="H201" s="112"/>
      <c r="I201" s="56"/>
      <c r="J201" s="56"/>
      <c r="K201" s="56"/>
      <c r="L201" s="88"/>
      <c r="M201" s="56"/>
      <c r="N201" s="88"/>
      <c r="O201" s="89"/>
      <c r="P201" s="88"/>
      <c r="Q201" s="90"/>
      <c r="R201" s="94"/>
      <c r="S201" s="94"/>
      <c r="T201" s="94"/>
      <c r="U201" s="94"/>
      <c r="V201" s="94"/>
      <c r="W201" s="94"/>
      <c r="X201" s="278" t="s">
        <v>54</v>
      </c>
      <c r="Y201" s="11" t="s">
        <v>65</v>
      </c>
      <c r="Z201" s="1" t="s">
        <v>7</v>
      </c>
      <c r="AA201" s="529" t="s">
        <v>38</v>
      </c>
      <c r="AB201" s="163" t="s">
        <v>708</v>
      </c>
      <c r="AC201" s="317" t="s">
        <v>67</v>
      </c>
      <c r="AD201" s="168">
        <f>535+1015.4+40-10+25.9-16.8+100</f>
        <v>1689.5000000000002</v>
      </c>
      <c r="AE201" s="168">
        <f>535+1015.4+40-10+25.9-16.8+100</f>
        <v>1689.5000000000002</v>
      </c>
      <c r="AF201" s="168">
        <v>1621.1</v>
      </c>
      <c r="AG201" s="575">
        <f t="shared" si="48"/>
        <v>0.95951464930452779</v>
      </c>
      <c r="AH201" s="194"/>
      <c r="AI201" s="156"/>
    </row>
    <row r="202" spans="1:35" s="110" customFormat="1" ht="36.6" customHeight="1" x14ac:dyDescent="0.25">
      <c r="A202" s="54"/>
      <c r="B202" s="85"/>
      <c r="C202" s="86"/>
      <c r="D202" s="86"/>
      <c r="E202" s="87"/>
      <c r="F202" s="111"/>
      <c r="G202" s="88"/>
      <c r="H202" s="112"/>
      <c r="I202" s="56"/>
      <c r="J202" s="56"/>
      <c r="K202" s="56"/>
      <c r="L202" s="88"/>
      <c r="M202" s="56"/>
      <c r="N202" s="88"/>
      <c r="O202" s="89"/>
      <c r="P202" s="88"/>
      <c r="Q202" s="90"/>
      <c r="R202" s="94"/>
      <c r="S202" s="94"/>
      <c r="T202" s="94"/>
      <c r="U202" s="94"/>
      <c r="V202" s="94"/>
      <c r="W202" s="94"/>
      <c r="X202" s="282" t="s">
        <v>651</v>
      </c>
      <c r="Y202" s="11" t="s">
        <v>65</v>
      </c>
      <c r="Z202" s="1" t="s">
        <v>7</v>
      </c>
      <c r="AA202" s="529" t="s">
        <v>38</v>
      </c>
      <c r="AB202" s="163" t="s">
        <v>176</v>
      </c>
      <c r="AC202" s="317"/>
      <c r="AD202" s="168">
        <f t="shared" ref="AD202:AF204" si="73">AD203</f>
        <v>340</v>
      </c>
      <c r="AE202" s="168">
        <f t="shared" si="73"/>
        <v>340</v>
      </c>
      <c r="AF202" s="168">
        <f t="shared" si="73"/>
        <v>0</v>
      </c>
      <c r="AG202" s="575">
        <f t="shared" si="48"/>
        <v>0</v>
      </c>
      <c r="AH202" s="194"/>
      <c r="AI202" s="156"/>
    </row>
    <row r="203" spans="1:35" s="110" customFormat="1" ht="33" customHeight="1" x14ac:dyDescent="0.25">
      <c r="A203" s="54"/>
      <c r="B203" s="85"/>
      <c r="C203" s="86"/>
      <c r="D203" s="86"/>
      <c r="E203" s="87"/>
      <c r="F203" s="111"/>
      <c r="G203" s="88"/>
      <c r="H203" s="112"/>
      <c r="I203" s="56"/>
      <c r="J203" s="56"/>
      <c r="K203" s="56"/>
      <c r="L203" s="88"/>
      <c r="M203" s="56"/>
      <c r="N203" s="88"/>
      <c r="O203" s="89"/>
      <c r="P203" s="88"/>
      <c r="Q203" s="90"/>
      <c r="R203" s="94"/>
      <c r="S203" s="94"/>
      <c r="T203" s="94"/>
      <c r="U203" s="94"/>
      <c r="V203" s="94"/>
      <c r="W203" s="94"/>
      <c r="X203" s="282" t="s">
        <v>175</v>
      </c>
      <c r="Y203" s="11" t="s">
        <v>65</v>
      </c>
      <c r="Z203" s="1" t="s">
        <v>7</v>
      </c>
      <c r="AA203" s="529" t="s">
        <v>38</v>
      </c>
      <c r="AB203" s="163" t="s">
        <v>650</v>
      </c>
      <c r="AC203" s="317"/>
      <c r="AD203" s="168">
        <f t="shared" si="73"/>
        <v>340</v>
      </c>
      <c r="AE203" s="168">
        <f t="shared" si="73"/>
        <v>340</v>
      </c>
      <c r="AF203" s="168">
        <f t="shared" si="73"/>
        <v>0</v>
      </c>
      <c r="AG203" s="575">
        <f t="shared" ref="AG203:AG258" si="74">AF203/AE203</f>
        <v>0</v>
      </c>
      <c r="AH203" s="194"/>
      <c r="AI203" s="156"/>
    </row>
    <row r="204" spans="1:35" s="110" customFormat="1" x14ac:dyDescent="0.25">
      <c r="A204" s="54"/>
      <c r="B204" s="85"/>
      <c r="C204" s="86"/>
      <c r="D204" s="86"/>
      <c r="E204" s="87"/>
      <c r="F204" s="111"/>
      <c r="G204" s="88"/>
      <c r="H204" s="112"/>
      <c r="I204" s="56"/>
      <c r="J204" s="56"/>
      <c r="K204" s="56"/>
      <c r="L204" s="88"/>
      <c r="M204" s="56"/>
      <c r="N204" s="88"/>
      <c r="O204" s="89"/>
      <c r="P204" s="88"/>
      <c r="Q204" s="90"/>
      <c r="R204" s="94"/>
      <c r="S204" s="94"/>
      <c r="T204" s="94"/>
      <c r="U204" s="94"/>
      <c r="V204" s="94"/>
      <c r="W204" s="94"/>
      <c r="X204" s="401" t="s">
        <v>123</v>
      </c>
      <c r="Y204" s="202" t="s">
        <v>65</v>
      </c>
      <c r="Z204" s="1" t="s">
        <v>7</v>
      </c>
      <c r="AA204" s="529" t="s">
        <v>38</v>
      </c>
      <c r="AB204" s="163" t="s">
        <v>650</v>
      </c>
      <c r="AC204" s="318" t="s">
        <v>39</v>
      </c>
      <c r="AD204" s="168">
        <f t="shared" si="73"/>
        <v>340</v>
      </c>
      <c r="AE204" s="168">
        <f t="shared" si="73"/>
        <v>340</v>
      </c>
      <c r="AF204" s="168">
        <f t="shared" si="73"/>
        <v>0</v>
      </c>
      <c r="AG204" s="575">
        <f t="shared" si="74"/>
        <v>0</v>
      </c>
      <c r="AH204" s="194"/>
      <c r="AI204" s="156"/>
    </row>
    <row r="205" spans="1:35" s="110" customFormat="1" ht="31.5" x14ac:dyDescent="0.25">
      <c r="A205" s="54"/>
      <c r="B205" s="85"/>
      <c r="C205" s="86"/>
      <c r="D205" s="86"/>
      <c r="E205" s="87"/>
      <c r="F205" s="111"/>
      <c r="G205" s="88"/>
      <c r="H205" s="112"/>
      <c r="I205" s="56"/>
      <c r="J205" s="56"/>
      <c r="K205" s="56"/>
      <c r="L205" s="88"/>
      <c r="M205" s="56"/>
      <c r="N205" s="88"/>
      <c r="O205" s="89"/>
      <c r="P205" s="88"/>
      <c r="Q205" s="90"/>
      <c r="R205" s="94"/>
      <c r="S205" s="94"/>
      <c r="T205" s="94"/>
      <c r="U205" s="94"/>
      <c r="V205" s="94"/>
      <c r="W205" s="94"/>
      <c r="X205" s="401" t="s">
        <v>54</v>
      </c>
      <c r="Y205" s="202" t="s">
        <v>65</v>
      </c>
      <c r="Z205" s="1" t="s">
        <v>7</v>
      </c>
      <c r="AA205" s="529" t="s">
        <v>38</v>
      </c>
      <c r="AB205" s="163" t="s">
        <v>650</v>
      </c>
      <c r="AC205" s="318" t="s">
        <v>67</v>
      </c>
      <c r="AD205" s="168">
        <v>340</v>
      </c>
      <c r="AE205" s="168">
        <v>340</v>
      </c>
      <c r="AF205" s="168">
        <v>0</v>
      </c>
      <c r="AG205" s="575">
        <f t="shared" si="74"/>
        <v>0</v>
      </c>
      <c r="AH205" s="194"/>
      <c r="AI205" s="156"/>
    </row>
    <row r="206" spans="1:35" s="110" customFormat="1" ht="31.5" x14ac:dyDescent="0.25">
      <c r="A206" s="54"/>
      <c r="B206" s="85"/>
      <c r="C206" s="86"/>
      <c r="D206" s="86"/>
      <c r="E206" s="87"/>
      <c r="F206" s="111"/>
      <c r="G206" s="88"/>
      <c r="H206" s="88"/>
      <c r="I206" s="88"/>
      <c r="J206" s="88"/>
      <c r="K206" s="88"/>
      <c r="L206" s="80"/>
      <c r="M206" s="88"/>
      <c r="N206" s="80"/>
      <c r="O206" s="88"/>
      <c r="P206" s="88"/>
      <c r="Q206" s="90"/>
      <c r="R206" s="94"/>
      <c r="S206" s="94"/>
      <c r="T206" s="94"/>
      <c r="U206" s="94"/>
      <c r="V206" s="94"/>
      <c r="W206" s="94"/>
      <c r="X206" s="284" t="s">
        <v>385</v>
      </c>
      <c r="Y206" s="11" t="s">
        <v>65</v>
      </c>
      <c r="Z206" s="1" t="s">
        <v>7</v>
      </c>
      <c r="AA206" s="529" t="s">
        <v>38</v>
      </c>
      <c r="AB206" s="163" t="s">
        <v>107</v>
      </c>
      <c r="AC206" s="309"/>
      <c r="AD206" s="168">
        <f t="shared" ref="AD206:AF207" si="75">AD207</f>
        <v>1628.8999999999999</v>
      </c>
      <c r="AE206" s="168">
        <f t="shared" si="75"/>
        <v>1628.8999999999999</v>
      </c>
      <c r="AF206" s="168">
        <f t="shared" si="75"/>
        <v>1617.1</v>
      </c>
      <c r="AG206" s="575">
        <f t="shared" si="74"/>
        <v>0.99275584750445089</v>
      </c>
      <c r="AH206" s="194"/>
      <c r="AI206" s="156"/>
    </row>
    <row r="207" spans="1:35" s="110" customFormat="1" ht="34.9" customHeight="1" x14ac:dyDescent="0.25">
      <c r="A207" s="54"/>
      <c r="B207" s="85"/>
      <c r="C207" s="86"/>
      <c r="D207" s="86"/>
      <c r="E207" s="87"/>
      <c r="F207" s="111"/>
      <c r="G207" s="88"/>
      <c r="H207" s="88"/>
      <c r="I207" s="88"/>
      <c r="J207" s="88"/>
      <c r="K207" s="88"/>
      <c r="L207" s="80"/>
      <c r="M207" s="88"/>
      <c r="N207" s="80"/>
      <c r="O207" s="88"/>
      <c r="P207" s="88"/>
      <c r="Q207" s="90"/>
      <c r="R207" s="94"/>
      <c r="S207" s="94"/>
      <c r="T207" s="94"/>
      <c r="U207" s="94"/>
      <c r="V207" s="94"/>
      <c r="W207" s="94"/>
      <c r="X207" s="282" t="s">
        <v>656</v>
      </c>
      <c r="Y207" s="11" t="s">
        <v>65</v>
      </c>
      <c r="Z207" s="1" t="s">
        <v>7</v>
      </c>
      <c r="AA207" s="529" t="s">
        <v>38</v>
      </c>
      <c r="AB207" s="163" t="s">
        <v>127</v>
      </c>
      <c r="AC207" s="317"/>
      <c r="AD207" s="168">
        <f t="shared" si="75"/>
        <v>1628.8999999999999</v>
      </c>
      <c r="AE207" s="168">
        <f t="shared" si="75"/>
        <v>1628.8999999999999</v>
      </c>
      <c r="AF207" s="168">
        <f t="shared" si="75"/>
        <v>1617.1</v>
      </c>
      <c r="AG207" s="575">
        <f t="shared" si="74"/>
        <v>0.99275584750445089</v>
      </c>
      <c r="AH207" s="194"/>
      <c r="AI207" s="156"/>
    </row>
    <row r="208" spans="1:35" s="110" customFormat="1" x14ac:dyDescent="0.25">
      <c r="A208" s="54"/>
      <c r="B208" s="85"/>
      <c r="C208" s="86"/>
      <c r="D208" s="86"/>
      <c r="E208" s="87"/>
      <c r="F208" s="111"/>
      <c r="G208" s="88"/>
      <c r="H208" s="88"/>
      <c r="I208" s="88"/>
      <c r="J208" s="88"/>
      <c r="K208" s="88"/>
      <c r="L208" s="80"/>
      <c r="M208" s="88"/>
      <c r="N208" s="80"/>
      <c r="O208" s="88"/>
      <c r="P208" s="88"/>
      <c r="Q208" s="90"/>
      <c r="R208" s="94"/>
      <c r="S208" s="94"/>
      <c r="T208" s="94"/>
      <c r="U208" s="94"/>
      <c r="V208" s="94"/>
      <c r="W208" s="94"/>
      <c r="X208" s="278" t="s">
        <v>178</v>
      </c>
      <c r="Y208" s="11" t="s">
        <v>65</v>
      </c>
      <c r="Z208" s="1" t="s">
        <v>7</v>
      </c>
      <c r="AA208" s="529" t="s">
        <v>38</v>
      </c>
      <c r="AB208" s="163" t="s">
        <v>179</v>
      </c>
      <c r="AC208" s="309"/>
      <c r="AD208" s="168">
        <f>AD209+AD211</f>
        <v>1628.8999999999999</v>
      </c>
      <c r="AE208" s="168">
        <f>AE209+AE211</f>
        <v>1628.8999999999999</v>
      </c>
      <c r="AF208" s="168">
        <f t="shared" ref="AF208" si="76">AF209+AF211</f>
        <v>1617.1</v>
      </c>
      <c r="AG208" s="575">
        <f t="shared" si="74"/>
        <v>0.99275584750445089</v>
      </c>
      <c r="AH208" s="194"/>
      <c r="AI208" s="156"/>
    </row>
    <row r="209" spans="1:37" s="110" customFormat="1" x14ac:dyDescent="0.25">
      <c r="A209" s="54"/>
      <c r="B209" s="85"/>
      <c r="C209" s="86"/>
      <c r="D209" s="86"/>
      <c r="E209" s="87"/>
      <c r="F209" s="111"/>
      <c r="G209" s="88"/>
      <c r="H209" s="88"/>
      <c r="I209" s="88"/>
      <c r="J209" s="88"/>
      <c r="K209" s="88"/>
      <c r="L209" s="80"/>
      <c r="M209" s="88"/>
      <c r="N209" s="80"/>
      <c r="O209" s="88"/>
      <c r="P209" s="88"/>
      <c r="Q209" s="90"/>
      <c r="R209" s="94"/>
      <c r="S209" s="94"/>
      <c r="T209" s="94"/>
      <c r="U209" s="94"/>
      <c r="V209" s="94"/>
      <c r="W209" s="94"/>
      <c r="X209" s="278" t="s">
        <v>123</v>
      </c>
      <c r="Y209" s="11" t="s">
        <v>65</v>
      </c>
      <c r="Z209" s="1" t="s">
        <v>7</v>
      </c>
      <c r="AA209" s="529" t="s">
        <v>38</v>
      </c>
      <c r="AB209" s="163" t="s">
        <v>179</v>
      </c>
      <c r="AC209" s="317" t="s">
        <v>39</v>
      </c>
      <c r="AD209" s="168">
        <f>AD210</f>
        <v>1378.8999999999999</v>
      </c>
      <c r="AE209" s="168">
        <f>AE210</f>
        <v>1378.8999999999999</v>
      </c>
      <c r="AF209" s="168">
        <f>AF210</f>
        <v>1370.5</v>
      </c>
      <c r="AG209" s="575">
        <f t="shared" si="74"/>
        <v>0.99390818768583666</v>
      </c>
      <c r="AH209" s="194"/>
      <c r="AI209" s="156"/>
    </row>
    <row r="210" spans="1:37" s="110" customFormat="1" ht="31.5" x14ac:dyDescent="0.25">
      <c r="A210" s="54"/>
      <c r="B210" s="85"/>
      <c r="C210" s="86"/>
      <c r="D210" s="86"/>
      <c r="E210" s="87"/>
      <c r="F210" s="111"/>
      <c r="G210" s="88"/>
      <c r="H210" s="88"/>
      <c r="I210" s="88"/>
      <c r="J210" s="88"/>
      <c r="K210" s="88"/>
      <c r="L210" s="80"/>
      <c r="M210" s="88"/>
      <c r="N210" s="80"/>
      <c r="O210" s="88"/>
      <c r="P210" s="88"/>
      <c r="Q210" s="90"/>
      <c r="R210" s="94"/>
      <c r="S210" s="94"/>
      <c r="T210" s="94"/>
      <c r="U210" s="94"/>
      <c r="V210" s="94"/>
      <c r="W210" s="94"/>
      <c r="X210" s="278" t="s">
        <v>54</v>
      </c>
      <c r="Y210" s="11" t="s">
        <v>65</v>
      </c>
      <c r="Z210" s="1" t="s">
        <v>7</v>
      </c>
      <c r="AA210" s="529" t="s">
        <v>38</v>
      </c>
      <c r="AB210" s="163" t="s">
        <v>179</v>
      </c>
      <c r="AC210" s="317" t="s">
        <v>67</v>
      </c>
      <c r="AD210" s="168">
        <f>999+325+314+5.6-52.9-13-32-137.5-3.4-20.3-5.6</f>
        <v>1378.8999999999999</v>
      </c>
      <c r="AE210" s="168">
        <f>999+325+314+5.6-52.9-13-32-137.5-3.4-20.3-5.6</f>
        <v>1378.8999999999999</v>
      </c>
      <c r="AF210" s="168">
        <v>1370.5</v>
      </c>
      <c r="AG210" s="575">
        <f t="shared" si="74"/>
        <v>0.99390818768583666</v>
      </c>
      <c r="AH210" s="194"/>
      <c r="AI210" s="156"/>
    </row>
    <row r="211" spans="1:37" s="110" customFormat="1" ht="31.5" x14ac:dyDescent="0.25">
      <c r="A211" s="54"/>
      <c r="B211" s="85"/>
      <c r="C211" s="86"/>
      <c r="D211" s="86"/>
      <c r="E211" s="87"/>
      <c r="F211" s="111"/>
      <c r="G211" s="88"/>
      <c r="H211" s="88"/>
      <c r="I211" s="88"/>
      <c r="J211" s="88"/>
      <c r="K211" s="88"/>
      <c r="L211" s="80"/>
      <c r="M211" s="88"/>
      <c r="N211" s="80"/>
      <c r="O211" s="88"/>
      <c r="P211" s="88"/>
      <c r="Q211" s="90"/>
      <c r="R211" s="94"/>
      <c r="S211" s="94"/>
      <c r="T211" s="94"/>
      <c r="U211" s="94"/>
      <c r="V211" s="94"/>
      <c r="W211" s="94"/>
      <c r="X211" s="278" t="s">
        <v>62</v>
      </c>
      <c r="Y211" s="11" t="s">
        <v>65</v>
      </c>
      <c r="Z211" s="1" t="s">
        <v>7</v>
      </c>
      <c r="AA211" s="529" t="s">
        <v>38</v>
      </c>
      <c r="AB211" s="163" t="s">
        <v>179</v>
      </c>
      <c r="AC211" s="317" t="s">
        <v>422</v>
      </c>
      <c r="AD211" s="168">
        <f>AD212</f>
        <v>250</v>
      </c>
      <c r="AE211" s="168">
        <f>AE212</f>
        <v>250</v>
      </c>
      <c r="AF211" s="168">
        <f t="shared" ref="AF211" si="77">AF212</f>
        <v>246.6</v>
      </c>
      <c r="AG211" s="575">
        <f t="shared" si="74"/>
        <v>0.98639999999999994</v>
      </c>
      <c r="AH211" s="194"/>
      <c r="AI211" s="156"/>
    </row>
    <row r="212" spans="1:37" s="110" customFormat="1" x14ac:dyDescent="0.25">
      <c r="A212" s="54"/>
      <c r="B212" s="85"/>
      <c r="C212" s="86"/>
      <c r="D212" s="86"/>
      <c r="E212" s="87"/>
      <c r="F212" s="111"/>
      <c r="G212" s="88"/>
      <c r="H212" s="88"/>
      <c r="I212" s="88"/>
      <c r="J212" s="88"/>
      <c r="K212" s="88"/>
      <c r="L212" s="80"/>
      <c r="M212" s="88"/>
      <c r="N212" s="80"/>
      <c r="O212" s="88"/>
      <c r="P212" s="88"/>
      <c r="Q212" s="90"/>
      <c r="R212" s="94"/>
      <c r="S212" s="94"/>
      <c r="T212" s="94"/>
      <c r="U212" s="94"/>
      <c r="V212" s="94"/>
      <c r="W212" s="94"/>
      <c r="X212" s="278" t="s">
        <v>63</v>
      </c>
      <c r="Y212" s="11" t="s">
        <v>65</v>
      </c>
      <c r="Z212" s="1" t="s">
        <v>7</v>
      </c>
      <c r="AA212" s="529" t="s">
        <v>38</v>
      </c>
      <c r="AB212" s="163" t="s">
        <v>179</v>
      </c>
      <c r="AC212" s="317" t="s">
        <v>423</v>
      </c>
      <c r="AD212" s="168">
        <f>564-314</f>
        <v>250</v>
      </c>
      <c r="AE212" s="168">
        <f>564-314</f>
        <v>250</v>
      </c>
      <c r="AF212" s="168">
        <v>246.6</v>
      </c>
      <c r="AG212" s="575">
        <f t="shared" si="74"/>
        <v>0.98639999999999994</v>
      </c>
      <c r="AH212" s="194"/>
      <c r="AI212" s="156"/>
    </row>
    <row r="213" spans="1:37" s="110" customFormat="1" ht="38.450000000000003" customHeight="1" x14ac:dyDescent="0.25">
      <c r="A213" s="54"/>
      <c r="B213" s="85"/>
      <c r="C213" s="86"/>
      <c r="D213" s="86"/>
      <c r="E213" s="87"/>
      <c r="F213" s="111"/>
      <c r="G213" s="88"/>
      <c r="H213" s="88"/>
      <c r="I213" s="88"/>
      <c r="J213" s="88"/>
      <c r="K213" s="88"/>
      <c r="L213" s="80"/>
      <c r="M213" s="88"/>
      <c r="N213" s="80"/>
      <c r="O213" s="88"/>
      <c r="P213" s="88"/>
      <c r="Q213" s="90"/>
      <c r="R213" s="94"/>
      <c r="S213" s="94"/>
      <c r="T213" s="94"/>
      <c r="U213" s="94"/>
      <c r="V213" s="94"/>
      <c r="W213" s="94"/>
      <c r="X213" s="278" t="s">
        <v>657</v>
      </c>
      <c r="Y213" s="11" t="s">
        <v>65</v>
      </c>
      <c r="Z213" s="1" t="s">
        <v>7</v>
      </c>
      <c r="AA213" s="529" t="s">
        <v>38</v>
      </c>
      <c r="AB213" s="163" t="s">
        <v>111</v>
      </c>
      <c r="AC213" s="317"/>
      <c r="AD213" s="168">
        <f>AD214</f>
        <v>655.5</v>
      </c>
      <c r="AE213" s="168">
        <f>AE214</f>
        <v>655.5</v>
      </c>
      <c r="AF213" s="168">
        <f t="shared" ref="AF213:AF216" si="78">AF214</f>
        <v>655.29999999999995</v>
      </c>
      <c r="AG213" s="575">
        <f t="shared" si="74"/>
        <v>0.99969488939740647</v>
      </c>
      <c r="AH213" s="194"/>
      <c r="AI213" s="156"/>
    </row>
    <row r="214" spans="1:37" s="110" customFormat="1" ht="36" customHeight="1" x14ac:dyDescent="0.25">
      <c r="A214" s="54"/>
      <c r="B214" s="85"/>
      <c r="C214" s="86"/>
      <c r="D214" s="86"/>
      <c r="E214" s="87"/>
      <c r="F214" s="111"/>
      <c r="G214" s="88"/>
      <c r="H214" s="88"/>
      <c r="I214" s="88"/>
      <c r="J214" s="88"/>
      <c r="K214" s="88"/>
      <c r="L214" s="80"/>
      <c r="M214" s="88"/>
      <c r="N214" s="80"/>
      <c r="O214" s="88"/>
      <c r="P214" s="88"/>
      <c r="Q214" s="90"/>
      <c r="R214" s="94"/>
      <c r="S214" s="94"/>
      <c r="T214" s="94"/>
      <c r="U214" s="94"/>
      <c r="V214" s="94"/>
      <c r="W214" s="94"/>
      <c r="X214" s="278" t="s">
        <v>658</v>
      </c>
      <c r="Y214" s="11" t="s">
        <v>65</v>
      </c>
      <c r="Z214" s="1" t="s">
        <v>7</v>
      </c>
      <c r="AA214" s="529" t="s">
        <v>38</v>
      </c>
      <c r="AB214" s="163" t="s">
        <v>659</v>
      </c>
      <c r="AC214" s="317"/>
      <c r="AD214" s="168">
        <f>AD215</f>
        <v>655.5</v>
      </c>
      <c r="AE214" s="168">
        <f>AE215</f>
        <v>655.5</v>
      </c>
      <c r="AF214" s="168">
        <f t="shared" si="78"/>
        <v>655.29999999999995</v>
      </c>
      <c r="AG214" s="575">
        <f t="shared" si="74"/>
        <v>0.99969488939740647</v>
      </c>
      <c r="AH214" s="194"/>
      <c r="AI214" s="156"/>
    </row>
    <row r="215" spans="1:37" s="110" customFormat="1" ht="41.45" customHeight="1" x14ac:dyDescent="0.25">
      <c r="A215" s="54"/>
      <c r="B215" s="85"/>
      <c r="C215" s="86"/>
      <c r="D215" s="86"/>
      <c r="E215" s="87"/>
      <c r="F215" s="111"/>
      <c r="G215" s="88"/>
      <c r="H215" s="88"/>
      <c r="I215" s="88"/>
      <c r="J215" s="88"/>
      <c r="K215" s="88"/>
      <c r="L215" s="80"/>
      <c r="M215" s="88"/>
      <c r="N215" s="80"/>
      <c r="O215" s="88"/>
      <c r="P215" s="88"/>
      <c r="Q215" s="90"/>
      <c r="R215" s="94"/>
      <c r="S215" s="94"/>
      <c r="T215" s="94"/>
      <c r="U215" s="94"/>
      <c r="V215" s="94"/>
      <c r="W215" s="94"/>
      <c r="X215" s="278" t="s">
        <v>177</v>
      </c>
      <c r="Y215" s="11" t="s">
        <v>65</v>
      </c>
      <c r="Z215" s="1" t="s">
        <v>7</v>
      </c>
      <c r="AA215" s="529" t="s">
        <v>38</v>
      </c>
      <c r="AB215" s="163" t="s">
        <v>660</v>
      </c>
      <c r="AC215" s="317"/>
      <c r="AD215" s="168">
        <f>AD216+AD219</f>
        <v>655.5</v>
      </c>
      <c r="AE215" s="168">
        <f>AE216+AE219</f>
        <v>655.5</v>
      </c>
      <c r="AF215" s="168">
        <f t="shared" ref="AF215" si="79">AF216+AF219</f>
        <v>655.29999999999995</v>
      </c>
      <c r="AG215" s="575">
        <f t="shared" si="74"/>
        <v>0.99969488939740647</v>
      </c>
      <c r="AH215" s="194"/>
      <c r="AI215" s="156"/>
    </row>
    <row r="216" spans="1:37" s="110" customFormat="1" x14ac:dyDescent="0.25">
      <c r="A216" s="54"/>
      <c r="B216" s="85"/>
      <c r="C216" s="86"/>
      <c r="D216" s="86"/>
      <c r="E216" s="87"/>
      <c r="F216" s="111"/>
      <c r="G216" s="88"/>
      <c r="H216" s="88"/>
      <c r="I216" s="88"/>
      <c r="J216" s="88"/>
      <c r="K216" s="88"/>
      <c r="L216" s="80"/>
      <c r="M216" s="88"/>
      <c r="N216" s="80"/>
      <c r="O216" s="88"/>
      <c r="P216" s="88"/>
      <c r="Q216" s="90"/>
      <c r="R216" s="94"/>
      <c r="S216" s="94"/>
      <c r="T216" s="94"/>
      <c r="U216" s="94"/>
      <c r="V216" s="94"/>
      <c r="W216" s="94"/>
      <c r="X216" s="278" t="s">
        <v>123</v>
      </c>
      <c r="Y216" s="11" t="s">
        <v>65</v>
      </c>
      <c r="Z216" s="1" t="s">
        <v>7</v>
      </c>
      <c r="AA216" s="529" t="s">
        <v>38</v>
      </c>
      <c r="AB216" s="163" t="s">
        <v>660</v>
      </c>
      <c r="AC216" s="317" t="s">
        <v>39</v>
      </c>
      <c r="AD216" s="168">
        <f>AD217</f>
        <v>10</v>
      </c>
      <c r="AE216" s="168">
        <f>AE217</f>
        <v>10</v>
      </c>
      <c r="AF216" s="168">
        <f t="shared" si="78"/>
        <v>9.8000000000000007</v>
      </c>
      <c r="AG216" s="575">
        <f t="shared" si="74"/>
        <v>0.98000000000000009</v>
      </c>
      <c r="AH216" s="194"/>
      <c r="AI216" s="156"/>
    </row>
    <row r="217" spans="1:37" s="110" customFormat="1" ht="31.5" x14ac:dyDescent="0.25">
      <c r="A217" s="54"/>
      <c r="B217" s="85"/>
      <c r="C217" s="86"/>
      <c r="D217" s="86"/>
      <c r="E217" s="87"/>
      <c r="F217" s="111"/>
      <c r="G217" s="88"/>
      <c r="H217" s="88"/>
      <c r="I217" s="88"/>
      <c r="J217" s="88"/>
      <c r="K217" s="88"/>
      <c r="L217" s="80"/>
      <c r="M217" s="88"/>
      <c r="N217" s="80"/>
      <c r="O217" s="88"/>
      <c r="P217" s="88"/>
      <c r="Q217" s="90"/>
      <c r="R217" s="94"/>
      <c r="S217" s="94"/>
      <c r="T217" s="94"/>
      <c r="U217" s="94"/>
      <c r="V217" s="94"/>
      <c r="W217" s="94"/>
      <c r="X217" s="278" t="s">
        <v>54</v>
      </c>
      <c r="Y217" s="11" t="s">
        <v>65</v>
      </c>
      <c r="Z217" s="1" t="s">
        <v>7</v>
      </c>
      <c r="AA217" s="529" t="s">
        <v>38</v>
      </c>
      <c r="AB217" s="163" t="s">
        <v>660</v>
      </c>
      <c r="AC217" s="317" t="s">
        <v>67</v>
      </c>
      <c r="AD217" s="168">
        <f>70-60</f>
        <v>10</v>
      </c>
      <c r="AE217" s="168">
        <f>70-60</f>
        <v>10</v>
      </c>
      <c r="AF217" s="168">
        <v>9.8000000000000007</v>
      </c>
      <c r="AG217" s="575">
        <f t="shared" si="74"/>
        <v>0.98000000000000009</v>
      </c>
      <c r="AH217" s="194"/>
      <c r="AI217" s="156"/>
    </row>
    <row r="218" spans="1:37" s="110" customFormat="1" ht="31.5" x14ac:dyDescent="0.25">
      <c r="A218" s="54"/>
      <c r="B218" s="85"/>
      <c r="C218" s="86"/>
      <c r="D218" s="86"/>
      <c r="E218" s="87"/>
      <c r="F218" s="111"/>
      <c r="G218" s="88"/>
      <c r="H218" s="88"/>
      <c r="I218" s="88"/>
      <c r="J218" s="88"/>
      <c r="K218" s="88"/>
      <c r="L218" s="80"/>
      <c r="M218" s="88"/>
      <c r="N218" s="80"/>
      <c r="O218" s="88"/>
      <c r="P218" s="88"/>
      <c r="Q218" s="90"/>
      <c r="R218" s="94"/>
      <c r="S218" s="94"/>
      <c r="T218" s="94"/>
      <c r="U218" s="94"/>
      <c r="V218" s="94"/>
      <c r="W218" s="94"/>
      <c r="X218" s="278" t="s">
        <v>62</v>
      </c>
      <c r="Y218" s="11" t="s">
        <v>65</v>
      </c>
      <c r="Z218" s="1" t="s">
        <v>7</v>
      </c>
      <c r="AA218" s="529" t="s">
        <v>38</v>
      </c>
      <c r="AB218" s="163" t="s">
        <v>660</v>
      </c>
      <c r="AC218" s="317" t="s">
        <v>422</v>
      </c>
      <c r="AD218" s="168">
        <f>AD219</f>
        <v>645.5</v>
      </c>
      <c r="AE218" s="168">
        <f>AE219</f>
        <v>645.5</v>
      </c>
      <c r="AF218" s="168">
        <f t="shared" ref="AF218" si="80">AF219</f>
        <v>645.5</v>
      </c>
      <c r="AG218" s="575">
        <f t="shared" si="74"/>
        <v>1</v>
      </c>
      <c r="AH218" s="194"/>
      <c r="AI218" s="156"/>
    </row>
    <row r="219" spans="1:37" s="110" customFormat="1" x14ac:dyDescent="0.25">
      <c r="A219" s="54"/>
      <c r="B219" s="85"/>
      <c r="C219" s="86"/>
      <c r="D219" s="86"/>
      <c r="E219" s="87"/>
      <c r="F219" s="111"/>
      <c r="G219" s="88"/>
      <c r="H219" s="88"/>
      <c r="I219" s="88"/>
      <c r="J219" s="88"/>
      <c r="K219" s="88"/>
      <c r="L219" s="80"/>
      <c r="M219" s="88"/>
      <c r="N219" s="80"/>
      <c r="O219" s="88"/>
      <c r="P219" s="88"/>
      <c r="Q219" s="90"/>
      <c r="R219" s="94"/>
      <c r="S219" s="94"/>
      <c r="T219" s="94"/>
      <c r="U219" s="94"/>
      <c r="V219" s="94"/>
      <c r="W219" s="94"/>
      <c r="X219" s="278" t="s">
        <v>63</v>
      </c>
      <c r="Y219" s="11" t="s">
        <v>65</v>
      </c>
      <c r="Z219" s="1" t="s">
        <v>7</v>
      </c>
      <c r="AA219" s="529" t="s">
        <v>38</v>
      </c>
      <c r="AB219" s="163" t="s">
        <v>660</v>
      </c>
      <c r="AC219" s="317" t="s">
        <v>423</v>
      </c>
      <c r="AD219" s="168">
        <f>700-54.5</f>
        <v>645.5</v>
      </c>
      <c r="AE219" s="168">
        <f>700-54.5</f>
        <v>645.5</v>
      </c>
      <c r="AF219" s="168">
        <v>645.5</v>
      </c>
      <c r="AG219" s="575">
        <f t="shared" si="74"/>
        <v>1</v>
      </c>
      <c r="AH219" s="194"/>
      <c r="AI219" s="156"/>
    </row>
    <row r="220" spans="1:37" s="110" customFormat="1" x14ac:dyDescent="0.25">
      <c r="A220" s="54"/>
      <c r="B220" s="85"/>
      <c r="C220" s="86"/>
      <c r="D220" s="86"/>
      <c r="E220" s="87"/>
      <c r="F220" s="111"/>
      <c r="G220" s="88"/>
      <c r="H220" s="88"/>
      <c r="I220" s="88"/>
      <c r="J220" s="88"/>
      <c r="K220" s="88"/>
      <c r="L220" s="80"/>
      <c r="M220" s="88"/>
      <c r="N220" s="80"/>
      <c r="O220" s="88"/>
      <c r="P220" s="88"/>
      <c r="Q220" s="90"/>
      <c r="R220" s="94"/>
      <c r="S220" s="94"/>
      <c r="T220" s="94"/>
      <c r="U220" s="94"/>
      <c r="V220" s="94"/>
      <c r="W220" s="94"/>
      <c r="X220" s="282" t="s">
        <v>50</v>
      </c>
      <c r="Y220" s="11" t="s">
        <v>65</v>
      </c>
      <c r="Z220" s="1" t="s">
        <v>7</v>
      </c>
      <c r="AA220" s="529" t="s">
        <v>38</v>
      </c>
      <c r="AB220" s="163" t="s">
        <v>108</v>
      </c>
      <c r="AC220" s="317"/>
      <c r="AD220" s="168">
        <f>AD221</f>
        <v>21345.100000000002</v>
      </c>
      <c r="AE220" s="168">
        <f>AE221</f>
        <v>21345.100000000002</v>
      </c>
      <c r="AF220" s="168">
        <f t="shared" ref="AF220:AF221" si="81">AF221</f>
        <v>21341.8</v>
      </c>
      <c r="AG220" s="575">
        <f t="shared" si="74"/>
        <v>0.9998453977727908</v>
      </c>
      <c r="AH220" s="194"/>
      <c r="AI220" s="156"/>
    </row>
    <row r="221" spans="1:37" s="110" customFormat="1" ht="31.5" x14ac:dyDescent="0.25">
      <c r="A221" s="54"/>
      <c r="B221" s="85"/>
      <c r="C221" s="86"/>
      <c r="D221" s="86"/>
      <c r="E221" s="87"/>
      <c r="F221" s="111"/>
      <c r="G221" s="88"/>
      <c r="H221" s="88"/>
      <c r="I221" s="88"/>
      <c r="J221" s="88"/>
      <c r="K221" s="88"/>
      <c r="L221" s="80"/>
      <c r="M221" s="88"/>
      <c r="N221" s="80"/>
      <c r="O221" s="88"/>
      <c r="P221" s="88"/>
      <c r="Q221" s="90"/>
      <c r="R221" s="94"/>
      <c r="S221" s="94"/>
      <c r="T221" s="94"/>
      <c r="U221" s="94"/>
      <c r="V221" s="94"/>
      <c r="W221" s="94"/>
      <c r="X221" s="282" t="s">
        <v>287</v>
      </c>
      <c r="Y221" s="11" t="s">
        <v>65</v>
      </c>
      <c r="Z221" s="1" t="s">
        <v>7</v>
      </c>
      <c r="AA221" s="529" t="s">
        <v>38</v>
      </c>
      <c r="AB221" s="163" t="s">
        <v>378</v>
      </c>
      <c r="AC221" s="317"/>
      <c r="AD221" s="168">
        <f>AD222</f>
        <v>21345.100000000002</v>
      </c>
      <c r="AE221" s="168">
        <f>AE222</f>
        <v>21345.100000000002</v>
      </c>
      <c r="AF221" s="168">
        <f t="shared" si="81"/>
        <v>21341.8</v>
      </c>
      <c r="AG221" s="575">
        <f t="shared" si="74"/>
        <v>0.9998453977727908</v>
      </c>
      <c r="AH221" s="194"/>
      <c r="AI221" s="156"/>
    </row>
    <row r="222" spans="1:37" s="110" customFormat="1" x14ac:dyDescent="0.25">
      <c r="A222" s="54"/>
      <c r="B222" s="85"/>
      <c r="C222" s="86"/>
      <c r="D222" s="86"/>
      <c r="E222" s="87"/>
      <c r="F222" s="111"/>
      <c r="G222" s="88"/>
      <c r="H222" s="88"/>
      <c r="I222" s="88"/>
      <c r="J222" s="88"/>
      <c r="K222" s="88"/>
      <c r="L222" s="80"/>
      <c r="M222" s="88"/>
      <c r="N222" s="80"/>
      <c r="O222" s="88"/>
      <c r="P222" s="88"/>
      <c r="Q222" s="90"/>
      <c r="R222" s="94"/>
      <c r="S222" s="94"/>
      <c r="T222" s="94"/>
      <c r="U222" s="94"/>
      <c r="V222" s="94"/>
      <c r="W222" s="94"/>
      <c r="X222" s="282" t="s">
        <v>182</v>
      </c>
      <c r="Y222" s="11" t="s">
        <v>65</v>
      </c>
      <c r="Z222" s="1" t="s">
        <v>7</v>
      </c>
      <c r="AA222" s="529" t="s">
        <v>38</v>
      </c>
      <c r="AB222" s="163" t="s">
        <v>183</v>
      </c>
      <c r="AC222" s="317"/>
      <c r="AD222" s="168">
        <f>AD223+AD225</f>
        <v>21345.100000000002</v>
      </c>
      <c r="AE222" s="168">
        <f>AE223+AE225</f>
        <v>21345.100000000002</v>
      </c>
      <c r="AF222" s="168">
        <f>AF223+AF225</f>
        <v>21341.8</v>
      </c>
      <c r="AG222" s="575">
        <f t="shared" si="74"/>
        <v>0.9998453977727908</v>
      </c>
      <c r="AH222" s="194"/>
      <c r="AI222" s="156"/>
    </row>
    <row r="223" spans="1:37" s="110" customFormat="1" ht="47.25" x14ac:dyDescent="0.25">
      <c r="A223" s="54"/>
      <c r="B223" s="85"/>
      <c r="C223" s="86"/>
      <c r="D223" s="86"/>
      <c r="E223" s="87"/>
      <c r="F223" s="111"/>
      <c r="G223" s="88"/>
      <c r="H223" s="88"/>
      <c r="I223" s="88"/>
      <c r="J223" s="88"/>
      <c r="K223" s="88"/>
      <c r="L223" s="80"/>
      <c r="M223" s="88"/>
      <c r="N223" s="80"/>
      <c r="O223" s="88"/>
      <c r="P223" s="88"/>
      <c r="Q223" s="90"/>
      <c r="R223" s="94"/>
      <c r="S223" s="94"/>
      <c r="T223" s="94"/>
      <c r="U223" s="94"/>
      <c r="V223" s="94"/>
      <c r="W223" s="94"/>
      <c r="X223" s="278" t="s">
        <v>154</v>
      </c>
      <c r="Y223" s="11" t="s">
        <v>65</v>
      </c>
      <c r="Z223" s="1" t="s">
        <v>7</v>
      </c>
      <c r="AA223" s="529" t="s">
        <v>38</v>
      </c>
      <c r="AB223" s="163" t="s">
        <v>183</v>
      </c>
      <c r="AC223" s="317" t="s">
        <v>129</v>
      </c>
      <c r="AD223" s="168">
        <f>AD224</f>
        <v>21344.100000000002</v>
      </c>
      <c r="AE223" s="168">
        <f>AE224</f>
        <v>21344.100000000002</v>
      </c>
      <c r="AF223" s="168">
        <f>AF224</f>
        <v>21340.799999999999</v>
      </c>
      <c r="AG223" s="575">
        <f t="shared" si="74"/>
        <v>0.99984539052946697</v>
      </c>
      <c r="AH223" s="194"/>
      <c r="AI223" s="156"/>
    </row>
    <row r="224" spans="1:37" s="110" customFormat="1" x14ac:dyDescent="0.25">
      <c r="A224" s="54"/>
      <c r="B224" s="85"/>
      <c r="C224" s="86"/>
      <c r="D224" s="86"/>
      <c r="E224" s="87"/>
      <c r="F224" s="111"/>
      <c r="G224" s="88"/>
      <c r="H224" s="88"/>
      <c r="I224" s="88"/>
      <c r="J224" s="88"/>
      <c r="K224" s="88"/>
      <c r="L224" s="80"/>
      <c r="M224" s="88"/>
      <c r="N224" s="80"/>
      <c r="O224" s="88"/>
      <c r="P224" s="88"/>
      <c r="Q224" s="90"/>
      <c r="R224" s="94"/>
      <c r="S224" s="94"/>
      <c r="T224" s="94"/>
      <c r="U224" s="94"/>
      <c r="V224" s="94"/>
      <c r="W224" s="94"/>
      <c r="X224" s="278" t="s">
        <v>70</v>
      </c>
      <c r="Y224" s="11" t="s">
        <v>65</v>
      </c>
      <c r="Z224" s="1" t="s">
        <v>7</v>
      </c>
      <c r="AA224" s="529" t="s">
        <v>38</v>
      </c>
      <c r="AB224" s="163" t="s">
        <v>183</v>
      </c>
      <c r="AC224" s="317" t="s">
        <v>130</v>
      </c>
      <c r="AD224" s="168">
        <f>20217.9-1+865.8+261.4</f>
        <v>21344.100000000002</v>
      </c>
      <c r="AE224" s="168">
        <f>20217.9-1+865.8+261.4</f>
        <v>21344.100000000002</v>
      </c>
      <c r="AF224" s="168">
        <v>21340.799999999999</v>
      </c>
      <c r="AG224" s="575">
        <f t="shared" si="74"/>
        <v>0.99984539052946697</v>
      </c>
      <c r="AH224" s="194"/>
      <c r="AI224" s="642"/>
      <c r="AJ224" s="643"/>
      <c r="AK224" s="112"/>
    </row>
    <row r="225" spans="1:37" s="110" customFormat="1" x14ac:dyDescent="0.25">
      <c r="A225" s="54"/>
      <c r="B225" s="85"/>
      <c r="C225" s="86"/>
      <c r="D225" s="86"/>
      <c r="E225" s="87"/>
      <c r="F225" s="111"/>
      <c r="G225" s="88"/>
      <c r="H225" s="88"/>
      <c r="I225" s="88"/>
      <c r="J225" s="88"/>
      <c r="K225" s="88"/>
      <c r="L225" s="80"/>
      <c r="M225" s="88"/>
      <c r="N225" s="80"/>
      <c r="O225" s="88"/>
      <c r="P225" s="88"/>
      <c r="Q225" s="90"/>
      <c r="R225" s="94"/>
      <c r="S225" s="94"/>
      <c r="T225" s="94"/>
      <c r="U225" s="94"/>
      <c r="V225" s="94"/>
      <c r="W225" s="94"/>
      <c r="X225" s="278" t="s">
        <v>44</v>
      </c>
      <c r="Y225" s="11" t="s">
        <v>65</v>
      </c>
      <c r="Z225" s="1" t="s">
        <v>7</v>
      </c>
      <c r="AA225" s="529" t="s">
        <v>38</v>
      </c>
      <c r="AB225" s="163" t="s">
        <v>183</v>
      </c>
      <c r="AC225" s="317" t="s">
        <v>373</v>
      </c>
      <c r="AD225" s="168">
        <f>AD226</f>
        <v>1</v>
      </c>
      <c r="AE225" s="168">
        <f>AE226</f>
        <v>1</v>
      </c>
      <c r="AF225" s="168">
        <f t="shared" ref="AF225" si="82">AF226</f>
        <v>1</v>
      </c>
      <c r="AG225" s="575">
        <f t="shared" si="74"/>
        <v>1</v>
      </c>
      <c r="AH225" s="194"/>
      <c r="AI225" s="490"/>
      <c r="AJ225" s="491"/>
      <c r="AK225" s="112"/>
    </row>
    <row r="226" spans="1:37" s="110" customFormat="1" x14ac:dyDescent="0.25">
      <c r="A226" s="54"/>
      <c r="B226" s="85"/>
      <c r="C226" s="86"/>
      <c r="D226" s="86"/>
      <c r="E226" s="87"/>
      <c r="F226" s="111"/>
      <c r="G226" s="88"/>
      <c r="H226" s="88"/>
      <c r="I226" s="88"/>
      <c r="J226" s="88"/>
      <c r="K226" s="88"/>
      <c r="L226" s="80"/>
      <c r="M226" s="88"/>
      <c r="N226" s="80"/>
      <c r="O226" s="88"/>
      <c r="P226" s="88"/>
      <c r="Q226" s="90"/>
      <c r="R226" s="94"/>
      <c r="S226" s="94"/>
      <c r="T226" s="94"/>
      <c r="U226" s="94"/>
      <c r="V226" s="94"/>
      <c r="W226" s="94"/>
      <c r="X226" s="278" t="s">
        <v>60</v>
      </c>
      <c r="Y226" s="11" t="s">
        <v>65</v>
      </c>
      <c r="Z226" s="1" t="s">
        <v>7</v>
      </c>
      <c r="AA226" s="529" t="s">
        <v>38</v>
      </c>
      <c r="AB226" s="163" t="s">
        <v>183</v>
      </c>
      <c r="AC226" s="317" t="s">
        <v>472</v>
      </c>
      <c r="AD226" s="168">
        <f>1</f>
        <v>1</v>
      </c>
      <c r="AE226" s="168">
        <f>1</f>
        <v>1</v>
      </c>
      <c r="AF226" s="168">
        <v>1</v>
      </c>
      <c r="AG226" s="575">
        <f t="shared" si="74"/>
        <v>1</v>
      </c>
      <c r="AH226" s="194"/>
      <c r="AI226" s="490"/>
      <c r="AJ226" s="491"/>
      <c r="AK226" s="112"/>
    </row>
    <row r="227" spans="1:37" s="110" customFormat="1" x14ac:dyDescent="0.25">
      <c r="A227" s="54"/>
      <c r="B227" s="85"/>
      <c r="C227" s="86"/>
      <c r="D227" s="86"/>
      <c r="E227" s="87"/>
      <c r="F227" s="111"/>
      <c r="G227" s="88"/>
      <c r="H227" s="88"/>
      <c r="I227" s="88"/>
      <c r="J227" s="88"/>
      <c r="K227" s="88"/>
      <c r="L227" s="80"/>
      <c r="M227" s="88"/>
      <c r="N227" s="80"/>
      <c r="O227" s="88"/>
      <c r="P227" s="88"/>
      <c r="Q227" s="90"/>
      <c r="R227" s="94"/>
      <c r="S227" s="94"/>
      <c r="T227" s="94"/>
      <c r="U227" s="94"/>
      <c r="V227" s="94"/>
      <c r="W227" s="94"/>
      <c r="X227" s="284" t="s">
        <v>193</v>
      </c>
      <c r="Y227" s="11" t="s">
        <v>65</v>
      </c>
      <c r="Z227" s="1" t="s">
        <v>7</v>
      </c>
      <c r="AA227" s="529" t="s">
        <v>38</v>
      </c>
      <c r="AB227" s="163" t="s">
        <v>115</v>
      </c>
      <c r="AC227" s="317"/>
      <c r="AD227" s="168">
        <f t="shared" ref="AD227:AE231" si="83">AD228</f>
        <v>20</v>
      </c>
      <c r="AE227" s="168">
        <f t="shared" si="83"/>
        <v>20</v>
      </c>
      <c r="AF227" s="168">
        <f t="shared" ref="AF227" si="84">AF228</f>
        <v>17.5</v>
      </c>
      <c r="AG227" s="575">
        <f t="shared" si="74"/>
        <v>0.875</v>
      </c>
      <c r="AH227" s="194"/>
      <c r="AI227" s="474"/>
      <c r="AJ227" s="475"/>
      <c r="AK227" s="112"/>
    </row>
    <row r="228" spans="1:37" s="110" customFormat="1" x14ac:dyDescent="0.25">
      <c r="A228" s="54"/>
      <c r="B228" s="85"/>
      <c r="C228" s="86"/>
      <c r="D228" s="86"/>
      <c r="E228" s="87"/>
      <c r="F228" s="111"/>
      <c r="G228" s="88"/>
      <c r="H228" s="88"/>
      <c r="I228" s="88"/>
      <c r="J228" s="88"/>
      <c r="K228" s="88"/>
      <c r="L228" s="80"/>
      <c r="M228" s="88"/>
      <c r="N228" s="80"/>
      <c r="O228" s="88"/>
      <c r="P228" s="88"/>
      <c r="Q228" s="90"/>
      <c r="R228" s="94"/>
      <c r="S228" s="94"/>
      <c r="T228" s="94"/>
      <c r="U228" s="94"/>
      <c r="V228" s="94"/>
      <c r="W228" s="94"/>
      <c r="X228" s="284" t="s">
        <v>198</v>
      </c>
      <c r="Y228" s="11" t="s">
        <v>65</v>
      </c>
      <c r="Z228" s="1" t="s">
        <v>7</v>
      </c>
      <c r="AA228" s="529" t="s">
        <v>38</v>
      </c>
      <c r="AB228" s="163" t="s">
        <v>199</v>
      </c>
      <c r="AC228" s="317"/>
      <c r="AD228" s="168">
        <f t="shared" si="83"/>
        <v>20</v>
      </c>
      <c r="AE228" s="168">
        <f t="shared" si="83"/>
        <v>20</v>
      </c>
      <c r="AF228" s="168">
        <f t="shared" ref="AF228" si="85">AF229</f>
        <v>17.5</v>
      </c>
      <c r="AG228" s="575">
        <f t="shared" si="74"/>
        <v>0.875</v>
      </c>
      <c r="AH228" s="194"/>
      <c r="AI228" s="474"/>
      <c r="AJ228" s="475"/>
      <c r="AK228" s="112"/>
    </row>
    <row r="229" spans="1:37" s="110" customFormat="1" ht="31.5" x14ac:dyDescent="0.25">
      <c r="A229" s="54"/>
      <c r="B229" s="85"/>
      <c r="C229" s="86"/>
      <c r="D229" s="86"/>
      <c r="E229" s="87"/>
      <c r="F229" s="111"/>
      <c r="G229" s="88"/>
      <c r="H229" s="88"/>
      <c r="I229" s="88"/>
      <c r="J229" s="88"/>
      <c r="K229" s="88"/>
      <c r="L229" s="80"/>
      <c r="M229" s="88"/>
      <c r="N229" s="80"/>
      <c r="O229" s="88"/>
      <c r="P229" s="88"/>
      <c r="Q229" s="90"/>
      <c r="R229" s="94"/>
      <c r="S229" s="94"/>
      <c r="T229" s="94"/>
      <c r="U229" s="94"/>
      <c r="V229" s="94"/>
      <c r="W229" s="94"/>
      <c r="X229" s="278" t="s">
        <v>615</v>
      </c>
      <c r="Y229" s="11" t="s">
        <v>65</v>
      </c>
      <c r="Z229" s="1" t="s">
        <v>7</v>
      </c>
      <c r="AA229" s="529" t="s">
        <v>38</v>
      </c>
      <c r="AB229" s="306" t="s">
        <v>616</v>
      </c>
      <c r="AC229" s="309"/>
      <c r="AD229" s="168">
        <f t="shared" si="83"/>
        <v>20</v>
      </c>
      <c r="AE229" s="168">
        <f t="shared" si="83"/>
        <v>20</v>
      </c>
      <c r="AF229" s="168">
        <f t="shared" ref="AF229:AF231" si="86">AF230</f>
        <v>17.5</v>
      </c>
      <c r="AG229" s="575">
        <f t="shared" si="74"/>
        <v>0.875</v>
      </c>
      <c r="AH229" s="194"/>
      <c r="AI229" s="474"/>
      <c r="AJ229" s="475"/>
      <c r="AK229" s="112"/>
    </row>
    <row r="230" spans="1:37" s="110" customFormat="1" ht="78.75" x14ac:dyDescent="0.25">
      <c r="A230" s="54"/>
      <c r="B230" s="85"/>
      <c r="C230" s="86"/>
      <c r="D230" s="86"/>
      <c r="E230" s="87"/>
      <c r="F230" s="111"/>
      <c r="G230" s="88"/>
      <c r="H230" s="88"/>
      <c r="I230" s="88"/>
      <c r="J230" s="88"/>
      <c r="K230" s="88"/>
      <c r="L230" s="80"/>
      <c r="M230" s="88"/>
      <c r="N230" s="80"/>
      <c r="O230" s="88"/>
      <c r="P230" s="88"/>
      <c r="Q230" s="90"/>
      <c r="R230" s="94"/>
      <c r="S230" s="94"/>
      <c r="T230" s="94"/>
      <c r="U230" s="94"/>
      <c r="V230" s="94"/>
      <c r="W230" s="94"/>
      <c r="X230" s="278" t="s">
        <v>449</v>
      </c>
      <c r="Y230" s="11" t="s">
        <v>65</v>
      </c>
      <c r="Z230" s="1" t="s">
        <v>7</v>
      </c>
      <c r="AA230" s="529" t="s">
        <v>38</v>
      </c>
      <c r="AB230" s="163" t="s">
        <v>617</v>
      </c>
      <c r="AC230" s="309"/>
      <c r="AD230" s="168">
        <f t="shared" si="83"/>
        <v>20</v>
      </c>
      <c r="AE230" s="168">
        <f t="shared" si="83"/>
        <v>20</v>
      </c>
      <c r="AF230" s="168">
        <f t="shared" si="86"/>
        <v>17.5</v>
      </c>
      <c r="AG230" s="575">
        <f t="shared" si="74"/>
        <v>0.875</v>
      </c>
      <c r="AH230" s="194"/>
      <c r="AI230" s="474"/>
      <c r="AJ230" s="475"/>
      <c r="AK230" s="112"/>
    </row>
    <row r="231" spans="1:37" s="110" customFormat="1" x14ac:dyDescent="0.25">
      <c r="A231" s="54"/>
      <c r="B231" s="85"/>
      <c r="C231" s="86"/>
      <c r="D231" s="86"/>
      <c r="E231" s="87"/>
      <c r="F231" s="111"/>
      <c r="G231" s="88"/>
      <c r="H231" s="88"/>
      <c r="I231" s="88"/>
      <c r="J231" s="88"/>
      <c r="K231" s="88"/>
      <c r="L231" s="80"/>
      <c r="M231" s="88"/>
      <c r="N231" s="80"/>
      <c r="O231" s="88"/>
      <c r="P231" s="88"/>
      <c r="Q231" s="90"/>
      <c r="R231" s="94"/>
      <c r="S231" s="94"/>
      <c r="T231" s="94"/>
      <c r="U231" s="94"/>
      <c r="V231" s="94"/>
      <c r="W231" s="94"/>
      <c r="X231" s="278" t="s">
        <v>123</v>
      </c>
      <c r="Y231" s="11" t="s">
        <v>65</v>
      </c>
      <c r="Z231" s="1" t="s">
        <v>7</v>
      </c>
      <c r="AA231" s="529" t="s">
        <v>38</v>
      </c>
      <c r="AB231" s="163" t="s">
        <v>617</v>
      </c>
      <c r="AC231" s="309">
        <v>200</v>
      </c>
      <c r="AD231" s="168">
        <f t="shared" si="83"/>
        <v>20</v>
      </c>
      <c r="AE231" s="168">
        <f t="shared" si="83"/>
        <v>20</v>
      </c>
      <c r="AF231" s="168">
        <f t="shared" si="86"/>
        <v>17.5</v>
      </c>
      <c r="AG231" s="575">
        <f t="shared" si="74"/>
        <v>0.875</v>
      </c>
      <c r="AH231" s="194"/>
      <c r="AI231" s="474"/>
      <c r="AJ231" s="475"/>
      <c r="AK231" s="112"/>
    </row>
    <row r="232" spans="1:37" s="110" customFormat="1" ht="31.5" x14ac:dyDescent="0.25">
      <c r="A232" s="54"/>
      <c r="B232" s="85"/>
      <c r="C232" s="86"/>
      <c r="D232" s="86"/>
      <c r="E232" s="87"/>
      <c r="F232" s="111"/>
      <c r="G232" s="88"/>
      <c r="H232" s="88"/>
      <c r="I232" s="88"/>
      <c r="J232" s="88"/>
      <c r="K232" s="88"/>
      <c r="L232" s="80"/>
      <c r="M232" s="88"/>
      <c r="N232" s="80"/>
      <c r="O232" s="88"/>
      <c r="P232" s="88"/>
      <c r="Q232" s="90"/>
      <c r="R232" s="94"/>
      <c r="S232" s="94"/>
      <c r="T232" s="94"/>
      <c r="U232" s="94"/>
      <c r="V232" s="94"/>
      <c r="W232" s="94"/>
      <c r="X232" s="278" t="s">
        <v>54</v>
      </c>
      <c r="Y232" s="11" t="s">
        <v>65</v>
      </c>
      <c r="Z232" s="1" t="s">
        <v>7</v>
      </c>
      <c r="AA232" s="529" t="s">
        <v>38</v>
      </c>
      <c r="AB232" s="163" t="s">
        <v>617</v>
      </c>
      <c r="AC232" s="309">
        <v>240</v>
      </c>
      <c r="AD232" s="168">
        <f>10+10</f>
        <v>20</v>
      </c>
      <c r="AE232" s="168">
        <f>10+10</f>
        <v>20</v>
      </c>
      <c r="AF232" s="168">
        <v>17.5</v>
      </c>
      <c r="AG232" s="575">
        <f t="shared" si="74"/>
        <v>0.875</v>
      </c>
      <c r="AH232" s="194"/>
      <c r="AI232" s="474"/>
      <c r="AJ232" s="475"/>
      <c r="AK232" s="112"/>
    </row>
    <row r="233" spans="1:37" s="110" customFormat="1" ht="31.5" x14ac:dyDescent="0.25">
      <c r="A233" s="54"/>
      <c r="B233" s="85"/>
      <c r="C233" s="86"/>
      <c r="D233" s="86"/>
      <c r="E233" s="87"/>
      <c r="F233" s="111"/>
      <c r="G233" s="88"/>
      <c r="H233" s="88"/>
      <c r="I233" s="88"/>
      <c r="J233" s="88"/>
      <c r="K233" s="80"/>
      <c r="L233" s="88"/>
      <c r="M233" s="80"/>
      <c r="N233" s="88"/>
      <c r="O233" s="88"/>
      <c r="P233" s="90"/>
      <c r="Q233" s="94"/>
      <c r="R233" s="94"/>
      <c r="S233" s="94"/>
      <c r="T233" s="94"/>
      <c r="U233" s="94"/>
      <c r="V233" s="94"/>
      <c r="W233" s="94"/>
      <c r="X233" s="278" t="s">
        <v>155</v>
      </c>
      <c r="Y233" s="11" t="s">
        <v>65</v>
      </c>
      <c r="Z233" s="1" t="s">
        <v>7</v>
      </c>
      <c r="AA233" s="529">
        <v>14</v>
      </c>
      <c r="AB233" s="33"/>
      <c r="AC233" s="317"/>
      <c r="AD233" s="168">
        <f t="shared" ref="AD233:AF235" si="87">AD234</f>
        <v>14472.8</v>
      </c>
      <c r="AE233" s="168">
        <f t="shared" si="87"/>
        <v>14472.8</v>
      </c>
      <c r="AF233" s="168">
        <f t="shared" si="87"/>
        <v>13061.9</v>
      </c>
      <c r="AG233" s="575">
        <f t="shared" si="74"/>
        <v>0.90251368083577477</v>
      </c>
      <c r="AH233" s="194"/>
      <c r="AI233" s="156"/>
    </row>
    <row r="234" spans="1:37" s="110" customFormat="1" ht="31.5" x14ac:dyDescent="0.25">
      <c r="A234" s="54"/>
      <c r="B234" s="85"/>
      <c r="C234" s="86"/>
      <c r="D234" s="86"/>
      <c r="E234" s="87"/>
      <c r="F234" s="111"/>
      <c r="G234" s="88"/>
      <c r="H234" s="56"/>
      <c r="I234" s="56"/>
      <c r="J234" s="56"/>
      <c r="K234" s="88"/>
      <c r="L234" s="56"/>
      <c r="M234" s="88"/>
      <c r="N234" s="89"/>
      <c r="O234" s="88"/>
      <c r="P234" s="90"/>
      <c r="Q234" s="94"/>
      <c r="R234" s="94"/>
      <c r="S234" s="94"/>
      <c r="T234" s="94"/>
      <c r="U234" s="94"/>
      <c r="V234" s="94"/>
      <c r="W234" s="94"/>
      <c r="X234" s="284" t="s">
        <v>168</v>
      </c>
      <c r="Y234" s="11" t="s">
        <v>65</v>
      </c>
      <c r="Z234" s="1" t="s">
        <v>7</v>
      </c>
      <c r="AA234" s="529">
        <v>14</v>
      </c>
      <c r="AB234" s="33" t="s">
        <v>105</v>
      </c>
      <c r="AC234" s="317"/>
      <c r="AD234" s="168">
        <f t="shared" si="87"/>
        <v>14472.8</v>
      </c>
      <c r="AE234" s="168">
        <f t="shared" si="87"/>
        <v>14472.8</v>
      </c>
      <c r="AF234" s="168">
        <f t="shared" si="87"/>
        <v>13061.9</v>
      </c>
      <c r="AG234" s="575">
        <f t="shared" si="74"/>
        <v>0.90251368083577477</v>
      </c>
      <c r="AH234" s="194"/>
      <c r="AI234" s="156"/>
    </row>
    <row r="235" spans="1:37" s="110" customFormat="1" x14ac:dyDescent="0.25">
      <c r="A235" s="54"/>
      <c r="B235" s="85"/>
      <c r="C235" s="86"/>
      <c r="D235" s="86"/>
      <c r="E235" s="87"/>
      <c r="F235" s="111"/>
      <c r="G235" s="88"/>
      <c r="H235" s="56"/>
      <c r="I235" s="56"/>
      <c r="J235" s="56"/>
      <c r="K235" s="88"/>
      <c r="L235" s="56"/>
      <c r="M235" s="88"/>
      <c r="N235" s="89"/>
      <c r="O235" s="88"/>
      <c r="P235" s="90"/>
      <c r="Q235" s="94"/>
      <c r="R235" s="94"/>
      <c r="S235" s="94"/>
      <c r="T235" s="94"/>
      <c r="U235" s="94"/>
      <c r="V235" s="94"/>
      <c r="W235" s="94"/>
      <c r="X235" s="284" t="s">
        <v>169</v>
      </c>
      <c r="Y235" s="11" t="s">
        <v>65</v>
      </c>
      <c r="Z235" s="1" t="s">
        <v>7</v>
      </c>
      <c r="AA235" s="529">
        <v>14</v>
      </c>
      <c r="AB235" s="33" t="s">
        <v>109</v>
      </c>
      <c r="AC235" s="317"/>
      <c r="AD235" s="168">
        <f>AD236</f>
        <v>14472.8</v>
      </c>
      <c r="AE235" s="168">
        <f t="shared" si="87"/>
        <v>14472.8</v>
      </c>
      <c r="AF235" s="168">
        <f t="shared" si="87"/>
        <v>13061.9</v>
      </c>
      <c r="AG235" s="575">
        <f t="shared" si="74"/>
        <v>0.90251368083577477</v>
      </c>
      <c r="AH235" s="194"/>
      <c r="AI235" s="156"/>
    </row>
    <row r="236" spans="1:37" s="110" customFormat="1" ht="31.5" x14ac:dyDescent="0.25">
      <c r="A236" s="95"/>
      <c r="B236" s="85"/>
      <c r="C236" s="86"/>
      <c r="D236" s="86"/>
      <c r="E236" s="87"/>
      <c r="F236" s="86"/>
      <c r="G236" s="88"/>
      <c r="H236" s="56"/>
      <c r="I236" s="56"/>
      <c r="J236" s="56"/>
      <c r="K236" s="80"/>
      <c r="L236" s="56"/>
      <c r="M236" s="80"/>
      <c r="N236" s="89"/>
      <c r="O236" s="88"/>
      <c r="P236" s="90"/>
      <c r="Q236" s="94"/>
      <c r="R236" s="94"/>
      <c r="S236" s="94"/>
      <c r="T236" s="94"/>
      <c r="U236" s="94"/>
      <c r="V236" s="94"/>
      <c r="W236" s="112"/>
      <c r="X236" s="282" t="s">
        <v>171</v>
      </c>
      <c r="Y236" s="11" t="s">
        <v>65</v>
      </c>
      <c r="Z236" s="1" t="s">
        <v>7</v>
      </c>
      <c r="AA236" s="529" t="s">
        <v>46</v>
      </c>
      <c r="AB236" s="163" t="s">
        <v>172</v>
      </c>
      <c r="AC236" s="309"/>
      <c r="AD236" s="168">
        <f t="shared" ref="AD236:AF237" si="88">AD237</f>
        <v>14472.8</v>
      </c>
      <c r="AE236" s="168">
        <f t="shared" si="88"/>
        <v>14472.8</v>
      </c>
      <c r="AF236" s="168">
        <f t="shared" si="88"/>
        <v>13061.9</v>
      </c>
      <c r="AG236" s="575">
        <f t="shared" si="74"/>
        <v>0.90251368083577477</v>
      </c>
      <c r="AH236" s="194"/>
      <c r="AI236" s="156"/>
    </row>
    <row r="237" spans="1:37" s="110" customFormat="1" x14ac:dyDescent="0.25">
      <c r="A237" s="95"/>
      <c r="B237" s="85"/>
      <c r="C237" s="86"/>
      <c r="D237" s="86"/>
      <c r="E237" s="87"/>
      <c r="F237" s="86"/>
      <c r="G237" s="88"/>
      <c r="H237" s="56"/>
      <c r="I237" s="56"/>
      <c r="J237" s="56"/>
      <c r="K237" s="80"/>
      <c r="L237" s="56"/>
      <c r="M237" s="80"/>
      <c r="N237" s="89"/>
      <c r="O237" s="88"/>
      <c r="P237" s="90"/>
      <c r="Q237" s="94"/>
      <c r="R237" s="94"/>
      <c r="S237" s="94"/>
      <c r="T237" s="94"/>
      <c r="U237" s="94"/>
      <c r="V237" s="94"/>
      <c r="W237" s="112"/>
      <c r="X237" s="284" t="s">
        <v>173</v>
      </c>
      <c r="Y237" s="11" t="s">
        <v>65</v>
      </c>
      <c r="Z237" s="1" t="s">
        <v>7</v>
      </c>
      <c r="AA237" s="529" t="s">
        <v>46</v>
      </c>
      <c r="AB237" s="163" t="s">
        <v>174</v>
      </c>
      <c r="AC237" s="309"/>
      <c r="AD237" s="168">
        <f t="shared" si="88"/>
        <v>14472.8</v>
      </c>
      <c r="AE237" s="168">
        <f t="shared" si="88"/>
        <v>14472.8</v>
      </c>
      <c r="AF237" s="168">
        <f t="shared" si="88"/>
        <v>13061.9</v>
      </c>
      <c r="AG237" s="575">
        <f t="shared" si="74"/>
        <v>0.90251368083577477</v>
      </c>
      <c r="AH237" s="194"/>
      <c r="AI237" s="156"/>
    </row>
    <row r="238" spans="1:37" x14ac:dyDescent="0.25">
      <c r="A238" s="97"/>
      <c r="B238" s="85"/>
      <c r="C238" s="86"/>
      <c r="D238" s="86"/>
      <c r="E238" s="87"/>
      <c r="F238" s="113"/>
      <c r="G238" s="88"/>
      <c r="H238" s="98"/>
      <c r="I238" s="98"/>
      <c r="J238" s="98"/>
      <c r="K238" s="80"/>
      <c r="L238" s="98"/>
      <c r="M238" s="80"/>
      <c r="N238" s="89"/>
      <c r="O238" s="48"/>
      <c r="P238" s="90"/>
      <c r="Q238" s="91"/>
      <c r="R238" s="91"/>
      <c r="S238" s="94"/>
      <c r="T238" s="94"/>
      <c r="U238" s="94"/>
      <c r="V238" s="94"/>
      <c r="X238" s="278" t="s">
        <v>123</v>
      </c>
      <c r="Y238" s="11" t="s">
        <v>65</v>
      </c>
      <c r="Z238" s="1" t="s">
        <v>7</v>
      </c>
      <c r="AA238" s="529" t="s">
        <v>46</v>
      </c>
      <c r="AB238" s="163" t="s">
        <v>174</v>
      </c>
      <c r="AC238" s="309">
        <v>200</v>
      </c>
      <c r="AD238" s="168">
        <f>AD239</f>
        <v>14472.8</v>
      </c>
      <c r="AE238" s="168">
        <f>AE239</f>
        <v>14472.8</v>
      </c>
      <c r="AF238" s="168">
        <f>AF239</f>
        <v>13061.9</v>
      </c>
      <c r="AG238" s="575">
        <f t="shared" si="74"/>
        <v>0.90251368083577477</v>
      </c>
      <c r="AH238" s="194"/>
      <c r="AI238" s="156"/>
    </row>
    <row r="239" spans="1:37" ht="31.5" x14ac:dyDescent="0.25">
      <c r="A239" s="97"/>
      <c r="B239" s="85"/>
      <c r="C239" s="86"/>
      <c r="D239" s="86"/>
      <c r="E239" s="87"/>
      <c r="F239" s="113"/>
      <c r="G239" s="88"/>
      <c r="H239" s="98"/>
      <c r="I239" s="98"/>
      <c r="J239" s="98"/>
      <c r="K239" s="80"/>
      <c r="L239" s="98"/>
      <c r="M239" s="80"/>
      <c r="N239" s="89"/>
      <c r="O239" s="48"/>
      <c r="P239" s="90"/>
      <c r="Q239" s="91"/>
      <c r="R239" s="91"/>
      <c r="S239" s="94"/>
      <c r="T239" s="94"/>
      <c r="U239" s="94"/>
      <c r="V239" s="94"/>
      <c r="X239" s="278" t="s">
        <v>54</v>
      </c>
      <c r="Y239" s="11" t="s">
        <v>65</v>
      </c>
      <c r="Z239" s="1" t="s">
        <v>7</v>
      </c>
      <c r="AA239" s="529" t="s">
        <v>46</v>
      </c>
      <c r="AB239" s="163" t="s">
        <v>174</v>
      </c>
      <c r="AC239" s="309">
        <v>240</v>
      </c>
      <c r="AD239" s="173">
        <f>15373.4+999.6-1111.5-15.7-773</f>
        <v>14472.8</v>
      </c>
      <c r="AE239" s="173">
        <f>15373.4+999.6-1111.5-15.7-773</f>
        <v>14472.8</v>
      </c>
      <c r="AF239" s="173">
        <v>13061.9</v>
      </c>
      <c r="AG239" s="575">
        <f t="shared" si="74"/>
        <v>0.90251368083577477</v>
      </c>
      <c r="AH239" s="223"/>
      <c r="AI239" s="156"/>
    </row>
    <row r="240" spans="1:37" s="84" customFormat="1" x14ac:dyDescent="0.25">
      <c r="A240" s="75"/>
      <c r="B240" s="76"/>
      <c r="C240" s="78"/>
      <c r="D240" s="78"/>
      <c r="E240" s="79"/>
      <c r="F240" s="79"/>
      <c r="G240" s="80"/>
      <c r="H240" s="80"/>
      <c r="I240" s="80"/>
      <c r="J240" s="80"/>
      <c r="K240" s="80"/>
      <c r="L240" s="80"/>
      <c r="M240" s="80"/>
      <c r="N240" s="80"/>
      <c r="O240" s="114"/>
      <c r="P240" s="80"/>
      <c r="Q240" s="82"/>
      <c r="R240" s="102"/>
      <c r="S240" s="102"/>
      <c r="T240" s="102"/>
      <c r="U240" s="102"/>
      <c r="V240" s="102"/>
      <c r="W240" s="102"/>
      <c r="X240" s="279" t="s">
        <v>47</v>
      </c>
      <c r="Y240" s="199" t="s">
        <v>65</v>
      </c>
      <c r="Z240" s="12" t="s">
        <v>51</v>
      </c>
      <c r="AA240" s="557"/>
      <c r="AB240" s="305"/>
      <c r="AC240" s="310"/>
      <c r="AD240" s="170">
        <f>AD241+AD281+AI2064+AD259+AD266</f>
        <v>56223.7</v>
      </c>
      <c r="AE240" s="170">
        <f>AE241+AE281+AJ2064+AE259+AE266</f>
        <v>56265.7</v>
      </c>
      <c r="AF240" s="170">
        <f>AF241+AF281+AK2064+AF259+AF266</f>
        <v>55421.1</v>
      </c>
      <c r="AG240" s="574">
        <f t="shared" si="74"/>
        <v>0.98498907860383855</v>
      </c>
      <c r="AH240" s="222"/>
      <c r="AI240" s="156"/>
    </row>
    <row r="241" spans="1:35" s="110" customFormat="1" x14ac:dyDescent="0.25">
      <c r="A241" s="54"/>
      <c r="B241" s="85"/>
      <c r="C241" s="86"/>
      <c r="D241" s="86"/>
      <c r="E241" s="87"/>
      <c r="F241" s="87"/>
      <c r="G241" s="88"/>
      <c r="H241" s="88"/>
      <c r="I241" s="88"/>
      <c r="J241" s="88"/>
      <c r="K241" s="88"/>
      <c r="L241" s="80"/>
      <c r="M241" s="88"/>
      <c r="N241" s="80"/>
      <c r="O241" s="89"/>
      <c r="P241" s="88"/>
      <c r="Q241" s="90"/>
      <c r="R241" s="94"/>
      <c r="S241" s="94"/>
      <c r="T241" s="94"/>
      <c r="U241" s="94"/>
      <c r="V241" s="94"/>
      <c r="W241" s="94"/>
      <c r="X241" s="278" t="s">
        <v>73</v>
      </c>
      <c r="Y241" s="11" t="s">
        <v>65</v>
      </c>
      <c r="Z241" s="1" t="s">
        <v>51</v>
      </c>
      <c r="AA241" s="529" t="s">
        <v>17</v>
      </c>
      <c r="AB241" s="33"/>
      <c r="AC241" s="311"/>
      <c r="AD241" s="168">
        <f>AD249+AD242</f>
        <v>30633.8</v>
      </c>
      <c r="AE241" s="168">
        <f>AE249+AE242</f>
        <v>30633.8</v>
      </c>
      <c r="AF241" s="168">
        <f>AF249+AF242</f>
        <v>30626.799999999999</v>
      </c>
      <c r="AG241" s="575">
        <f t="shared" si="74"/>
        <v>0.99977149423186151</v>
      </c>
      <c r="AH241" s="194"/>
      <c r="AI241" s="156"/>
    </row>
    <row r="242" spans="1:35" s="110" customFormat="1" x14ac:dyDescent="0.25">
      <c r="A242" s="54"/>
      <c r="B242" s="85"/>
      <c r="C242" s="86"/>
      <c r="D242" s="86"/>
      <c r="E242" s="87"/>
      <c r="F242" s="87"/>
      <c r="G242" s="88"/>
      <c r="H242" s="88"/>
      <c r="I242" s="88"/>
      <c r="J242" s="88"/>
      <c r="K242" s="88"/>
      <c r="L242" s="80"/>
      <c r="M242" s="88"/>
      <c r="N242" s="80"/>
      <c r="O242" s="89"/>
      <c r="P242" s="88"/>
      <c r="Q242" s="90"/>
      <c r="R242" s="94"/>
      <c r="S242" s="94"/>
      <c r="T242" s="94"/>
      <c r="U242" s="94"/>
      <c r="V242" s="94"/>
      <c r="W242" s="94"/>
      <c r="X242" s="284" t="s">
        <v>193</v>
      </c>
      <c r="Y242" s="11" t="s">
        <v>65</v>
      </c>
      <c r="Z242" s="8" t="s">
        <v>51</v>
      </c>
      <c r="AA242" s="531" t="s">
        <v>17</v>
      </c>
      <c r="AB242" s="163" t="s">
        <v>115</v>
      </c>
      <c r="AC242" s="321"/>
      <c r="AD242" s="168">
        <f t="shared" ref="AD242:AF247" si="89">AD243</f>
        <v>30521.599999999999</v>
      </c>
      <c r="AE242" s="168">
        <f t="shared" si="89"/>
        <v>30521.599999999999</v>
      </c>
      <c r="AF242" s="168">
        <f t="shared" si="89"/>
        <v>30514.7</v>
      </c>
      <c r="AG242" s="575">
        <f t="shared" si="74"/>
        <v>0.9997739305934159</v>
      </c>
      <c r="AH242" s="194"/>
      <c r="AI242" s="156"/>
    </row>
    <row r="243" spans="1:35" s="110" customFormat="1" x14ac:dyDescent="0.25">
      <c r="A243" s="54"/>
      <c r="B243" s="85"/>
      <c r="C243" s="86"/>
      <c r="D243" s="86"/>
      <c r="E243" s="87"/>
      <c r="F243" s="87"/>
      <c r="G243" s="88"/>
      <c r="H243" s="88"/>
      <c r="I243" s="88"/>
      <c r="J243" s="88"/>
      <c r="K243" s="88"/>
      <c r="L243" s="80"/>
      <c r="M243" s="88"/>
      <c r="N243" s="80"/>
      <c r="O243" s="89"/>
      <c r="P243" s="88"/>
      <c r="Q243" s="90"/>
      <c r="R243" s="94"/>
      <c r="S243" s="94"/>
      <c r="T243" s="94"/>
      <c r="U243" s="94"/>
      <c r="V243" s="94"/>
      <c r="W243" s="94"/>
      <c r="X243" s="284" t="s">
        <v>198</v>
      </c>
      <c r="Y243" s="11" t="s">
        <v>65</v>
      </c>
      <c r="Z243" s="8" t="s">
        <v>51</v>
      </c>
      <c r="AA243" s="531" t="s">
        <v>17</v>
      </c>
      <c r="AB243" s="163" t="s">
        <v>199</v>
      </c>
      <c r="AC243" s="321"/>
      <c r="AD243" s="168">
        <f t="shared" si="89"/>
        <v>30521.599999999999</v>
      </c>
      <c r="AE243" s="168">
        <f t="shared" si="89"/>
        <v>30521.599999999999</v>
      </c>
      <c r="AF243" s="168">
        <f t="shared" si="89"/>
        <v>30514.7</v>
      </c>
      <c r="AG243" s="575">
        <f t="shared" si="74"/>
        <v>0.9997739305934159</v>
      </c>
      <c r="AH243" s="194"/>
      <c r="AI243" s="156"/>
    </row>
    <row r="244" spans="1:35" s="110" customFormat="1" ht="31.5" x14ac:dyDescent="0.25">
      <c r="A244" s="54"/>
      <c r="B244" s="85"/>
      <c r="C244" s="86"/>
      <c r="D244" s="86"/>
      <c r="E244" s="87"/>
      <c r="F244" s="87"/>
      <c r="G244" s="88"/>
      <c r="H244" s="88"/>
      <c r="I244" s="88"/>
      <c r="J244" s="88"/>
      <c r="K244" s="88"/>
      <c r="L244" s="80"/>
      <c r="M244" s="88"/>
      <c r="N244" s="80"/>
      <c r="O244" s="89"/>
      <c r="P244" s="88"/>
      <c r="Q244" s="90"/>
      <c r="R244" s="94"/>
      <c r="S244" s="94"/>
      <c r="T244" s="94"/>
      <c r="U244" s="94"/>
      <c r="V244" s="94"/>
      <c r="W244" s="94"/>
      <c r="X244" s="284" t="s">
        <v>200</v>
      </c>
      <c r="Y244" s="11" t="s">
        <v>65</v>
      </c>
      <c r="Z244" s="8" t="s">
        <v>51</v>
      </c>
      <c r="AA244" s="531" t="s">
        <v>17</v>
      </c>
      <c r="AB244" s="163" t="s">
        <v>201</v>
      </c>
      <c r="AC244" s="321"/>
      <c r="AD244" s="168">
        <f t="shared" si="89"/>
        <v>30521.599999999999</v>
      </c>
      <c r="AE244" s="168">
        <f t="shared" si="89"/>
        <v>30521.599999999999</v>
      </c>
      <c r="AF244" s="168">
        <f t="shared" si="89"/>
        <v>30514.7</v>
      </c>
      <c r="AG244" s="575">
        <f t="shared" si="74"/>
        <v>0.9997739305934159</v>
      </c>
      <c r="AH244" s="194"/>
      <c r="AI244" s="156"/>
    </row>
    <row r="245" spans="1:35" s="110" customFormat="1" ht="31.5" x14ac:dyDescent="0.25">
      <c r="A245" s="54"/>
      <c r="B245" s="85"/>
      <c r="C245" s="86"/>
      <c r="D245" s="86"/>
      <c r="E245" s="87"/>
      <c r="F245" s="87"/>
      <c r="G245" s="88"/>
      <c r="H245" s="88"/>
      <c r="I245" s="88"/>
      <c r="J245" s="88"/>
      <c r="K245" s="88"/>
      <c r="L245" s="80"/>
      <c r="M245" s="88"/>
      <c r="N245" s="80"/>
      <c r="O245" s="89"/>
      <c r="P245" s="88"/>
      <c r="Q245" s="90"/>
      <c r="R245" s="94"/>
      <c r="S245" s="94"/>
      <c r="T245" s="94"/>
      <c r="U245" s="94"/>
      <c r="V245" s="94"/>
      <c r="W245" s="94"/>
      <c r="X245" s="283" t="s">
        <v>212</v>
      </c>
      <c r="Y245" s="11" t="s">
        <v>65</v>
      </c>
      <c r="Z245" s="8" t="s">
        <v>51</v>
      </c>
      <c r="AA245" s="531" t="s">
        <v>17</v>
      </c>
      <c r="AB245" s="306" t="s">
        <v>213</v>
      </c>
      <c r="AC245" s="321"/>
      <c r="AD245" s="168">
        <f t="shared" si="89"/>
        <v>30521.599999999999</v>
      </c>
      <c r="AE245" s="168">
        <f t="shared" si="89"/>
        <v>30521.599999999999</v>
      </c>
      <c r="AF245" s="168">
        <f t="shared" si="89"/>
        <v>30514.7</v>
      </c>
      <c r="AG245" s="575">
        <f t="shared" si="74"/>
        <v>0.9997739305934159</v>
      </c>
      <c r="AH245" s="194"/>
      <c r="AI245" s="156"/>
    </row>
    <row r="246" spans="1:35" s="110" customFormat="1" ht="47.25" x14ac:dyDescent="0.25">
      <c r="A246" s="54"/>
      <c r="B246" s="85"/>
      <c r="C246" s="86"/>
      <c r="D246" s="86"/>
      <c r="E246" s="87"/>
      <c r="F246" s="87"/>
      <c r="G246" s="88"/>
      <c r="H246" s="88"/>
      <c r="I246" s="88"/>
      <c r="J246" s="88"/>
      <c r="K246" s="88"/>
      <c r="L246" s="80"/>
      <c r="M246" s="88"/>
      <c r="N246" s="80"/>
      <c r="O246" s="89"/>
      <c r="P246" s="88"/>
      <c r="Q246" s="90"/>
      <c r="R246" s="94"/>
      <c r="S246" s="94"/>
      <c r="T246" s="94"/>
      <c r="U246" s="94"/>
      <c r="V246" s="94"/>
      <c r="W246" s="94"/>
      <c r="X246" s="283" t="s">
        <v>399</v>
      </c>
      <c r="Y246" s="11" t="s">
        <v>65</v>
      </c>
      <c r="Z246" s="8" t="s">
        <v>51</v>
      </c>
      <c r="AA246" s="531" t="s">
        <v>17</v>
      </c>
      <c r="AB246" s="306" t="s">
        <v>334</v>
      </c>
      <c r="AC246" s="321"/>
      <c r="AD246" s="168">
        <f t="shared" si="89"/>
        <v>30521.599999999999</v>
      </c>
      <c r="AE246" s="168">
        <f t="shared" si="89"/>
        <v>30521.599999999999</v>
      </c>
      <c r="AF246" s="168">
        <f t="shared" si="89"/>
        <v>30514.7</v>
      </c>
      <c r="AG246" s="575">
        <f t="shared" si="74"/>
        <v>0.9997739305934159</v>
      </c>
      <c r="AH246" s="194"/>
      <c r="AI246" s="156"/>
    </row>
    <row r="247" spans="1:35" s="110" customFormat="1" ht="31.5" x14ac:dyDescent="0.25">
      <c r="A247" s="54"/>
      <c r="B247" s="85"/>
      <c r="C247" s="86"/>
      <c r="D247" s="86"/>
      <c r="E247" s="87"/>
      <c r="F247" s="87"/>
      <c r="G247" s="88"/>
      <c r="H247" s="88"/>
      <c r="I247" s="88"/>
      <c r="J247" s="88"/>
      <c r="K247" s="88"/>
      <c r="L247" s="80"/>
      <c r="M247" s="88"/>
      <c r="N247" s="80"/>
      <c r="O247" s="89"/>
      <c r="P247" s="88"/>
      <c r="Q247" s="90"/>
      <c r="R247" s="94"/>
      <c r="S247" s="94"/>
      <c r="T247" s="94"/>
      <c r="U247" s="94"/>
      <c r="V247" s="94"/>
      <c r="W247" s="94"/>
      <c r="X247" s="401" t="s">
        <v>62</v>
      </c>
      <c r="Y247" s="11" t="s">
        <v>65</v>
      </c>
      <c r="Z247" s="8" t="s">
        <v>51</v>
      </c>
      <c r="AA247" s="531" t="s">
        <v>17</v>
      </c>
      <c r="AB247" s="306" t="s">
        <v>334</v>
      </c>
      <c r="AC247" s="321">
        <v>600</v>
      </c>
      <c r="AD247" s="168">
        <f t="shared" si="89"/>
        <v>30521.599999999999</v>
      </c>
      <c r="AE247" s="168">
        <f t="shared" si="89"/>
        <v>30521.599999999999</v>
      </c>
      <c r="AF247" s="168">
        <f t="shared" si="89"/>
        <v>30514.7</v>
      </c>
      <c r="AG247" s="575">
        <f t="shared" si="74"/>
        <v>0.9997739305934159</v>
      </c>
      <c r="AH247" s="194"/>
      <c r="AI247" s="156"/>
    </row>
    <row r="248" spans="1:35" s="110" customFormat="1" x14ac:dyDescent="0.25">
      <c r="A248" s="54"/>
      <c r="B248" s="85"/>
      <c r="C248" s="86"/>
      <c r="D248" s="86"/>
      <c r="E248" s="87"/>
      <c r="F248" s="87"/>
      <c r="G248" s="88"/>
      <c r="H248" s="88"/>
      <c r="I248" s="88"/>
      <c r="J248" s="88"/>
      <c r="K248" s="88"/>
      <c r="L248" s="80"/>
      <c r="M248" s="88"/>
      <c r="N248" s="80"/>
      <c r="O248" s="89"/>
      <c r="P248" s="88"/>
      <c r="Q248" s="90"/>
      <c r="R248" s="94"/>
      <c r="S248" s="94"/>
      <c r="T248" s="94"/>
      <c r="U248" s="94"/>
      <c r="V248" s="94"/>
      <c r="W248" s="94"/>
      <c r="X248" s="401" t="s">
        <v>63</v>
      </c>
      <c r="Y248" s="11" t="s">
        <v>65</v>
      </c>
      <c r="Z248" s="8" t="s">
        <v>51</v>
      </c>
      <c r="AA248" s="531" t="s">
        <v>17</v>
      </c>
      <c r="AB248" s="306" t="s">
        <v>334</v>
      </c>
      <c r="AC248" s="321">
        <v>610</v>
      </c>
      <c r="AD248" s="168">
        <f>23017.6+9300+500-5424+2328+800</f>
        <v>30521.599999999999</v>
      </c>
      <c r="AE248" s="168">
        <f>23017.6+9300+500-5424+2328+800</f>
        <v>30521.599999999999</v>
      </c>
      <c r="AF248" s="168">
        <v>30514.7</v>
      </c>
      <c r="AG248" s="575">
        <f t="shared" si="74"/>
        <v>0.9997739305934159</v>
      </c>
      <c r="AH248" s="194"/>
      <c r="AI248" s="156"/>
    </row>
    <row r="249" spans="1:35" s="110" customFormat="1" ht="31.5" x14ac:dyDescent="0.25">
      <c r="A249" s="54"/>
      <c r="B249" s="85"/>
      <c r="C249" s="86"/>
      <c r="D249" s="86"/>
      <c r="E249" s="87"/>
      <c r="F249" s="87"/>
      <c r="G249" s="88"/>
      <c r="H249" s="88"/>
      <c r="I249" s="88"/>
      <c r="J249" s="88"/>
      <c r="K249" s="88"/>
      <c r="L249" s="80"/>
      <c r="M249" s="88"/>
      <c r="N249" s="80"/>
      <c r="O249" s="89"/>
      <c r="P249" s="88"/>
      <c r="Q249" s="90"/>
      <c r="R249" s="94"/>
      <c r="S249" s="94"/>
      <c r="T249" s="94"/>
      <c r="U249" s="94"/>
      <c r="V249" s="94"/>
      <c r="W249" s="94"/>
      <c r="X249" s="284" t="s">
        <v>237</v>
      </c>
      <c r="Y249" s="11" t="s">
        <v>65</v>
      </c>
      <c r="Z249" s="1" t="s">
        <v>51</v>
      </c>
      <c r="AA249" s="529" t="s">
        <v>17</v>
      </c>
      <c r="AB249" s="163" t="s">
        <v>238</v>
      </c>
      <c r="AC249" s="311"/>
      <c r="AD249" s="168">
        <f>AD250</f>
        <v>112.2</v>
      </c>
      <c r="AE249" s="168">
        <f>AE250</f>
        <v>112.2</v>
      </c>
      <c r="AF249" s="168">
        <f>AF250</f>
        <v>112.1</v>
      </c>
      <c r="AG249" s="575">
        <f t="shared" si="74"/>
        <v>0.99910873440285197</v>
      </c>
      <c r="AH249" s="194"/>
      <c r="AI249" s="156"/>
    </row>
    <row r="250" spans="1:35" s="110" customFormat="1" x14ac:dyDescent="0.25">
      <c r="A250" s="95"/>
      <c r="B250" s="85"/>
      <c r="C250" s="86"/>
      <c r="D250" s="86"/>
      <c r="E250" s="87"/>
      <c r="F250" s="86"/>
      <c r="G250" s="88"/>
      <c r="H250" s="112"/>
      <c r="I250" s="56"/>
      <c r="J250" s="56"/>
      <c r="K250" s="56"/>
      <c r="L250" s="80"/>
      <c r="M250" s="56"/>
      <c r="N250" s="80"/>
      <c r="O250" s="89"/>
      <c r="P250" s="88"/>
      <c r="Q250" s="90"/>
      <c r="R250" s="94"/>
      <c r="S250" s="94"/>
      <c r="T250" s="94"/>
      <c r="U250" s="94"/>
      <c r="V250" s="94"/>
      <c r="W250" s="94"/>
      <c r="X250" s="284" t="s">
        <v>239</v>
      </c>
      <c r="Y250" s="11" t="s">
        <v>65</v>
      </c>
      <c r="Z250" s="1" t="s">
        <v>51</v>
      </c>
      <c r="AA250" s="529" t="s">
        <v>17</v>
      </c>
      <c r="AB250" s="163" t="s">
        <v>240</v>
      </c>
      <c r="AC250" s="309"/>
      <c r="AD250" s="168">
        <f t="shared" ref="AD250:AF251" si="90">AD251</f>
        <v>112.2</v>
      </c>
      <c r="AE250" s="168">
        <f t="shared" si="90"/>
        <v>112.2</v>
      </c>
      <c r="AF250" s="168">
        <f t="shared" si="90"/>
        <v>112.1</v>
      </c>
      <c r="AG250" s="575">
        <f t="shared" si="74"/>
        <v>0.99910873440285197</v>
      </c>
      <c r="AH250" s="194"/>
      <c r="AI250" s="156"/>
    </row>
    <row r="251" spans="1:35" s="110" customFormat="1" x14ac:dyDescent="0.25">
      <c r="A251" s="95"/>
      <c r="B251" s="85"/>
      <c r="C251" s="86"/>
      <c r="D251" s="86"/>
      <c r="E251" s="87"/>
      <c r="F251" s="86"/>
      <c r="G251" s="88"/>
      <c r="H251" s="112"/>
      <c r="I251" s="56"/>
      <c r="J251" s="56"/>
      <c r="K251" s="56"/>
      <c r="L251" s="80"/>
      <c r="M251" s="56"/>
      <c r="N251" s="80"/>
      <c r="O251" s="89"/>
      <c r="P251" s="88"/>
      <c r="Q251" s="90"/>
      <c r="R251" s="94"/>
      <c r="S251" s="94"/>
      <c r="T251" s="94"/>
      <c r="U251" s="94"/>
      <c r="V251" s="94"/>
      <c r="W251" s="94"/>
      <c r="X251" s="282" t="s">
        <v>469</v>
      </c>
      <c r="Y251" s="11" t="s">
        <v>65</v>
      </c>
      <c r="Z251" s="1" t="s">
        <v>51</v>
      </c>
      <c r="AA251" s="529" t="s">
        <v>17</v>
      </c>
      <c r="AB251" s="163" t="s">
        <v>361</v>
      </c>
      <c r="AC251" s="309"/>
      <c r="AD251" s="168">
        <f t="shared" si="90"/>
        <v>112.2</v>
      </c>
      <c r="AE251" s="168">
        <f t="shared" si="90"/>
        <v>112.2</v>
      </c>
      <c r="AF251" s="168">
        <f>AF252</f>
        <v>112.1</v>
      </c>
      <c r="AG251" s="575">
        <f t="shared" si="74"/>
        <v>0.99910873440285197</v>
      </c>
      <c r="AH251" s="194"/>
      <c r="AI251" s="156"/>
    </row>
    <row r="252" spans="1:35" s="110" customFormat="1" ht="47.25" x14ac:dyDescent="0.25">
      <c r="A252" s="95"/>
      <c r="B252" s="85"/>
      <c r="C252" s="86"/>
      <c r="D252" s="86"/>
      <c r="E252" s="87"/>
      <c r="F252" s="86"/>
      <c r="G252" s="88"/>
      <c r="H252" s="88"/>
      <c r="I252" s="88"/>
      <c r="J252" s="88"/>
      <c r="K252" s="88"/>
      <c r="L252" s="80"/>
      <c r="M252" s="88"/>
      <c r="N252" s="80"/>
      <c r="O252" s="89"/>
      <c r="P252" s="88"/>
      <c r="Q252" s="90"/>
      <c r="R252" s="94"/>
      <c r="S252" s="94"/>
      <c r="T252" s="94"/>
      <c r="U252" s="94"/>
      <c r="V252" s="94"/>
      <c r="W252" s="94"/>
      <c r="X252" s="282" t="s">
        <v>241</v>
      </c>
      <c r="Y252" s="11" t="s">
        <v>65</v>
      </c>
      <c r="Z252" s="1" t="s">
        <v>51</v>
      </c>
      <c r="AA252" s="529" t="s">
        <v>17</v>
      </c>
      <c r="AB252" s="163" t="s">
        <v>362</v>
      </c>
      <c r="AC252" s="309"/>
      <c r="AD252" s="168">
        <f>AD253+AD256</f>
        <v>112.2</v>
      </c>
      <c r="AE252" s="168">
        <f>AE253+AE256</f>
        <v>112.2</v>
      </c>
      <c r="AF252" s="168">
        <f>AF253+AF256</f>
        <v>112.1</v>
      </c>
      <c r="AG252" s="575">
        <f t="shared" si="74"/>
        <v>0.99910873440285197</v>
      </c>
      <c r="AH252" s="194"/>
      <c r="AI252" s="156"/>
    </row>
    <row r="253" spans="1:35" s="110" customFormat="1" ht="47.25" x14ac:dyDescent="0.25">
      <c r="A253" s="95"/>
      <c r="B253" s="85"/>
      <c r="C253" s="86"/>
      <c r="D253" s="86"/>
      <c r="E253" s="87"/>
      <c r="F253" s="86"/>
      <c r="G253" s="88"/>
      <c r="H253" s="88"/>
      <c r="I253" s="88"/>
      <c r="J253" s="88"/>
      <c r="K253" s="88"/>
      <c r="L253" s="80"/>
      <c r="M253" s="88"/>
      <c r="N253" s="80"/>
      <c r="O253" s="89"/>
      <c r="P253" s="88"/>
      <c r="Q253" s="90"/>
      <c r="R253" s="94"/>
      <c r="S253" s="94"/>
      <c r="T253" s="94"/>
      <c r="U253" s="94"/>
      <c r="V253" s="94"/>
      <c r="W253" s="94"/>
      <c r="X253" s="282" t="s">
        <v>338</v>
      </c>
      <c r="Y253" s="11" t="s">
        <v>65</v>
      </c>
      <c r="Z253" s="1" t="s">
        <v>51</v>
      </c>
      <c r="AA253" s="529" t="s">
        <v>17</v>
      </c>
      <c r="AB253" s="163" t="s">
        <v>363</v>
      </c>
      <c r="AC253" s="309"/>
      <c r="AD253" s="168">
        <f t="shared" ref="AD253:AF254" si="91">AD254</f>
        <v>0.1</v>
      </c>
      <c r="AE253" s="168">
        <f t="shared" si="91"/>
        <v>0.1</v>
      </c>
      <c r="AF253" s="168">
        <f t="shared" si="91"/>
        <v>0</v>
      </c>
      <c r="AG253" s="575">
        <f t="shared" si="74"/>
        <v>0</v>
      </c>
      <c r="AH253" s="194"/>
      <c r="AI253" s="156"/>
    </row>
    <row r="254" spans="1:35" s="110" customFormat="1" x14ac:dyDescent="0.25">
      <c r="A254" s="95"/>
      <c r="B254" s="85"/>
      <c r="C254" s="86"/>
      <c r="D254" s="86"/>
      <c r="E254" s="87"/>
      <c r="F254" s="86"/>
      <c r="G254" s="88"/>
      <c r="H254" s="88"/>
      <c r="I254" s="88"/>
      <c r="J254" s="88"/>
      <c r="K254" s="88"/>
      <c r="L254" s="80"/>
      <c r="M254" s="88"/>
      <c r="N254" s="80"/>
      <c r="O254" s="89"/>
      <c r="P254" s="88"/>
      <c r="Q254" s="90"/>
      <c r="R254" s="94"/>
      <c r="S254" s="94"/>
      <c r="T254" s="94"/>
      <c r="U254" s="94"/>
      <c r="V254" s="94"/>
      <c r="W254" s="94"/>
      <c r="X254" s="278" t="s">
        <v>123</v>
      </c>
      <c r="Y254" s="11" t="s">
        <v>65</v>
      </c>
      <c r="Z254" s="1" t="s">
        <v>51</v>
      </c>
      <c r="AA254" s="529" t="s">
        <v>17</v>
      </c>
      <c r="AB254" s="163" t="s">
        <v>363</v>
      </c>
      <c r="AC254" s="309">
        <v>200</v>
      </c>
      <c r="AD254" s="168">
        <f t="shared" si="91"/>
        <v>0.1</v>
      </c>
      <c r="AE254" s="168">
        <f t="shared" si="91"/>
        <v>0.1</v>
      </c>
      <c r="AF254" s="168">
        <f t="shared" si="91"/>
        <v>0</v>
      </c>
      <c r="AG254" s="575">
        <f t="shared" si="74"/>
        <v>0</v>
      </c>
      <c r="AH254" s="194"/>
      <c r="AI254" s="156"/>
    </row>
    <row r="255" spans="1:35" s="110" customFormat="1" ht="31.5" x14ac:dyDescent="0.25">
      <c r="A255" s="95"/>
      <c r="B255" s="85"/>
      <c r="C255" s="86"/>
      <c r="D255" s="86"/>
      <c r="E255" s="87"/>
      <c r="F255" s="86"/>
      <c r="G255" s="88"/>
      <c r="H255" s="88"/>
      <c r="I255" s="88"/>
      <c r="J255" s="88"/>
      <c r="K255" s="88"/>
      <c r="L255" s="80"/>
      <c r="M255" s="88"/>
      <c r="N255" s="80"/>
      <c r="O255" s="89"/>
      <c r="P255" s="88"/>
      <c r="Q255" s="90"/>
      <c r="R255" s="94"/>
      <c r="S255" s="94"/>
      <c r="T255" s="94"/>
      <c r="U255" s="94"/>
      <c r="V255" s="94"/>
      <c r="W255" s="94"/>
      <c r="X255" s="278" t="s">
        <v>54</v>
      </c>
      <c r="Y255" s="11" t="s">
        <v>65</v>
      </c>
      <c r="Z255" s="1" t="s">
        <v>51</v>
      </c>
      <c r="AA255" s="529" t="s">
        <v>17</v>
      </c>
      <c r="AB255" s="163" t="s">
        <v>363</v>
      </c>
      <c r="AC255" s="309">
        <v>240</v>
      </c>
      <c r="AD255" s="168">
        <v>0.1</v>
      </c>
      <c r="AE255" s="168">
        <v>0.1</v>
      </c>
      <c r="AF255" s="168">
        <v>0</v>
      </c>
      <c r="AG255" s="575">
        <f t="shared" si="74"/>
        <v>0</v>
      </c>
      <c r="AH255" s="194"/>
      <c r="AI255" s="156"/>
    </row>
    <row r="256" spans="1:35" s="110" customFormat="1" ht="47.25" x14ac:dyDescent="0.25">
      <c r="A256" s="95"/>
      <c r="B256" s="85"/>
      <c r="C256" s="86"/>
      <c r="D256" s="86"/>
      <c r="E256" s="87"/>
      <c r="F256" s="86"/>
      <c r="G256" s="88"/>
      <c r="H256" s="88"/>
      <c r="I256" s="88"/>
      <c r="J256" s="88"/>
      <c r="K256" s="88"/>
      <c r="L256" s="80"/>
      <c r="M256" s="88"/>
      <c r="N256" s="80"/>
      <c r="O256" s="89"/>
      <c r="P256" s="88"/>
      <c r="Q256" s="90"/>
      <c r="R256" s="94"/>
      <c r="S256" s="94"/>
      <c r="T256" s="94"/>
      <c r="U256" s="94"/>
      <c r="V256" s="94"/>
      <c r="W256" s="94"/>
      <c r="X256" s="278" t="s">
        <v>339</v>
      </c>
      <c r="Y256" s="11" t="s">
        <v>65</v>
      </c>
      <c r="Z256" s="1" t="s">
        <v>51</v>
      </c>
      <c r="AA256" s="529" t="s">
        <v>17</v>
      </c>
      <c r="AB256" s="163" t="s">
        <v>364</v>
      </c>
      <c r="AC256" s="309"/>
      <c r="AD256" s="168">
        <f t="shared" ref="AD256:AF257" si="92">AD257</f>
        <v>112.10000000000001</v>
      </c>
      <c r="AE256" s="168">
        <f t="shared" si="92"/>
        <v>112.10000000000001</v>
      </c>
      <c r="AF256" s="168">
        <f t="shared" si="92"/>
        <v>112.1</v>
      </c>
      <c r="AG256" s="575">
        <f t="shared" si="74"/>
        <v>0.99999999999999989</v>
      </c>
      <c r="AH256" s="194"/>
      <c r="AI256" s="156"/>
    </row>
    <row r="257" spans="1:35" s="110" customFormat="1" x14ac:dyDescent="0.25">
      <c r="A257" s="95"/>
      <c r="B257" s="85"/>
      <c r="C257" s="86"/>
      <c r="D257" s="86"/>
      <c r="E257" s="87"/>
      <c r="F257" s="86"/>
      <c r="G257" s="88"/>
      <c r="H257" s="88"/>
      <c r="I257" s="88"/>
      <c r="J257" s="88"/>
      <c r="K257" s="88"/>
      <c r="L257" s="80"/>
      <c r="M257" s="88"/>
      <c r="N257" s="80"/>
      <c r="O257" s="89"/>
      <c r="P257" s="88"/>
      <c r="Q257" s="90"/>
      <c r="R257" s="94"/>
      <c r="S257" s="94"/>
      <c r="T257" s="94"/>
      <c r="U257" s="94"/>
      <c r="V257" s="94"/>
      <c r="W257" s="94"/>
      <c r="X257" s="278" t="s">
        <v>123</v>
      </c>
      <c r="Y257" s="11" t="s">
        <v>65</v>
      </c>
      <c r="Z257" s="1" t="s">
        <v>51</v>
      </c>
      <c r="AA257" s="529" t="s">
        <v>17</v>
      </c>
      <c r="AB257" s="163" t="s">
        <v>364</v>
      </c>
      <c r="AC257" s="309">
        <v>200</v>
      </c>
      <c r="AD257" s="168">
        <f t="shared" si="92"/>
        <v>112.10000000000001</v>
      </c>
      <c r="AE257" s="168">
        <f t="shared" si="92"/>
        <v>112.10000000000001</v>
      </c>
      <c r="AF257" s="168">
        <f t="shared" si="92"/>
        <v>112.1</v>
      </c>
      <c r="AG257" s="575">
        <f t="shared" si="74"/>
        <v>0.99999999999999989</v>
      </c>
      <c r="AH257" s="194"/>
      <c r="AI257" s="156"/>
    </row>
    <row r="258" spans="1:35" s="110" customFormat="1" ht="31.5" x14ac:dyDescent="0.25">
      <c r="A258" s="95"/>
      <c r="B258" s="85"/>
      <c r="C258" s="86"/>
      <c r="D258" s="86"/>
      <c r="E258" s="87"/>
      <c r="F258" s="86"/>
      <c r="G258" s="88"/>
      <c r="H258" s="88"/>
      <c r="I258" s="88"/>
      <c r="J258" s="88"/>
      <c r="K258" s="88"/>
      <c r="L258" s="80"/>
      <c r="M258" s="88"/>
      <c r="N258" s="80"/>
      <c r="O258" s="89"/>
      <c r="P258" s="88"/>
      <c r="Q258" s="90"/>
      <c r="R258" s="94"/>
      <c r="S258" s="94"/>
      <c r="T258" s="94"/>
      <c r="U258" s="94"/>
      <c r="V258" s="94"/>
      <c r="W258" s="94"/>
      <c r="X258" s="278" t="s">
        <v>54</v>
      </c>
      <c r="Y258" s="11" t="s">
        <v>65</v>
      </c>
      <c r="Z258" s="1" t="s">
        <v>51</v>
      </c>
      <c r="AA258" s="529" t="s">
        <v>17</v>
      </c>
      <c r="AB258" s="163" t="s">
        <v>364</v>
      </c>
      <c r="AC258" s="309">
        <v>240</v>
      </c>
      <c r="AD258" s="168">
        <f>114.9-2.8</f>
        <v>112.10000000000001</v>
      </c>
      <c r="AE258" s="168">
        <f>114.9-2.8</f>
        <v>112.10000000000001</v>
      </c>
      <c r="AF258" s="168">
        <v>112.1</v>
      </c>
      <c r="AG258" s="575">
        <f t="shared" si="74"/>
        <v>0.99999999999999989</v>
      </c>
      <c r="AH258" s="194"/>
      <c r="AI258" s="156"/>
    </row>
    <row r="259" spans="1:35" s="110" customFormat="1" ht="18.75" x14ac:dyDescent="0.3">
      <c r="A259" s="115"/>
      <c r="B259" s="85"/>
      <c r="C259" s="86"/>
      <c r="D259" s="86"/>
      <c r="E259" s="87"/>
      <c r="F259" s="86"/>
      <c r="G259" s="88"/>
      <c r="H259" s="112"/>
      <c r="I259" s="56"/>
      <c r="J259" s="56"/>
      <c r="K259" s="56"/>
      <c r="L259" s="80"/>
      <c r="M259" s="56"/>
      <c r="N259" s="80"/>
      <c r="O259" s="89"/>
      <c r="P259" s="88"/>
      <c r="Q259" s="90"/>
      <c r="R259" s="94"/>
      <c r="S259" s="94"/>
      <c r="T259" s="94"/>
      <c r="U259" s="94"/>
      <c r="V259" s="94"/>
      <c r="W259" s="112"/>
      <c r="X259" s="278" t="s">
        <v>96</v>
      </c>
      <c r="Y259" s="202" t="s">
        <v>65</v>
      </c>
      <c r="Z259" s="1" t="s">
        <v>51</v>
      </c>
      <c r="AA259" s="529" t="s">
        <v>23</v>
      </c>
      <c r="AB259" s="568"/>
      <c r="AC259" s="331"/>
      <c r="AD259" s="168">
        <f t="shared" ref="AD259:AF260" si="93">AD260</f>
        <v>22279.399999999998</v>
      </c>
      <c r="AE259" s="168">
        <f t="shared" si="93"/>
        <v>22279.399999999998</v>
      </c>
      <c r="AF259" s="168">
        <f t="shared" si="93"/>
        <v>22185.599999999999</v>
      </c>
      <c r="AG259" s="575">
        <f t="shared" ref="AG259:AG319" si="94">AF259/AE259</f>
        <v>0.99578983276030775</v>
      </c>
      <c r="AH259" s="194"/>
      <c r="AI259" s="156"/>
    </row>
    <row r="260" spans="1:35" s="110" customFormat="1" ht="31.5" x14ac:dyDescent="0.25">
      <c r="A260" s="115"/>
      <c r="B260" s="85"/>
      <c r="C260" s="86"/>
      <c r="D260" s="86"/>
      <c r="E260" s="87"/>
      <c r="F260" s="86"/>
      <c r="G260" s="88"/>
      <c r="H260" s="112"/>
      <c r="I260" s="56"/>
      <c r="J260" s="56"/>
      <c r="K260" s="56"/>
      <c r="L260" s="80"/>
      <c r="M260" s="56"/>
      <c r="N260" s="80"/>
      <c r="O260" s="89"/>
      <c r="P260" s="88"/>
      <c r="Q260" s="90"/>
      <c r="R260" s="94"/>
      <c r="S260" s="94"/>
      <c r="T260" s="94"/>
      <c r="U260" s="94"/>
      <c r="V260" s="94"/>
      <c r="W260" s="112"/>
      <c r="X260" s="284" t="s">
        <v>237</v>
      </c>
      <c r="Y260" s="11" t="s">
        <v>65</v>
      </c>
      <c r="Z260" s="17" t="s">
        <v>51</v>
      </c>
      <c r="AA260" s="530" t="s">
        <v>23</v>
      </c>
      <c r="AB260" s="163" t="s">
        <v>238</v>
      </c>
      <c r="AC260" s="311"/>
      <c r="AD260" s="168">
        <f>AD261</f>
        <v>22279.399999999998</v>
      </c>
      <c r="AE260" s="168">
        <f>AE261</f>
        <v>22279.399999999998</v>
      </c>
      <c r="AF260" s="168">
        <f t="shared" si="93"/>
        <v>22185.599999999999</v>
      </c>
      <c r="AG260" s="575">
        <f t="shared" si="94"/>
        <v>0.99578983276030775</v>
      </c>
      <c r="AH260" s="194"/>
      <c r="AI260" s="156"/>
    </row>
    <row r="261" spans="1:35" s="110" customFormat="1" x14ac:dyDescent="0.25">
      <c r="A261" s="115"/>
      <c r="B261" s="85"/>
      <c r="C261" s="86"/>
      <c r="D261" s="86"/>
      <c r="E261" s="87"/>
      <c r="F261" s="86"/>
      <c r="G261" s="88"/>
      <c r="H261" s="112"/>
      <c r="I261" s="56"/>
      <c r="J261" s="56"/>
      <c r="K261" s="56"/>
      <c r="L261" s="80"/>
      <c r="M261" s="56"/>
      <c r="N261" s="80"/>
      <c r="O261" s="89"/>
      <c r="P261" s="88"/>
      <c r="Q261" s="90"/>
      <c r="R261" s="94"/>
      <c r="S261" s="94"/>
      <c r="T261" s="94"/>
      <c r="U261" s="94"/>
      <c r="V261" s="94"/>
      <c r="W261" s="112"/>
      <c r="X261" s="284" t="s">
        <v>50</v>
      </c>
      <c r="Y261" s="11" t="s">
        <v>65</v>
      </c>
      <c r="Z261" s="17" t="s">
        <v>51</v>
      </c>
      <c r="AA261" s="530" t="s">
        <v>23</v>
      </c>
      <c r="AB261" s="163" t="s">
        <v>365</v>
      </c>
      <c r="AC261" s="309"/>
      <c r="AD261" s="168">
        <f t="shared" ref="AD261:AF264" si="95">AD262</f>
        <v>22279.399999999998</v>
      </c>
      <c r="AE261" s="168">
        <f t="shared" si="95"/>
        <v>22279.399999999998</v>
      </c>
      <c r="AF261" s="168">
        <f t="shared" si="95"/>
        <v>22185.599999999999</v>
      </c>
      <c r="AG261" s="575">
        <f t="shared" si="94"/>
        <v>0.99578983276030775</v>
      </c>
      <c r="AH261" s="194"/>
      <c r="AI261" s="156"/>
    </row>
    <row r="262" spans="1:35" s="110" customFormat="1" ht="31.5" x14ac:dyDescent="0.25">
      <c r="A262" s="115"/>
      <c r="B262" s="85"/>
      <c r="C262" s="86"/>
      <c r="D262" s="86"/>
      <c r="E262" s="87"/>
      <c r="F262" s="86"/>
      <c r="G262" s="88"/>
      <c r="H262" s="112"/>
      <c r="I262" s="56"/>
      <c r="J262" s="56"/>
      <c r="K262" s="56"/>
      <c r="L262" s="80"/>
      <c r="M262" s="56"/>
      <c r="N262" s="80"/>
      <c r="O262" s="89"/>
      <c r="P262" s="88"/>
      <c r="Q262" s="90"/>
      <c r="R262" s="94"/>
      <c r="S262" s="94"/>
      <c r="T262" s="94"/>
      <c r="U262" s="94"/>
      <c r="V262" s="94"/>
      <c r="W262" s="112"/>
      <c r="X262" s="284" t="s">
        <v>200</v>
      </c>
      <c r="Y262" s="11" t="s">
        <v>65</v>
      </c>
      <c r="Z262" s="17" t="s">
        <v>51</v>
      </c>
      <c r="AA262" s="530" t="s">
        <v>23</v>
      </c>
      <c r="AB262" s="163" t="s">
        <v>366</v>
      </c>
      <c r="AC262" s="309"/>
      <c r="AD262" s="168">
        <f t="shared" si="95"/>
        <v>22279.399999999998</v>
      </c>
      <c r="AE262" s="168">
        <f t="shared" si="95"/>
        <v>22279.399999999998</v>
      </c>
      <c r="AF262" s="168">
        <f t="shared" si="95"/>
        <v>22185.599999999999</v>
      </c>
      <c r="AG262" s="575">
        <f t="shared" si="94"/>
        <v>0.99578983276030775</v>
      </c>
      <c r="AH262" s="194"/>
      <c r="AI262" s="156"/>
    </row>
    <row r="263" spans="1:35" s="110" customFormat="1" ht="31.5" x14ac:dyDescent="0.25">
      <c r="A263" s="115"/>
      <c r="B263" s="85"/>
      <c r="C263" s="86"/>
      <c r="D263" s="86"/>
      <c r="E263" s="87"/>
      <c r="F263" s="86"/>
      <c r="G263" s="88"/>
      <c r="H263" s="112"/>
      <c r="I263" s="56"/>
      <c r="J263" s="56"/>
      <c r="K263" s="56"/>
      <c r="L263" s="80"/>
      <c r="M263" s="56"/>
      <c r="N263" s="80"/>
      <c r="O263" s="89"/>
      <c r="P263" s="88"/>
      <c r="Q263" s="90"/>
      <c r="R263" s="94"/>
      <c r="S263" s="94"/>
      <c r="T263" s="94"/>
      <c r="U263" s="94"/>
      <c r="V263" s="94"/>
      <c r="W263" s="112"/>
      <c r="X263" s="283" t="s">
        <v>337</v>
      </c>
      <c r="Y263" s="11" t="s">
        <v>65</v>
      </c>
      <c r="Z263" s="17" t="s">
        <v>51</v>
      </c>
      <c r="AA263" s="530" t="s">
        <v>23</v>
      </c>
      <c r="AB263" s="163" t="s">
        <v>367</v>
      </c>
      <c r="AC263" s="309"/>
      <c r="AD263" s="168">
        <f>AD264</f>
        <v>22279.399999999998</v>
      </c>
      <c r="AE263" s="168">
        <f>AE264</f>
        <v>22279.399999999998</v>
      </c>
      <c r="AF263" s="168">
        <f>AF264</f>
        <v>22185.599999999999</v>
      </c>
      <c r="AG263" s="575">
        <f t="shared" si="94"/>
        <v>0.99578983276030775</v>
      </c>
      <c r="AH263" s="194"/>
      <c r="AI263" s="156"/>
    </row>
    <row r="264" spans="1:35" s="110" customFormat="1" ht="31.5" x14ac:dyDescent="0.25">
      <c r="A264" s="115"/>
      <c r="B264" s="85"/>
      <c r="C264" s="86"/>
      <c r="D264" s="86"/>
      <c r="E264" s="87"/>
      <c r="F264" s="86"/>
      <c r="G264" s="88"/>
      <c r="H264" s="112"/>
      <c r="I264" s="56"/>
      <c r="J264" s="56"/>
      <c r="K264" s="56"/>
      <c r="L264" s="80"/>
      <c r="M264" s="56"/>
      <c r="N264" s="80"/>
      <c r="O264" s="89"/>
      <c r="P264" s="88"/>
      <c r="Q264" s="90"/>
      <c r="R264" s="94"/>
      <c r="S264" s="94"/>
      <c r="T264" s="94"/>
      <c r="U264" s="94"/>
      <c r="V264" s="94"/>
      <c r="W264" s="112"/>
      <c r="X264" s="401" t="s">
        <v>62</v>
      </c>
      <c r="Y264" s="11" t="s">
        <v>65</v>
      </c>
      <c r="Z264" s="17" t="s">
        <v>51</v>
      </c>
      <c r="AA264" s="530" t="s">
        <v>23</v>
      </c>
      <c r="AB264" s="163" t="s">
        <v>367</v>
      </c>
      <c r="AC264" s="309">
        <v>600</v>
      </c>
      <c r="AD264" s="168">
        <f t="shared" si="95"/>
        <v>22279.399999999998</v>
      </c>
      <c r="AE264" s="168">
        <f t="shared" si="95"/>
        <v>22279.399999999998</v>
      </c>
      <c r="AF264" s="168">
        <f t="shared" si="95"/>
        <v>22185.599999999999</v>
      </c>
      <c r="AG264" s="575">
        <f t="shared" si="94"/>
        <v>0.99578983276030775</v>
      </c>
      <c r="AH264" s="194"/>
      <c r="AI264" s="156"/>
    </row>
    <row r="265" spans="1:35" s="110" customFormat="1" x14ac:dyDescent="0.25">
      <c r="A265" s="115"/>
      <c r="B265" s="85"/>
      <c r="C265" s="86"/>
      <c r="D265" s="86"/>
      <c r="E265" s="87"/>
      <c r="F265" s="86"/>
      <c r="G265" s="88"/>
      <c r="H265" s="112"/>
      <c r="I265" s="56"/>
      <c r="J265" s="56"/>
      <c r="K265" s="56"/>
      <c r="L265" s="80"/>
      <c r="M265" s="56"/>
      <c r="N265" s="80"/>
      <c r="O265" s="89"/>
      <c r="P265" s="88"/>
      <c r="Q265" s="90"/>
      <c r="R265" s="94"/>
      <c r="S265" s="94"/>
      <c r="T265" s="94"/>
      <c r="U265" s="94"/>
      <c r="V265" s="94"/>
      <c r="W265" s="112"/>
      <c r="X265" s="401" t="s">
        <v>63</v>
      </c>
      <c r="Y265" s="11" t="s">
        <v>65</v>
      </c>
      <c r="Z265" s="17" t="s">
        <v>51</v>
      </c>
      <c r="AA265" s="530" t="s">
        <v>23</v>
      </c>
      <c r="AB265" s="163" t="s">
        <v>367</v>
      </c>
      <c r="AC265" s="309">
        <v>610</v>
      </c>
      <c r="AD265" s="168">
        <f>38134.7-17869.7+11+2003.4</f>
        <v>22279.399999999998</v>
      </c>
      <c r="AE265" s="168">
        <f>38134.7-17869.7+11+2003.4</f>
        <v>22279.399999999998</v>
      </c>
      <c r="AF265" s="168">
        <v>22185.599999999999</v>
      </c>
      <c r="AG265" s="575">
        <f t="shared" si="94"/>
        <v>0.99578983276030775</v>
      </c>
      <c r="AH265" s="194"/>
      <c r="AI265" s="156"/>
    </row>
    <row r="266" spans="1:35" s="110" customFormat="1" x14ac:dyDescent="0.25">
      <c r="A266" s="115"/>
      <c r="B266" s="85"/>
      <c r="C266" s="86"/>
      <c r="D266" s="86"/>
      <c r="E266" s="87"/>
      <c r="F266" s="86"/>
      <c r="G266" s="88"/>
      <c r="H266" s="112"/>
      <c r="I266" s="56"/>
      <c r="J266" s="56"/>
      <c r="K266" s="56"/>
      <c r="L266" s="80"/>
      <c r="M266" s="56"/>
      <c r="N266" s="80"/>
      <c r="O266" s="89"/>
      <c r="P266" s="88"/>
      <c r="Q266" s="90"/>
      <c r="R266" s="94"/>
      <c r="S266" s="94"/>
      <c r="T266" s="94"/>
      <c r="U266" s="94"/>
      <c r="V266" s="94"/>
      <c r="W266" s="112"/>
      <c r="X266" s="278" t="s">
        <v>34</v>
      </c>
      <c r="Y266" s="11" t="s">
        <v>65</v>
      </c>
      <c r="Z266" s="18" t="s">
        <v>51</v>
      </c>
      <c r="AA266" s="559">
        <v>10</v>
      </c>
      <c r="AB266" s="304"/>
      <c r="AC266" s="309"/>
      <c r="AD266" s="168">
        <f>AD267</f>
        <v>2461.6</v>
      </c>
      <c r="AE266" s="168">
        <f>AE267</f>
        <v>2461.6</v>
      </c>
      <c r="AF266" s="168">
        <f t="shared" ref="AD266:AF267" si="96">AF267</f>
        <v>2230.6</v>
      </c>
      <c r="AG266" s="575">
        <f t="shared" si="94"/>
        <v>0.90615859603509907</v>
      </c>
      <c r="AH266" s="194"/>
      <c r="AI266" s="156"/>
    </row>
    <row r="267" spans="1:35" s="110" customFormat="1" x14ac:dyDescent="0.25">
      <c r="A267" s="115"/>
      <c r="B267" s="85"/>
      <c r="C267" s="86"/>
      <c r="D267" s="86"/>
      <c r="E267" s="87"/>
      <c r="F267" s="86"/>
      <c r="G267" s="88"/>
      <c r="H267" s="112"/>
      <c r="I267" s="56"/>
      <c r="J267" s="56"/>
      <c r="K267" s="56"/>
      <c r="L267" s="80"/>
      <c r="M267" s="56"/>
      <c r="N267" s="80"/>
      <c r="O267" s="89"/>
      <c r="P267" s="88"/>
      <c r="Q267" s="90"/>
      <c r="R267" s="94"/>
      <c r="S267" s="94"/>
      <c r="T267" s="94"/>
      <c r="U267" s="94"/>
      <c r="V267" s="94"/>
      <c r="W267" s="112"/>
      <c r="X267" s="284" t="s">
        <v>245</v>
      </c>
      <c r="Y267" s="11" t="s">
        <v>65</v>
      </c>
      <c r="Z267" s="18" t="s">
        <v>51</v>
      </c>
      <c r="AA267" s="559">
        <v>10</v>
      </c>
      <c r="AB267" s="163" t="s">
        <v>246</v>
      </c>
      <c r="AC267" s="309"/>
      <c r="AD267" s="168">
        <f t="shared" si="96"/>
        <v>2461.6</v>
      </c>
      <c r="AE267" s="168">
        <f t="shared" si="96"/>
        <v>2461.6</v>
      </c>
      <c r="AF267" s="168">
        <f t="shared" si="96"/>
        <v>2230.6</v>
      </c>
      <c r="AG267" s="575">
        <f t="shared" si="94"/>
        <v>0.90615859603509907</v>
      </c>
      <c r="AH267" s="194"/>
      <c r="AI267" s="156"/>
    </row>
    <row r="268" spans="1:35" s="110" customFormat="1" ht="31.5" x14ac:dyDescent="0.25">
      <c r="A268" s="115"/>
      <c r="B268" s="85"/>
      <c r="C268" s="86"/>
      <c r="D268" s="86"/>
      <c r="E268" s="87"/>
      <c r="F268" s="86"/>
      <c r="G268" s="88"/>
      <c r="H268" s="112"/>
      <c r="I268" s="56"/>
      <c r="J268" s="56"/>
      <c r="K268" s="56"/>
      <c r="L268" s="80"/>
      <c r="M268" s="56"/>
      <c r="N268" s="80"/>
      <c r="O268" s="89"/>
      <c r="P268" s="88"/>
      <c r="Q268" s="90"/>
      <c r="R268" s="94"/>
      <c r="S268" s="94"/>
      <c r="T268" s="94"/>
      <c r="U268" s="94"/>
      <c r="V268" s="94"/>
      <c r="W268" s="112"/>
      <c r="X268" s="284" t="s">
        <v>249</v>
      </c>
      <c r="Y268" s="11" t="s">
        <v>65</v>
      </c>
      <c r="Z268" s="18" t="s">
        <v>51</v>
      </c>
      <c r="AA268" s="559">
        <v>10</v>
      </c>
      <c r="AB268" s="163" t="s">
        <v>250</v>
      </c>
      <c r="AC268" s="319"/>
      <c r="AD268" s="168">
        <f>AD269+AD277+AD273</f>
        <v>2461.6</v>
      </c>
      <c r="AE268" s="168">
        <f>AE269+AE277+AE273</f>
        <v>2461.6</v>
      </c>
      <c r="AF268" s="168">
        <f>AF269+AF277+AF273</f>
        <v>2230.6</v>
      </c>
      <c r="AG268" s="575">
        <f t="shared" si="94"/>
        <v>0.90615859603509907</v>
      </c>
      <c r="AH268" s="194"/>
      <c r="AI268" s="156"/>
    </row>
    <row r="269" spans="1:35" s="110" customFormat="1" x14ac:dyDescent="0.25">
      <c r="A269" s="115"/>
      <c r="B269" s="85"/>
      <c r="C269" s="86"/>
      <c r="D269" s="86"/>
      <c r="E269" s="87"/>
      <c r="F269" s="86"/>
      <c r="G269" s="88"/>
      <c r="H269" s="112"/>
      <c r="I269" s="56"/>
      <c r="J269" s="56"/>
      <c r="K269" s="56"/>
      <c r="L269" s="80"/>
      <c r="M269" s="56"/>
      <c r="N269" s="80"/>
      <c r="O269" s="89"/>
      <c r="P269" s="88"/>
      <c r="Q269" s="90"/>
      <c r="R269" s="94"/>
      <c r="S269" s="94"/>
      <c r="T269" s="94"/>
      <c r="U269" s="94"/>
      <c r="V269" s="94"/>
      <c r="W269" s="112"/>
      <c r="X269" s="284" t="s">
        <v>404</v>
      </c>
      <c r="Y269" s="11" t="s">
        <v>65</v>
      </c>
      <c r="Z269" s="18" t="s">
        <v>51</v>
      </c>
      <c r="AA269" s="559">
        <v>10</v>
      </c>
      <c r="AB269" s="163" t="s">
        <v>405</v>
      </c>
      <c r="AC269" s="319"/>
      <c r="AD269" s="168">
        <f t="shared" ref="AD269:AF271" si="97">AD270</f>
        <v>2075.3000000000002</v>
      </c>
      <c r="AE269" s="168">
        <f t="shared" si="97"/>
        <v>2075.3000000000002</v>
      </c>
      <c r="AF269" s="168">
        <f t="shared" si="97"/>
        <v>1844.3</v>
      </c>
      <c r="AG269" s="575">
        <f t="shared" si="94"/>
        <v>0.88869079169276721</v>
      </c>
      <c r="AH269" s="194"/>
      <c r="AI269" s="156"/>
    </row>
    <row r="270" spans="1:35" s="110" customFormat="1" x14ac:dyDescent="0.25">
      <c r="A270" s="115"/>
      <c r="B270" s="85"/>
      <c r="C270" s="86"/>
      <c r="D270" s="86"/>
      <c r="E270" s="87"/>
      <c r="F270" s="86"/>
      <c r="G270" s="88"/>
      <c r="H270" s="112"/>
      <c r="I270" s="56"/>
      <c r="J270" s="56"/>
      <c r="K270" s="56"/>
      <c r="L270" s="80"/>
      <c r="M270" s="56"/>
      <c r="N270" s="80"/>
      <c r="O270" s="89"/>
      <c r="P270" s="88"/>
      <c r="Q270" s="90"/>
      <c r="R270" s="94"/>
      <c r="S270" s="94"/>
      <c r="T270" s="94"/>
      <c r="U270" s="94"/>
      <c r="V270" s="94"/>
      <c r="W270" s="112"/>
      <c r="X270" s="283" t="s">
        <v>406</v>
      </c>
      <c r="Y270" s="11" t="s">
        <v>65</v>
      </c>
      <c r="Z270" s="18" t="s">
        <v>51</v>
      </c>
      <c r="AA270" s="559">
        <v>10</v>
      </c>
      <c r="AB270" s="163" t="s">
        <v>407</v>
      </c>
      <c r="AC270" s="324"/>
      <c r="AD270" s="168">
        <f t="shared" si="97"/>
        <v>2075.3000000000002</v>
      </c>
      <c r="AE270" s="168">
        <f t="shared" si="97"/>
        <v>2075.3000000000002</v>
      </c>
      <c r="AF270" s="168">
        <f t="shared" si="97"/>
        <v>1844.3</v>
      </c>
      <c r="AG270" s="575">
        <f t="shared" si="94"/>
        <v>0.88869079169276721</v>
      </c>
      <c r="AH270" s="194"/>
      <c r="AI270" s="156"/>
    </row>
    <row r="271" spans="1:35" s="110" customFormat="1" x14ac:dyDescent="0.25">
      <c r="A271" s="115"/>
      <c r="B271" s="85"/>
      <c r="C271" s="86"/>
      <c r="D271" s="86"/>
      <c r="E271" s="87"/>
      <c r="F271" s="86"/>
      <c r="G271" s="88"/>
      <c r="H271" s="112"/>
      <c r="I271" s="56"/>
      <c r="J271" s="56"/>
      <c r="K271" s="56"/>
      <c r="L271" s="80"/>
      <c r="M271" s="56"/>
      <c r="N271" s="80"/>
      <c r="O271" s="89"/>
      <c r="P271" s="88"/>
      <c r="Q271" s="90"/>
      <c r="R271" s="94"/>
      <c r="S271" s="94"/>
      <c r="T271" s="94"/>
      <c r="U271" s="94"/>
      <c r="V271" s="94"/>
      <c r="W271" s="112"/>
      <c r="X271" s="278" t="s">
        <v>123</v>
      </c>
      <c r="Y271" s="11" t="s">
        <v>65</v>
      </c>
      <c r="Z271" s="18" t="s">
        <v>51</v>
      </c>
      <c r="AA271" s="559">
        <v>10</v>
      </c>
      <c r="AB271" s="163" t="s">
        <v>407</v>
      </c>
      <c r="AC271" s="309">
        <v>200</v>
      </c>
      <c r="AD271" s="168">
        <f t="shared" si="97"/>
        <v>2075.3000000000002</v>
      </c>
      <c r="AE271" s="168">
        <f t="shared" si="97"/>
        <v>2075.3000000000002</v>
      </c>
      <c r="AF271" s="168">
        <f t="shared" si="97"/>
        <v>1844.3</v>
      </c>
      <c r="AG271" s="575">
        <f t="shared" si="94"/>
        <v>0.88869079169276721</v>
      </c>
      <c r="AH271" s="194"/>
      <c r="AI271" s="156"/>
    </row>
    <row r="272" spans="1:35" s="110" customFormat="1" ht="31.5" x14ac:dyDescent="0.25">
      <c r="A272" s="115"/>
      <c r="B272" s="85"/>
      <c r="C272" s="86"/>
      <c r="D272" s="86"/>
      <c r="E272" s="87"/>
      <c r="F272" s="86"/>
      <c r="G272" s="88"/>
      <c r="H272" s="112"/>
      <c r="I272" s="56"/>
      <c r="J272" s="56"/>
      <c r="K272" s="56"/>
      <c r="L272" s="80"/>
      <c r="M272" s="56"/>
      <c r="N272" s="80"/>
      <c r="O272" s="89"/>
      <c r="P272" s="88"/>
      <c r="Q272" s="90"/>
      <c r="R272" s="94"/>
      <c r="S272" s="94"/>
      <c r="T272" s="94"/>
      <c r="U272" s="94"/>
      <c r="V272" s="94"/>
      <c r="W272" s="112"/>
      <c r="X272" s="278" t="s">
        <v>54</v>
      </c>
      <c r="Y272" s="11" t="s">
        <v>65</v>
      </c>
      <c r="Z272" s="18" t="s">
        <v>51</v>
      </c>
      <c r="AA272" s="559">
        <v>10</v>
      </c>
      <c r="AB272" s="163" t="s">
        <v>407</v>
      </c>
      <c r="AC272" s="309">
        <v>240</v>
      </c>
      <c r="AD272" s="168">
        <f>527.5+970+560+17.8</f>
        <v>2075.3000000000002</v>
      </c>
      <c r="AE272" s="168">
        <f>527.5+970+560+17.8</f>
        <v>2075.3000000000002</v>
      </c>
      <c r="AF272" s="168">
        <v>1844.3</v>
      </c>
      <c r="AG272" s="575">
        <f t="shared" si="94"/>
        <v>0.88869079169276721</v>
      </c>
      <c r="AH272" s="194"/>
      <c r="AI272" s="156"/>
    </row>
    <row r="273" spans="1:35" s="110" customFormat="1" x14ac:dyDescent="0.25">
      <c r="A273" s="115"/>
      <c r="B273" s="85"/>
      <c r="C273" s="86"/>
      <c r="D273" s="86"/>
      <c r="E273" s="87"/>
      <c r="F273" s="86"/>
      <c r="G273" s="88"/>
      <c r="H273" s="112"/>
      <c r="I273" s="56"/>
      <c r="J273" s="56"/>
      <c r="K273" s="56"/>
      <c r="L273" s="80"/>
      <c r="M273" s="56"/>
      <c r="N273" s="80"/>
      <c r="O273" s="89"/>
      <c r="P273" s="88"/>
      <c r="Q273" s="90"/>
      <c r="R273" s="94"/>
      <c r="S273" s="94"/>
      <c r="T273" s="94"/>
      <c r="U273" s="94"/>
      <c r="V273" s="94"/>
      <c r="W273" s="112"/>
      <c r="X273" s="284" t="s">
        <v>425</v>
      </c>
      <c r="Y273" s="11" t="s">
        <v>65</v>
      </c>
      <c r="Z273" s="18" t="s">
        <v>51</v>
      </c>
      <c r="AA273" s="559">
        <v>10</v>
      </c>
      <c r="AB273" s="163" t="s">
        <v>426</v>
      </c>
      <c r="AC273" s="309"/>
      <c r="AD273" s="168">
        <f t="shared" ref="AD273:AF275" si="98">AD274</f>
        <v>92.2</v>
      </c>
      <c r="AE273" s="168">
        <f t="shared" si="98"/>
        <v>92.2</v>
      </c>
      <c r="AF273" s="168">
        <f t="shared" si="98"/>
        <v>92.2</v>
      </c>
      <c r="AG273" s="575">
        <f t="shared" si="94"/>
        <v>1</v>
      </c>
      <c r="AH273" s="194"/>
      <c r="AI273" s="156"/>
    </row>
    <row r="274" spans="1:35" s="110" customFormat="1" x14ac:dyDescent="0.25">
      <c r="A274" s="115"/>
      <c r="B274" s="85"/>
      <c r="C274" s="86"/>
      <c r="D274" s="86"/>
      <c r="E274" s="87"/>
      <c r="F274" s="86"/>
      <c r="G274" s="88"/>
      <c r="H274" s="112"/>
      <c r="I274" s="56"/>
      <c r="J274" s="56"/>
      <c r="K274" s="56"/>
      <c r="L274" s="80"/>
      <c r="M274" s="56"/>
      <c r="N274" s="80"/>
      <c r="O274" s="89"/>
      <c r="P274" s="88"/>
      <c r="Q274" s="90"/>
      <c r="R274" s="94"/>
      <c r="S274" s="94"/>
      <c r="T274" s="94"/>
      <c r="U274" s="94"/>
      <c r="V274" s="94"/>
      <c r="W274" s="112"/>
      <c r="X274" s="283" t="s">
        <v>427</v>
      </c>
      <c r="Y274" s="11" t="s">
        <v>65</v>
      </c>
      <c r="Z274" s="18" t="s">
        <v>51</v>
      </c>
      <c r="AA274" s="559">
        <v>10</v>
      </c>
      <c r="AB274" s="163" t="s">
        <v>428</v>
      </c>
      <c r="AC274" s="309"/>
      <c r="AD274" s="168">
        <f t="shared" si="98"/>
        <v>92.2</v>
      </c>
      <c r="AE274" s="168">
        <f t="shared" si="98"/>
        <v>92.2</v>
      </c>
      <c r="AF274" s="168">
        <f t="shared" si="98"/>
        <v>92.2</v>
      </c>
      <c r="AG274" s="575">
        <f t="shared" si="94"/>
        <v>1</v>
      </c>
      <c r="AH274" s="194"/>
      <c r="AI274" s="156"/>
    </row>
    <row r="275" spans="1:35" s="110" customFormat="1" x14ac:dyDescent="0.25">
      <c r="A275" s="115"/>
      <c r="B275" s="85"/>
      <c r="C275" s="86"/>
      <c r="D275" s="86"/>
      <c r="E275" s="87"/>
      <c r="F275" s="86"/>
      <c r="G275" s="88"/>
      <c r="H275" s="112"/>
      <c r="I275" s="56"/>
      <c r="J275" s="56"/>
      <c r="K275" s="56"/>
      <c r="L275" s="80"/>
      <c r="M275" s="56"/>
      <c r="N275" s="80"/>
      <c r="O275" s="89"/>
      <c r="P275" s="88"/>
      <c r="Q275" s="90"/>
      <c r="R275" s="94"/>
      <c r="S275" s="94"/>
      <c r="T275" s="94"/>
      <c r="U275" s="94"/>
      <c r="V275" s="94"/>
      <c r="W275" s="112"/>
      <c r="X275" s="278" t="s">
        <v>123</v>
      </c>
      <c r="Y275" s="11" t="s">
        <v>65</v>
      </c>
      <c r="Z275" s="18" t="s">
        <v>51</v>
      </c>
      <c r="AA275" s="559">
        <v>10</v>
      </c>
      <c r="AB275" s="163" t="s">
        <v>428</v>
      </c>
      <c r="AC275" s="309">
        <v>200</v>
      </c>
      <c r="AD275" s="168">
        <f t="shared" si="98"/>
        <v>92.2</v>
      </c>
      <c r="AE275" s="168">
        <f t="shared" si="98"/>
        <v>92.2</v>
      </c>
      <c r="AF275" s="168">
        <f t="shared" si="98"/>
        <v>92.2</v>
      </c>
      <c r="AG275" s="575">
        <f t="shared" si="94"/>
        <v>1</v>
      </c>
      <c r="AH275" s="194"/>
      <c r="AI275" s="156"/>
    </row>
    <row r="276" spans="1:35" s="110" customFormat="1" ht="31.5" x14ac:dyDescent="0.25">
      <c r="A276" s="115"/>
      <c r="B276" s="85"/>
      <c r="C276" s="86"/>
      <c r="D276" s="86"/>
      <c r="E276" s="87"/>
      <c r="F276" s="86"/>
      <c r="G276" s="88"/>
      <c r="H276" s="112"/>
      <c r="I276" s="56"/>
      <c r="J276" s="56"/>
      <c r="K276" s="56"/>
      <c r="L276" s="80"/>
      <c r="M276" s="56"/>
      <c r="N276" s="80"/>
      <c r="O276" s="89"/>
      <c r="P276" s="88"/>
      <c r="Q276" s="90"/>
      <c r="R276" s="94"/>
      <c r="S276" s="94"/>
      <c r="T276" s="94"/>
      <c r="U276" s="94"/>
      <c r="V276" s="94"/>
      <c r="W276" s="112"/>
      <c r="X276" s="278" t="s">
        <v>54</v>
      </c>
      <c r="Y276" s="11" t="s">
        <v>65</v>
      </c>
      <c r="Z276" s="18" t="s">
        <v>51</v>
      </c>
      <c r="AA276" s="559">
        <v>10</v>
      </c>
      <c r="AB276" s="163" t="s">
        <v>428</v>
      </c>
      <c r="AC276" s="309">
        <v>240</v>
      </c>
      <c r="AD276" s="168">
        <f>110-17.8</f>
        <v>92.2</v>
      </c>
      <c r="AE276" s="168">
        <f>110-17.8</f>
        <v>92.2</v>
      </c>
      <c r="AF276" s="168">
        <v>92.2</v>
      </c>
      <c r="AG276" s="575">
        <f t="shared" si="94"/>
        <v>1</v>
      </c>
      <c r="AH276" s="194"/>
      <c r="AI276" s="156"/>
    </row>
    <row r="277" spans="1:35" s="110" customFormat="1" x14ac:dyDescent="0.25">
      <c r="A277" s="115"/>
      <c r="B277" s="85"/>
      <c r="C277" s="86"/>
      <c r="D277" s="86"/>
      <c r="E277" s="87"/>
      <c r="F277" s="86"/>
      <c r="G277" s="88"/>
      <c r="H277" s="112"/>
      <c r="I277" s="56"/>
      <c r="J277" s="56"/>
      <c r="K277" s="56"/>
      <c r="L277" s="80"/>
      <c r="M277" s="56"/>
      <c r="N277" s="80"/>
      <c r="O277" s="89"/>
      <c r="P277" s="88"/>
      <c r="Q277" s="90"/>
      <c r="R277" s="94"/>
      <c r="S277" s="94"/>
      <c r="T277" s="94"/>
      <c r="U277" s="94"/>
      <c r="V277" s="94"/>
      <c r="W277" s="112"/>
      <c r="X277" s="284" t="s">
        <v>408</v>
      </c>
      <c r="Y277" s="11" t="s">
        <v>65</v>
      </c>
      <c r="Z277" s="18" t="s">
        <v>51</v>
      </c>
      <c r="AA277" s="559">
        <v>10</v>
      </c>
      <c r="AB277" s="163" t="s">
        <v>409</v>
      </c>
      <c r="AC277" s="309"/>
      <c r="AD277" s="168">
        <f t="shared" ref="AD277:AF279" si="99">AD278</f>
        <v>294.10000000000002</v>
      </c>
      <c r="AE277" s="168">
        <f t="shared" si="99"/>
        <v>294.10000000000002</v>
      </c>
      <c r="AF277" s="168">
        <f t="shared" si="99"/>
        <v>294.10000000000002</v>
      </c>
      <c r="AG277" s="575">
        <f t="shared" si="94"/>
        <v>1</v>
      </c>
      <c r="AH277" s="194"/>
      <c r="AI277" s="156"/>
    </row>
    <row r="278" spans="1:35" s="110" customFormat="1" x14ac:dyDescent="0.25">
      <c r="A278" s="115"/>
      <c r="B278" s="85"/>
      <c r="C278" s="86"/>
      <c r="D278" s="86"/>
      <c r="E278" s="87"/>
      <c r="F278" s="86"/>
      <c r="G278" s="88"/>
      <c r="H278" s="112"/>
      <c r="I278" s="56"/>
      <c r="J278" s="56"/>
      <c r="K278" s="56"/>
      <c r="L278" s="80"/>
      <c r="M278" s="56"/>
      <c r="N278" s="80"/>
      <c r="O278" s="89"/>
      <c r="P278" s="88"/>
      <c r="Q278" s="90"/>
      <c r="R278" s="94"/>
      <c r="S278" s="94"/>
      <c r="T278" s="94"/>
      <c r="U278" s="94"/>
      <c r="V278" s="94"/>
      <c r="W278" s="112"/>
      <c r="X278" s="283" t="s">
        <v>410</v>
      </c>
      <c r="Y278" s="11" t="s">
        <v>65</v>
      </c>
      <c r="Z278" s="18" t="s">
        <v>51</v>
      </c>
      <c r="AA278" s="559">
        <v>10</v>
      </c>
      <c r="AB278" s="163" t="s">
        <v>411</v>
      </c>
      <c r="AC278" s="309"/>
      <c r="AD278" s="168">
        <f t="shared" si="99"/>
        <v>294.10000000000002</v>
      </c>
      <c r="AE278" s="168">
        <f t="shared" si="99"/>
        <v>294.10000000000002</v>
      </c>
      <c r="AF278" s="168">
        <f t="shared" si="99"/>
        <v>294.10000000000002</v>
      </c>
      <c r="AG278" s="575">
        <f t="shared" si="94"/>
        <v>1</v>
      </c>
      <c r="AH278" s="194"/>
      <c r="AI278" s="156"/>
    </row>
    <row r="279" spans="1:35" s="110" customFormat="1" x14ac:dyDescent="0.25">
      <c r="A279" s="115"/>
      <c r="B279" s="85"/>
      <c r="C279" s="86"/>
      <c r="D279" s="86"/>
      <c r="E279" s="87"/>
      <c r="F279" s="86"/>
      <c r="G279" s="88"/>
      <c r="H279" s="112"/>
      <c r="I279" s="56"/>
      <c r="J279" s="56"/>
      <c r="K279" s="56"/>
      <c r="L279" s="80"/>
      <c r="M279" s="56"/>
      <c r="N279" s="80"/>
      <c r="O279" s="89"/>
      <c r="P279" s="88"/>
      <c r="Q279" s="90"/>
      <c r="R279" s="94"/>
      <c r="S279" s="94"/>
      <c r="T279" s="94"/>
      <c r="U279" s="94"/>
      <c r="V279" s="94"/>
      <c r="W279" s="112"/>
      <c r="X279" s="278" t="s">
        <v>123</v>
      </c>
      <c r="Y279" s="11" t="s">
        <v>65</v>
      </c>
      <c r="Z279" s="18" t="s">
        <v>51</v>
      </c>
      <c r="AA279" s="559">
        <v>10</v>
      </c>
      <c r="AB279" s="163" t="s">
        <v>411</v>
      </c>
      <c r="AC279" s="309">
        <v>200</v>
      </c>
      <c r="AD279" s="168">
        <f t="shared" si="99"/>
        <v>294.10000000000002</v>
      </c>
      <c r="AE279" s="168">
        <f t="shared" si="99"/>
        <v>294.10000000000002</v>
      </c>
      <c r="AF279" s="168">
        <f t="shared" si="99"/>
        <v>294.10000000000002</v>
      </c>
      <c r="AG279" s="575">
        <f t="shared" si="94"/>
        <v>1</v>
      </c>
      <c r="AH279" s="194"/>
      <c r="AI279" s="156"/>
    </row>
    <row r="280" spans="1:35" s="110" customFormat="1" ht="31.5" x14ac:dyDescent="0.25">
      <c r="A280" s="115"/>
      <c r="B280" s="85"/>
      <c r="C280" s="86"/>
      <c r="D280" s="86"/>
      <c r="E280" s="87"/>
      <c r="F280" s="86"/>
      <c r="G280" s="88"/>
      <c r="H280" s="112"/>
      <c r="I280" s="56"/>
      <c r="J280" s="56"/>
      <c r="K280" s="56"/>
      <c r="L280" s="80"/>
      <c r="M280" s="56"/>
      <c r="N280" s="80"/>
      <c r="O280" s="89"/>
      <c r="P280" s="88"/>
      <c r="Q280" s="90"/>
      <c r="R280" s="94"/>
      <c r="S280" s="94"/>
      <c r="T280" s="94"/>
      <c r="U280" s="94"/>
      <c r="V280" s="94"/>
      <c r="W280" s="112"/>
      <c r="X280" s="278" t="s">
        <v>54</v>
      </c>
      <c r="Y280" s="11" t="s">
        <v>65</v>
      </c>
      <c r="Z280" s="18" t="s">
        <v>51</v>
      </c>
      <c r="AA280" s="559">
        <v>10</v>
      </c>
      <c r="AB280" s="163" t="s">
        <v>411</v>
      </c>
      <c r="AC280" s="309">
        <v>240</v>
      </c>
      <c r="AD280" s="168">
        <f>297-2.9</f>
        <v>294.10000000000002</v>
      </c>
      <c r="AE280" s="168">
        <f>297-2.9</f>
        <v>294.10000000000002</v>
      </c>
      <c r="AF280" s="168">
        <v>294.10000000000002</v>
      </c>
      <c r="AG280" s="575">
        <f t="shared" si="94"/>
        <v>1</v>
      </c>
      <c r="AH280" s="194"/>
      <c r="AI280" s="156"/>
    </row>
    <row r="281" spans="1:35" s="110" customFormat="1" x14ac:dyDescent="0.25">
      <c r="A281" s="116"/>
      <c r="B281" s="32"/>
      <c r="C281" s="1"/>
      <c r="D281" s="1"/>
      <c r="E281" s="2"/>
      <c r="F281" s="2"/>
      <c r="G281" s="117"/>
      <c r="H281" s="112"/>
      <c r="I281" s="56"/>
      <c r="J281" s="56"/>
      <c r="K281" s="56"/>
      <c r="L281" s="80"/>
      <c r="M281" s="56"/>
      <c r="N281" s="80"/>
      <c r="O281" s="89"/>
      <c r="P281" s="88"/>
      <c r="Q281" s="90"/>
      <c r="R281" s="94"/>
      <c r="S281" s="94"/>
      <c r="T281" s="94"/>
      <c r="U281" s="94"/>
      <c r="V281" s="94"/>
      <c r="W281" s="112"/>
      <c r="X281" s="278" t="s">
        <v>53</v>
      </c>
      <c r="Y281" s="11" t="s">
        <v>65</v>
      </c>
      <c r="Z281" s="1" t="s">
        <v>51</v>
      </c>
      <c r="AA281" s="529">
        <v>12</v>
      </c>
      <c r="AB281" s="569"/>
      <c r="AC281" s="309"/>
      <c r="AD281" s="168">
        <f>AD282</f>
        <v>848.9</v>
      </c>
      <c r="AE281" s="168">
        <f>AE282</f>
        <v>890.9</v>
      </c>
      <c r="AF281" s="168">
        <f t="shared" ref="AF281" si="100">AF282</f>
        <v>378.1</v>
      </c>
      <c r="AG281" s="575">
        <f t="shared" si="94"/>
        <v>0.42440228981928391</v>
      </c>
      <c r="AH281" s="194"/>
      <c r="AI281" s="156"/>
    </row>
    <row r="282" spans="1:35" s="110" customFormat="1" ht="31.5" x14ac:dyDescent="0.25">
      <c r="A282" s="54"/>
      <c r="B282" s="85"/>
      <c r="C282" s="86"/>
      <c r="D282" s="86"/>
      <c r="E282" s="87"/>
      <c r="F282" s="87"/>
      <c r="G282" s="91"/>
      <c r="H282" s="112"/>
      <c r="I282" s="56"/>
      <c r="J282" s="56"/>
      <c r="K282" s="56"/>
      <c r="L282" s="80"/>
      <c r="M282" s="56"/>
      <c r="N282" s="80"/>
      <c r="O282" s="89"/>
      <c r="P282" s="88"/>
      <c r="Q282" s="90"/>
      <c r="R282" s="94"/>
      <c r="S282" s="94"/>
      <c r="T282" s="94"/>
      <c r="U282" s="94"/>
      <c r="V282" s="94"/>
      <c r="W282" s="112"/>
      <c r="X282" s="284" t="s">
        <v>168</v>
      </c>
      <c r="Y282" s="11" t="s">
        <v>65</v>
      </c>
      <c r="Z282" s="1" t="s">
        <v>51</v>
      </c>
      <c r="AA282" s="529">
        <v>12</v>
      </c>
      <c r="AB282" s="33" t="s">
        <v>105</v>
      </c>
      <c r="AC282" s="309"/>
      <c r="AD282" s="168">
        <f t="shared" ref="AD282:AF283" si="101">AD283</f>
        <v>848.9</v>
      </c>
      <c r="AE282" s="168">
        <f t="shared" si="101"/>
        <v>890.9</v>
      </c>
      <c r="AF282" s="168">
        <f t="shared" si="101"/>
        <v>378.1</v>
      </c>
      <c r="AG282" s="575">
        <f t="shared" si="94"/>
        <v>0.42440228981928391</v>
      </c>
      <c r="AH282" s="194"/>
      <c r="AI282" s="156"/>
    </row>
    <row r="283" spans="1:35" s="110" customFormat="1" x14ac:dyDescent="0.25">
      <c r="A283" s="54"/>
      <c r="B283" s="85"/>
      <c r="C283" s="86"/>
      <c r="D283" s="86"/>
      <c r="E283" s="87"/>
      <c r="F283" s="87"/>
      <c r="G283" s="91"/>
      <c r="H283" s="112"/>
      <c r="I283" s="56"/>
      <c r="J283" s="56"/>
      <c r="K283" s="56"/>
      <c r="L283" s="80"/>
      <c r="M283" s="56"/>
      <c r="N283" s="80"/>
      <c r="O283" s="89"/>
      <c r="P283" s="88"/>
      <c r="Q283" s="90"/>
      <c r="R283" s="94"/>
      <c r="S283" s="94"/>
      <c r="T283" s="94"/>
      <c r="U283" s="94"/>
      <c r="V283" s="94"/>
      <c r="W283" s="112"/>
      <c r="X283" s="284" t="s">
        <v>169</v>
      </c>
      <c r="Y283" s="11" t="s">
        <v>65</v>
      </c>
      <c r="Z283" s="1" t="s">
        <v>51</v>
      </c>
      <c r="AA283" s="529">
        <v>12</v>
      </c>
      <c r="AB283" s="33" t="s">
        <v>109</v>
      </c>
      <c r="AC283" s="309"/>
      <c r="AD283" s="168">
        <f t="shared" si="101"/>
        <v>848.9</v>
      </c>
      <c r="AE283" s="168">
        <f t="shared" si="101"/>
        <v>890.9</v>
      </c>
      <c r="AF283" s="168">
        <f t="shared" si="101"/>
        <v>378.1</v>
      </c>
      <c r="AG283" s="575">
        <f t="shared" si="94"/>
        <v>0.42440228981928391</v>
      </c>
      <c r="AH283" s="194"/>
      <c r="AI283" s="156"/>
    </row>
    <row r="284" spans="1:35" s="110" customFormat="1" x14ac:dyDescent="0.25">
      <c r="A284" s="54"/>
      <c r="B284" s="85"/>
      <c r="C284" s="86"/>
      <c r="D284" s="86"/>
      <c r="E284" s="87"/>
      <c r="F284" s="87"/>
      <c r="G284" s="91"/>
      <c r="H284" s="112"/>
      <c r="I284" s="56"/>
      <c r="J284" s="56"/>
      <c r="K284" s="56"/>
      <c r="L284" s="80"/>
      <c r="M284" s="56"/>
      <c r="N284" s="80"/>
      <c r="O284" s="89"/>
      <c r="P284" s="88"/>
      <c r="Q284" s="90"/>
      <c r="R284" s="94"/>
      <c r="S284" s="94"/>
      <c r="T284" s="94"/>
      <c r="U284" s="94"/>
      <c r="V284" s="94"/>
      <c r="W284" s="112"/>
      <c r="X284" s="298" t="s">
        <v>607</v>
      </c>
      <c r="Y284" s="11" t="s">
        <v>65</v>
      </c>
      <c r="Z284" s="1" t="s">
        <v>51</v>
      </c>
      <c r="AA284" s="529">
        <v>12</v>
      </c>
      <c r="AB284" s="33" t="s">
        <v>358</v>
      </c>
      <c r="AC284" s="317"/>
      <c r="AD284" s="168">
        <f>AD285+AD288</f>
        <v>848.9</v>
      </c>
      <c r="AE284" s="168">
        <f>AE285+AE288</f>
        <v>890.9</v>
      </c>
      <c r="AF284" s="168">
        <f>AF285+AF288</f>
        <v>378.1</v>
      </c>
      <c r="AG284" s="575">
        <f t="shared" si="94"/>
        <v>0.42440228981928391</v>
      </c>
      <c r="AH284" s="194"/>
      <c r="AI284" s="156"/>
    </row>
    <row r="285" spans="1:35" s="110" customFormat="1" x14ac:dyDescent="0.25">
      <c r="A285" s="54"/>
      <c r="B285" s="85"/>
      <c r="C285" s="86"/>
      <c r="D285" s="86"/>
      <c r="E285" s="87"/>
      <c r="F285" s="87"/>
      <c r="G285" s="91"/>
      <c r="H285" s="112"/>
      <c r="I285" s="56"/>
      <c r="J285" s="56"/>
      <c r="K285" s="56"/>
      <c r="L285" s="80"/>
      <c r="M285" s="56"/>
      <c r="N285" s="80"/>
      <c r="O285" s="89"/>
      <c r="P285" s="88"/>
      <c r="Q285" s="90"/>
      <c r="R285" s="94"/>
      <c r="S285" s="94"/>
      <c r="T285" s="94"/>
      <c r="U285" s="94"/>
      <c r="V285" s="94"/>
      <c r="W285" s="112"/>
      <c r="X285" s="282" t="s">
        <v>260</v>
      </c>
      <c r="Y285" s="11" t="s">
        <v>65</v>
      </c>
      <c r="Z285" s="1" t="s">
        <v>51</v>
      </c>
      <c r="AA285" s="529">
        <v>12</v>
      </c>
      <c r="AB285" s="163" t="s">
        <v>357</v>
      </c>
      <c r="AC285" s="311"/>
      <c r="AD285" s="168">
        <f t="shared" ref="AD285:AF286" si="102">AD286</f>
        <v>575.9</v>
      </c>
      <c r="AE285" s="168">
        <f t="shared" si="102"/>
        <v>575.9</v>
      </c>
      <c r="AF285" s="168">
        <f t="shared" si="102"/>
        <v>75.900000000000006</v>
      </c>
      <c r="AG285" s="575">
        <f t="shared" si="94"/>
        <v>0.13179371418649072</v>
      </c>
      <c r="AH285" s="194"/>
      <c r="AI285" s="156"/>
    </row>
    <row r="286" spans="1:35" s="110" customFormat="1" x14ac:dyDescent="0.25">
      <c r="A286" s="54"/>
      <c r="B286" s="85"/>
      <c r="C286" s="86"/>
      <c r="D286" s="86"/>
      <c r="E286" s="87"/>
      <c r="F286" s="87"/>
      <c r="G286" s="91"/>
      <c r="H286" s="112"/>
      <c r="I286" s="56"/>
      <c r="J286" s="56"/>
      <c r="K286" s="56"/>
      <c r="L286" s="80"/>
      <c r="M286" s="56"/>
      <c r="N286" s="80"/>
      <c r="O286" s="89"/>
      <c r="P286" s="88"/>
      <c r="Q286" s="90"/>
      <c r="R286" s="94"/>
      <c r="S286" s="94"/>
      <c r="T286" s="94"/>
      <c r="U286" s="94"/>
      <c r="V286" s="94"/>
      <c r="W286" s="112"/>
      <c r="X286" s="278" t="s">
        <v>123</v>
      </c>
      <c r="Y286" s="11" t="s">
        <v>65</v>
      </c>
      <c r="Z286" s="1" t="s">
        <v>51</v>
      </c>
      <c r="AA286" s="529">
        <v>12</v>
      </c>
      <c r="AB286" s="163" t="s">
        <v>357</v>
      </c>
      <c r="AC286" s="309">
        <v>200</v>
      </c>
      <c r="AD286" s="168">
        <f t="shared" si="102"/>
        <v>575.9</v>
      </c>
      <c r="AE286" s="168">
        <f t="shared" si="102"/>
        <v>575.9</v>
      </c>
      <c r="AF286" s="168">
        <f t="shared" si="102"/>
        <v>75.900000000000006</v>
      </c>
      <c r="AG286" s="575">
        <f t="shared" si="94"/>
        <v>0.13179371418649072</v>
      </c>
      <c r="AH286" s="194"/>
      <c r="AI286" s="156"/>
    </row>
    <row r="287" spans="1:35" s="110" customFormat="1" ht="31.5" x14ac:dyDescent="0.25">
      <c r="A287" s="54"/>
      <c r="B287" s="85"/>
      <c r="C287" s="86"/>
      <c r="D287" s="86"/>
      <c r="E287" s="87"/>
      <c r="F287" s="87"/>
      <c r="G287" s="91"/>
      <c r="H287" s="112"/>
      <c r="I287" s="56"/>
      <c r="J287" s="56"/>
      <c r="K287" s="56"/>
      <c r="L287" s="80"/>
      <c r="M287" s="56"/>
      <c r="N287" s="80"/>
      <c r="O287" s="89"/>
      <c r="P287" s="88"/>
      <c r="Q287" s="90"/>
      <c r="R287" s="94"/>
      <c r="S287" s="94"/>
      <c r="T287" s="94"/>
      <c r="U287" s="94"/>
      <c r="V287" s="94"/>
      <c r="W287" s="112"/>
      <c r="X287" s="278" t="s">
        <v>54</v>
      </c>
      <c r="Y287" s="11" t="s">
        <v>65</v>
      </c>
      <c r="Z287" s="1" t="s">
        <v>51</v>
      </c>
      <c r="AA287" s="529">
        <v>12</v>
      </c>
      <c r="AB287" s="163" t="s">
        <v>357</v>
      </c>
      <c r="AC287" s="309">
        <v>240</v>
      </c>
      <c r="AD287" s="168">
        <v>575.9</v>
      </c>
      <c r="AE287" s="168">
        <v>575.9</v>
      </c>
      <c r="AF287" s="168">
        <v>75.900000000000006</v>
      </c>
      <c r="AG287" s="575">
        <f t="shared" si="94"/>
        <v>0.13179371418649072</v>
      </c>
      <c r="AH287" s="194"/>
      <c r="AI287" s="156"/>
    </row>
    <row r="288" spans="1:35" s="110" customFormat="1" ht="47.25" x14ac:dyDescent="0.25">
      <c r="A288" s="54"/>
      <c r="B288" s="85"/>
      <c r="C288" s="86"/>
      <c r="D288" s="86"/>
      <c r="E288" s="87"/>
      <c r="F288" s="87"/>
      <c r="G288" s="91"/>
      <c r="H288" s="112"/>
      <c r="I288" s="56"/>
      <c r="J288" s="56"/>
      <c r="K288" s="56"/>
      <c r="L288" s="80"/>
      <c r="M288" s="56"/>
      <c r="N288" s="80"/>
      <c r="O288" s="89"/>
      <c r="P288" s="88"/>
      <c r="Q288" s="90"/>
      <c r="R288" s="94"/>
      <c r="S288" s="94"/>
      <c r="T288" s="94"/>
      <c r="U288" s="94"/>
      <c r="V288" s="94"/>
      <c r="W288" s="112"/>
      <c r="X288" s="278" t="s">
        <v>388</v>
      </c>
      <c r="Y288" s="11" t="s">
        <v>65</v>
      </c>
      <c r="Z288" s="1" t="s">
        <v>51</v>
      </c>
      <c r="AA288" s="529">
        <v>12</v>
      </c>
      <c r="AB288" s="33" t="s">
        <v>387</v>
      </c>
      <c r="AC288" s="309"/>
      <c r="AD288" s="168">
        <f t="shared" ref="AD288:AF289" si="103">AD289</f>
        <v>273</v>
      </c>
      <c r="AE288" s="168">
        <f t="shared" si="103"/>
        <v>315</v>
      </c>
      <c r="AF288" s="168">
        <f t="shared" si="103"/>
        <v>302.2</v>
      </c>
      <c r="AG288" s="575">
        <f t="shared" si="94"/>
        <v>0.95936507936507931</v>
      </c>
      <c r="AH288" s="194"/>
      <c r="AI288" s="156"/>
    </row>
    <row r="289" spans="1:35" s="110" customFormat="1" x14ac:dyDescent="0.25">
      <c r="A289" s="54"/>
      <c r="B289" s="85"/>
      <c r="C289" s="86"/>
      <c r="D289" s="86"/>
      <c r="E289" s="87"/>
      <c r="F289" s="87"/>
      <c r="G289" s="91"/>
      <c r="H289" s="112"/>
      <c r="I289" s="56"/>
      <c r="J289" s="56"/>
      <c r="K289" s="56"/>
      <c r="L289" s="80"/>
      <c r="M289" s="56"/>
      <c r="N289" s="80"/>
      <c r="O289" s="89"/>
      <c r="P289" s="88"/>
      <c r="Q289" s="90"/>
      <c r="R289" s="94"/>
      <c r="S289" s="94"/>
      <c r="T289" s="94"/>
      <c r="U289" s="94"/>
      <c r="V289" s="94"/>
      <c r="W289" s="112"/>
      <c r="X289" s="278" t="s">
        <v>123</v>
      </c>
      <c r="Y289" s="11" t="s">
        <v>65</v>
      </c>
      <c r="Z289" s="1" t="s">
        <v>51</v>
      </c>
      <c r="AA289" s="529">
        <v>12</v>
      </c>
      <c r="AB289" s="33" t="s">
        <v>387</v>
      </c>
      <c r="AC289" s="309">
        <v>200</v>
      </c>
      <c r="AD289" s="168">
        <f t="shared" si="103"/>
        <v>273</v>
      </c>
      <c r="AE289" s="168">
        <f t="shared" si="103"/>
        <v>315</v>
      </c>
      <c r="AF289" s="168">
        <f t="shared" si="103"/>
        <v>302.2</v>
      </c>
      <c r="AG289" s="575">
        <f t="shared" si="94"/>
        <v>0.95936507936507931</v>
      </c>
      <c r="AH289" s="194"/>
      <c r="AI289" s="156"/>
    </row>
    <row r="290" spans="1:35" s="110" customFormat="1" ht="31.5" x14ac:dyDescent="0.25">
      <c r="A290" s="54"/>
      <c r="B290" s="85"/>
      <c r="C290" s="86"/>
      <c r="D290" s="86"/>
      <c r="E290" s="87"/>
      <c r="F290" s="87"/>
      <c r="G290" s="91"/>
      <c r="H290" s="112"/>
      <c r="I290" s="56"/>
      <c r="J290" s="56"/>
      <c r="K290" s="56"/>
      <c r="L290" s="80"/>
      <c r="M290" s="56"/>
      <c r="N290" s="80"/>
      <c r="O290" s="89"/>
      <c r="P290" s="88"/>
      <c r="Q290" s="90"/>
      <c r="R290" s="94"/>
      <c r="S290" s="94"/>
      <c r="T290" s="94"/>
      <c r="U290" s="94"/>
      <c r="V290" s="94"/>
      <c r="W290" s="112"/>
      <c r="X290" s="278" t="s">
        <v>54</v>
      </c>
      <c r="Y290" s="11" t="s">
        <v>65</v>
      </c>
      <c r="Z290" s="1" t="s">
        <v>51</v>
      </c>
      <c r="AA290" s="529">
        <v>12</v>
      </c>
      <c r="AB290" s="33" t="s">
        <v>387</v>
      </c>
      <c r="AC290" s="309">
        <v>240</v>
      </c>
      <c r="AD290" s="168">
        <v>273</v>
      </c>
      <c r="AE290" s="168">
        <v>315</v>
      </c>
      <c r="AF290" s="168">
        <v>302.2</v>
      </c>
      <c r="AG290" s="575">
        <f t="shared" si="94"/>
        <v>0.95936507936507931</v>
      </c>
      <c r="AH290" s="194"/>
      <c r="AI290" s="156"/>
    </row>
    <row r="291" spans="1:35" s="84" customFormat="1" x14ac:dyDescent="0.25">
      <c r="A291" s="118"/>
      <c r="B291" s="76"/>
      <c r="C291" s="78"/>
      <c r="D291" s="78"/>
      <c r="E291" s="79"/>
      <c r="F291" s="78"/>
      <c r="G291" s="83"/>
      <c r="H291" s="119"/>
      <c r="I291" s="120"/>
      <c r="J291" s="120"/>
      <c r="K291" s="120"/>
      <c r="L291" s="80"/>
      <c r="M291" s="120"/>
      <c r="N291" s="80"/>
      <c r="O291" s="121"/>
      <c r="P291" s="80"/>
      <c r="Q291" s="82"/>
      <c r="R291" s="102"/>
      <c r="S291" s="102"/>
      <c r="T291" s="102"/>
      <c r="U291" s="102"/>
      <c r="V291" s="102"/>
      <c r="W291" s="119"/>
      <c r="X291" s="279" t="s">
        <v>3</v>
      </c>
      <c r="Y291" s="199" t="s">
        <v>65</v>
      </c>
      <c r="Z291" s="12" t="s">
        <v>5</v>
      </c>
      <c r="AA291" s="557"/>
      <c r="AB291" s="305"/>
      <c r="AC291" s="314"/>
      <c r="AD291" s="170">
        <f>AD292+AD317+AD305</f>
        <v>116141</v>
      </c>
      <c r="AE291" s="170">
        <f>AE292+AE317+AE305</f>
        <v>116141</v>
      </c>
      <c r="AF291" s="170">
        <f>AF292+AF317+AF305</f>
        <v>90584.5</v>
      </c>
      <c r="AG291" s="574">
        <f t="shared" si="94"/>
        <v>0.77995281597368715</v>
      </c>
      <c r="AH291" s="222"/>
      <c r="AI291" s="156"/>
    </row>
    <row r="292" spans="1:35" s="84" customFormat="1" x14ac:dyDescent="0.25">
      <c r="A292" s="118"/>
      <c r="B292" s="76"/>
      <c r="C292" s="78"/>
      <c r="D292" s="78"/>
      <c r="E292" s="79"/>
      <c r="F292" s="78"/>
      <c r="G292" s="83"/>
      <c r="H292" s="119"/>
      <c r="I292" s="120"/>
      <c r="J292" s="120"/>
      <c r="K292" s="120"/>
      <c r="L292" s="80"/>
      <c r="M292" s="120"/>
      <c r="N292" s="80"/>
      <c r="O292" s="121"/>
      <c r="P292" s="80"/>
      <c r="Q292" s="82"/>
      <c r="R292" s="102"/>
      <c r="S292" s="102"/>
      <c r="T292" s="102"/>
      <c r="U292" s="102"/>
      <c r="V292" s="102"/>
      <c r="W292" s="119"/>
      <c r="X292" s="278" t="s">
        <v>71</v>
      </c>
      <c r="Y292" s="11" t="s">
        <v>65</v>
      </c>
      <c r="Z292" s="1" t="s">
        <v>5</v>
      </c>
      <c r="AA292" s="529" t="s">
        <v>31</v>
      </c>
      <c r="AB292" s="33"/>
      <c r="AC292" s="314"/>
      <c r="AD292" s="168">
        <f>AD293+AD299</f>
        <v>17146.8</v>
      </c>
      <c r="AE292" s="168">
        <f>AE293+AE299</f>
        <v>17146.8</v>
      </c>
      <c r="AF292" s="168">
        <f>AF293+AF299</f>
        <v>17144.3</v>
      </c>
      <c r="AG292" s="575">
        <f t="shared" si="94"/>
        <v>0.99985420020062055</v>
      </c>
      <c r="AH292" s="194"/>
      <c r="AI292" s="156"/>
    </row>
    <row r="293" spans="1:35" s="84" customFormat="1" x14ac:dyDescent="0.25">
      <c r="A293" s="118"/>
      <c r="B293" s="76"/>
      <c r="C293" s="78"/>
      <c r="D293" s="78"/>
      <c r="E293" s="79"/>
      <c r="F293" s="78"/>
      <c r="G293" s="83"/>
      <c r="H293" s="119"/>
      <c r="I293" s="120"/>
      <c r="J293" s="120"/>
      <c r="K293" s="120"/>
      <c r="L293" s="80"/>
      <c r="M293" s="120"/>
      <c r="N293" s="80"/>
      <c r="O293" s="121"/>
      <c r="P293" s="80"/>
      <c r="Q293" s="82"/>
      <c r="R293" s="102"/>
      <c r="S293" s="102"/>
      <c r="T293" s="102"/>
      <c r="U293" s="102"/>
      <c r="V293" s="102"/>
      <c r="W293" s="119"/>
      <c r="X293" s="284" t="s">
        <v>193</v>
      </c>
      <c r="Y293" s="11" t="s">
        <v>65</v>
      </c>
      <c r="Z293" s="1" t="s">
        <v>5</v>
      </c>
      <c r="AA293" s="529" t="s">
        <v>31</v>
      </c>
      <c r="AB293" s="163" t="s">
        <v>115</v>
      </c>
      <c r="AC293" s="314"/>
      <c r="AD293" s="168">
        <f t="shared" ref="AD293:AF297" si="104">AD294</f>
        <v>16150.199999999999</v>
      </c>
      <c r="AE293" s="168">
        <f t="shared" si="104"/>
        <v>16150.199999999999</v>
      </c>
      <c r="AF293" s="168">
        <f t="shared" si="104"/>
        <v>16147.8</v>
      </c>
      <c r="AG293" s="575">
        <f t="shared" si="94"/>
        <v>0.99985139502916376</v>
      </c>
      <c r="AH293" s="194"/>
      <c r="AI293" s="156"/>
    </row>
    <row r="294" spans="1:35" s="84" customFormat="1" x14ac:dyDescent="0.25">
      <c r="A294" s="118"/>
      <c r="B294" s="76"/>
      <c r="C294" s="78"/>
      <c r="D294" s="78"/>
      <c r="E294" s="79"/>
      <c r="F294" s="78"/>
      <c r="G294" s="83"/>
      <c r="H294" s="119"/>
      <c r="I294" s="120"/>
      <c r="J294" s="120"/>
      <c r="K294" s="120"/>
      <c r="L294" s="80"/>
      <c r="M294" s="120"/>
      <c r="N294" s="80"/>
      <c r="O294" s="121"/>
      <c r="P294" s="80"/>
      <c r="Q294" s="82"/>
      <c r="R294" s="102"/>
      <c r="S294" s="102"/>
      <c r="T294" s="102"/>
      <c r="U294" s="102"/>
      <c r="V294" s="102"/>
      <c r="W294" s="119"/>
      <c r="X294" s="299" t="s">
        <v>611</v>
      </c>
      <c r="Y294" s="11" t="s">
        <v>65</v>
      </c>
      <c r="Z294" s="1" t="s">
        <v>5</v>
      </c>
      <c r="AA294" s="529" t="s">
        <v>31</v>
      </c>
      <c r="AB294" s="163" t="s">
        <v>116</v>
      </c>
      <c r="AC294" s="314"/>
      <c r="AD294" s="168">
        <f t="shared" ref="AD294:AF295" si="105">AD295</f>
        <v>16150.199999999999</v>
      </c>
      <c r="AE294" s="168">
        <f t="shared" si="105"/>
        <v>16150.199999999999</v>
      </c>
      <c r="AF294" s="168">
        <f t="shared" si="105"/>
        <v>16147.8</v>
      </c>
      <c r="AG294" s="575">
        <f t="shared" si="94"/>
        <v>0.99985139502916376</v>
      </c>
      <c r="AH294" s="194"/>
      <c r="AI294" s="156"/>
    </row>
    <row r="295" spans="1:35" s="84" customFormat="1" ht="31.5" x14ac:dyDescent="0.25">
      <c r="A295" s="118"/>
      <c r="B295" s="76"/>
      <c r="C295" s="78"/>
      <c r="D295" s="78"/>
      <c r="E295" s="79"/>
      <c r="F295" s="78"/>
      <c r="G295" s="83"/>
      <c r="H295" s="119"/>
      <c r="I295" s="120"/>
      <c r="J295" s="120"/>
      <c r="K295" s="120"/>
      <c r="L295" s="80"/>
      <c r="M295" s="120"/>
      <c r="N295" s="80"/>
      <c r="O295" s="121"/>
      <c r="P295" s="80"/>
      <c r="Q295" s="82"/>
      <c r="R295" s="102"/>
      <c r="S295" s="102"/>
      <c r="T295" s="102"/>
      <c r="U295" s="102"/>
      <c r="V295" s="102"/>
      <c r="W295" s="119"/>
      <c r="X295" s="282" t="s">
        <v>189</v>
      </c>
      <c r="Y295" s="11" t="s">
        <v>65</v>
      </c>
      <c r="Z295" s="1" t="s">
        <v>5</v>
      </c>
      <c r="AA295" s="529" t="s">
        <v>31</v>
      </c>
      <c r="AB295" s="163" t="s">
        <v>190</v>
      </c>
      <c r="AC295" s="314"/>
      <c r="AD295" s="168">
        <f t="shared" si="105"/>
        <v>16150.199999999999</v>
      </c>
      <c r="AE295" s="168">
        <f t="shared" si="105"/>
        <v>16150.199999999999</v>
      </c>
      <c r="AF295" s="168">
        <f t="shared" si="105"/>
        <v>16147.8</v>
      </c>
      <c r="AG295" s="575">
        <f t="shared" si="94"/>
        <v>0.99985139502916376</v>
      </c>
      <c r="AH295" s="194"/>
      <c r="AI295" s="156"/>
    </row>
    <row r="296" spans="1:35" s="84" customFormat="1" ht="22.15" customHeight="1" x14ac:dyDescent="0.25">
      <c r="A296" s="149" t="s">
        <v>191</v>
      </c>
      <c r="B296" s="11" t="s">
        <v>61</v>
      </c>
      <c r="C296" s="1" t="s">
        <v>31</v>
      </c>
      <c r="D296" s="1">
        <v>13</v>
      </c>
      <c r="E296" s="146" t="s">
        <v>192</v>
      </c>
      <c r="F296" s="78"/>
      <c r="G296" s="83"/>
      <c r="H296" s="119"/>
      <c r="I296" s="120"/>
      <c r="J296" s="120"/>
      <c r="K296" s="120"/>
      <c r="L296" s="80"/>
      <c r="M296" s="120"/>
      <c r="N296" s="80"/>
      <c r="O296" s="121"/>
      <c r="P296" s="80"/>
      <c r="Q296" s="82"/>
      <c r="R296" s="102"/>
      <c r="S296" s="102"/>
      <c r="T296" s="102"/>
      <c r="U296" s="102"/>
      <c r="V296" s="102"/>
      <c r="W296" s="119"/>
      <c r="X296" s="283" t="s">
        <v>488</v>
      </c>
      <c r="Y296" s="11" t="s">
        <v>65</v>
      </c>
      <c r="Z296" s="1" t="s">
        <v>5</v>
      </c>
      <c r="AA296" s="529" t="s">
        <v>31</v>
      </c>
      <c r="AB296" s="163" t="s">
        <v>421</v>
      </c>
      <c r="AC296" s="314"/>
      <c r="AD296" s="168">
        <f t="shared" si="104"/>
        <v>16150.199999999999</v>
      </c>
      <c r="AE296" s="168">
        <f t="shared" si="104"/>
        <v>16150.199999999999</v>
      </c>
      <c r="AF296" s="168">
        <f t="shared" si="104"/>
        <v>16147.8</v>
      </c>
      <c r="AG296" s="575">
        <f t="shared" si="94"/>
        <v>0.99985139502916376</v>
      </c>
      <c r="AH296" s="194"/>
      <c r="AI296" s="156"/>
    </row>
    <row r="297" spans="1:35" s="84" customFormat="1" x14ac:dyDescent="0.25">
      <c r="A297" s="118"/>
      <c r="B297" s="76"/>
      <c r="C297" s="78"/>
      <c r="D297" s="78"/>
      <c r="E297" s="79"/>
      <c r="F297" s="78"/>
      <c r="G297" s="83"/>
      <c r="H297" s="119"/>
      <c r="I297" s="120"/>
      <c r="J297" s="120"/>
      <c r="K297" s="120"/>
      <c r="L297" s="80"/>
      <c r="M297" s="120"/>
      <c r="N297" s="80"/>
      <c r="O297" s="121"/>
      <c r="P297" s="80"/>
      <c r="Q297" s="82"/>
      <c r="R297" s="102"/>
      <c r="S297" s="102"/>
      <c r="T297" s="102"/>
      <c r="U297" s="102"/>
      <c r="V297" s="102"/>
      <c r="W297" s="119"/>
      <c r="X297" s="278" t="s">
        <v>123</v>
      </c>
      <c r="Y297" s="11" t="s">
        <v>65</v>
      </c>
      <c r="Z297" s="1" t="s">
        <v>5</v>
      </c>
      <c r="AA297" s="529" t="s">
        <v>31</v>
      </c>
      <c r="AB297" s="163" t="s">
        <v>421</v>
      </c>
      <c r="AC297" s="320">
        <v>200</v>
      </c>
      <c r="AD297" s="168">
        <f t="shared" si="104"/>
        <v>16150.199999999999</v>
      </c>
      <c r="AE297" s="168">
        <f t="shared" si="104"/>
        <v>16150.199999999999</v>
      </c>
      <c r="AF297" s="168">
        <f t="shared" si="104"/>
        <v>16147.8</v>
      </c>
      <c r="AG297" s="575">
        <f t="shared" si="94"/>
        <v>0.99985139502916376</v>
      </c>
      <c r="AH297" s="194"/>
      <c r="AI297" s="156"/>
    </row>
    <row r="298" spans="1:35" s="84" customFormat="1" ht="31.5" x14ac:dyDescent="0.25">
      <c r="A298" s="118"/>
      <c r="B298" s="76"/>
      <c r="C298" s="78"/>
      <c r="D298" s="78"/>
      <c r="E298" s="79"/>
      <c r="F298" s="78"/>
      <c r="G298" s="83"/>
      <c r="H298" s="119"/>
      <c r="I298" s="120"/>
      <c r="J298" s="120"/>
      <c r="K298" s="120"/>
      <c r="L298" s="80"/>
      <c r="M298" s="120"/>
      <c r="N298" s="80"/>
      <c r="O298" s="121"/>
      <c r="P298" s="80"/>
      <c r="Q298" s="82"/>
      <c r="R298" s="102"/>
      <c r="S298" s="102"/>
      <c r="T298" s="102"/>
      <c r="U298" s="102"/>
      <c r="V298" s="102"/>
      <c r="W298" s="119"/>
      <c r="X298" s="278" t="s">
        <v>54</v>
      </c>
      <c r="Y298" s="11" t="s">
        <v>65</v>
      </c>
      <c r="Z298" s="1" t="s">
        <v>5</v>
      </c>
      <c r="AA298" s="529" t="s">
        <v>31</v>
      </c>
      <c r="AB298" s="163" t="s">
        <v>421</v>
      </c>
      <c r="AC298" s="320">
        <v>240</v>
      </c>
      <c r="AD298" s="168">
        <f>11410+1790.9+4368.4-1419.1</f>
        <v>16150.199999999999</v>
      </c>
      <c r="AE298" s="168">
        <f>11410+1790.9+4368.4-1419.1</f>
        <v>16150.199999999999</v>
      </c>
      <c r="AF298" s="168">
        <v>16147.8</v>
      </c>
      <c r="AG298" s="575">
        <f t="shared" si="94"/>
        <v>0.99985139502916376</v>
      </c>
      <c r="AH298" s="194"/>
      <c r="AI298" s="156"/>
    </row>
    <row r="299" spans="1:35" s="125" customFormat="1" x14ac:dyDescent="0.25">
      <c r="A299" s="122"/>
      <c r="B299" s="123"/>
      <c r="C299" s="124"/>
      <c r="D299" s="124"/>
      <c r="E299" s="124"/>
      <c r="F299" s="124"/>
      <c r="G299" s="124"/>
      <c r="I299" s="126"/>
      <c r="J299" s="126"/>
      <c r="K299" s="126"/>
      <c r="L299" s="126"/>
      <c r="M299" s="126"/>
      <c r="N299" s="126"/>
      <c r="O299" s="127"/>
      <c r="P299" s="128"/>
      <c r="R299" s="129"/>
      <c r="S299" s="130"/>
      <c r="W299" s="131"/>
      <c r="X299" s="284" t="s">
        <v>255</v>
      </c>
      <c r="Y299" s="11" t="s">
        <v>65</v>
      </c>
      <c r="Z299" s="1" t="s">
        <v>5</v>
      </c>
      <c r="AA299" s="529" t="s">
        <v>31</v>
      </c>
      <c r="AB299" s="163" t="s">
        <v>256</v>
      </c>
      <c r="AC299" s="311"/>
      <c r="AD299" s="168">
        <f>AD300</f>
        <v>996.59999999999991</v>
      </c>
      <c r="AE299" s="168">
        <f t="shared" ref="AE299:AF299" si="106">AE300</f>
        <v>996.59999999999991</v>
      </c>
      <c r="AF299" s="168">
        <f t="shared" si="106"/>
        <v>996.5</v>
      </c>
      <c r="AG299" s="575">
        <f t="shared" si="94"/>
        <v>0.99989965884005627</v>
      </c>
      <c r="AH299" s="194"/>
      <c r="AI299" s="156"/>
    </row>
    <row r="300" spans="1:35" s="125" customFormat="1" ht="31.5" x14ac:dyDescent="0.25">
      <c r="A300" s="122"/>
      <c r="B300" s="123"/>
      <c r="C300" s="124"/>
      <c r="D300" s="124"/>
      <c r="E300" s="124"/>
      <c r="F300" s="124"/>
      <c r="G300" s="124"/>
      <c r="I300" s="126"/>
      <c r="J300" s="126"/>
      <c r="K300" s="126"/>
      <c r="L300" s="126"/>
      <c r="M300" s="126"/>
      <c r="N300" s="126"/>
      <c r="O300" s="127"/>
      <c r="P300" s="128"/>
      <c r="R300" s="129"/>
      <c r="S300" s="130"/>
      <c r="W300" s="131"/>
      <c r="X300" s="299" t="s">
        <v>626</v>
      </c>
      <c r="Y300" s="11" t="s">
        <v>65</v>
      </c>
      <c r="Z300" s="1" t="s">
        <v>5</v>
      </c>
      <c r="AA300" s="529" t="s">
        <v>31</v>
      </c>
      <c r="AB300" s="163" t="s">
        <v>257</v>
      </c>
      <c r="AC300" s="311"/>
      <c r="AD300" s="168">
        <f>AD301</f>
        <v>996.59999999999991</v>
      </c>
      <c r="AE300" s="168">
        <f>AE301</f>
        <v>996.59999999999991</v>
      </c>
      <c r="AF300" s="168">
        <f t="shared" ref="AF300:AF301" si="107">AF301</f>
        <v>996.5</v>
      </c>
      <c r="AG300" s="575">
        <f t="shared" si="94"/>
        <v>0.99989965884005627</v>
      </c>
      <c r="AH300" s="194"/>
      <c r="AI300" s="156"/>
    </row>
    <row r="301" spans="1:35" s="125" customFormat="1" ht="31.5" x14ac:dyDescent="0.25">
      <c r="A301" s="122"/>
      <c r="B301" s="123"/>
      <c r="C301" s="124"/>
      <c r="D301" s="124"/>
      <c r="E301" s="124"/>
      <c r="F301" s="124"/>
      <c r="G301" s="124"/>
      <c r="I301" s="126"/>
      <c r="J301" s="126"/>
      <c r="K301" s="126"/>
      <c r="L301" s="126"/>
      <c r="M301" s="126"/>
      <c r="N301" s="126"/>
      <c r="O301" s="127"/>
      <c r="P301" s="128"/>
      <c r="R301" s="129"/>
      <c r="S301" s="130"/>
      <c r="W301" s="131"/>
      <c r="X301" s="282" t="s">
        <v>343</v>
      </c>
      <c r="Y301" s="11" t="s">
        <v>65</v>
      </c>
      <c r="Z301" s="1" t="s">
        <v>5</v>
      </c>
      <c r="AA301" s="529" t="s">
        <v>31</v>
      </c>
      <c r="AB301" s="163" t="s">
        <v>628</v>
      </c>
      <c r="AC301" s="311"/>
      <c r="AD301" s="168">
        <f>AD302</f>
        <v>996.59999999999991</v>
      </c>
      <c r="AE301" s="168">
        <f>AE302</f>
        <v>996.59999999999991</v>
      </c>
      <c r="AF301" s="168">
        <f t="shared" si="107"/>
        <v>996.5</v>
      </c>
      <c r="AG301" s="575">
        <f t="shared" si="94"/>
        <v>0.99989965884005627</v>
      </c>
      <c r="AH301" s="194"/>
      <c r="AI301" s="156"/>
    </row>
    <row r="302" spans="1:35" s="125" customFormat="1" x14ac:dyDescent="0.25">
      <c r="A302" s="122"/>
      <c r="B302" s="123"/>
      <c r="C302" s="124"/>
      <c r="D302" s="124"/>
      <c r="E302" s="124"/>
      <c r="F302" s="124"/>
      <c r="G302" s="124"/>
      <c r="I302" s="126"/>
      <c r="J302" s="126"/>
      <c r="K302" s="126"/>
      <c r="L302" s="126"/>
      <c r="M302" s="126"/>
      <c r="N302" s="126"/>
      <c r="O302" s="127"/>
      <c r="P302" s="128"/>
      <c r="R302" s="129"/>
      <c r="S302" s="130"/>
      <c r="W302" s="131"/>
      <c r="X302" s="282" t="s">
        <v>748</v>
      </c>
      <c r="Y302" s="11" t="s">
        <v>65</v>
      </c>
      <c r="Z302" s="1" t="s">
        <v>5</v>
      </c>
      <c r="AA302" s="529" t="s">
        <v>31</v>
      </c>
      <c r="AB302" s="163" t="s">
        <v>749</v>
      </c>
      <c r="AC302" s="311"/>
      <c r="AD302" s="168">
        <f t="shared" ref="AD302:AF303" si="108">AD303</f>
        <v>996.59999999999991</v>
      </c>
      <c r="AE302" s="168">
        <f t="shared" si="108"/>
        <v>996.59999999999991</v>
      </c>
      <c r="AF302" s="168">
        <f t="shared" si="108"/>
        <v>996.5</v>
      </c>
      <c r="AG302" s="575">
        <f t="shared" si="94"/>
        <v>0.99989965884005627</v>
      </c>
      <c r="AH302" s="194"/>
      <c r="AI302" s="156"/>
    </row>
    <row r="303" spans="1:35" s="125" customFormat="1" x14ac:dyDescent="0.25">
      <c r="A303" s="122"/>
      <c r="B303" s="123"/>
      <c r="C303" s="124"/>
      <c r="D303" s="124"/>
      <c r="E303" s="124"/>
      <c r="F303" s="124"/>
      <c r="G303" s="124"/>
      <c r="I303" s="126"/>
      <c r="J303" s="126"/>
      <c r="K303" s="126"/>
      <c r="L303" s="126"/>
      <c r="M303" s="126"/>
      <c r="N303" s="126"/>
      <c r="O303" s="127"/>
      <c r="P303" s="128"/>
      <c r="R303" s="129"/>
      <c r="S303" s="130"/>
      <c r="W303" s="131"/>
      <c r="X303" s="278" t="s">
        <v>44</v>
      </c>
      <c r="Y303" s="11" t="s">
        <v>65</v>
      </c>
      <c r="Z303" s="1" t="s">
        <v>5</v>
      </c>
      <c r="AA303" s="529" t="s">
        <v>31</v>
      </c>
      <c r="AB303" s="163" t="s">
        <v>749</v>
      </c>
      <c r="AC303" s="317" t="s">
        <v>373</v>
      </c>
      <c r="AD303" s="168">
        <f t="shared" si="108"/>
        <v>996.59999999999991</v>
      </c>
      <c r="AE303" s="168">
        <f t="shared" si="108"/>
        <v>996.59999999999991</v>
      </c>
      <c r="AF303" s="168">
        <f t="shared" si="108"/>
        <v>996.5</v>
      </c>
      <c r="AG303" s="575">
        <f t="shared" si="94"/>
        <v>0.99989965884005627</v>
      </c>
      <c r="AH303" s="194"/>
      <c r="AI303" s="156"/>
    </row>
    <row r="304" spans="1:35" s="125" customFormat="1" ht="31.5" x14ac:dyDescent="0.25">
      <c r="A304" s="122"/>
      <c r="B304" s="123"/>
      <c r="C304" s="124"/>
      <c r="D304" s="124"/>
      <c r="E304" s="124"/>
      <c r="F304" s="124"/>
      <c r="G304" s="124"/>
      <c r="I304" s="126"/>
      <c r="J304" s="126"/>
      <c r="K304" s="126"/>
      <c r="L304" s="126"/>
      <c r="M304" s="126"/>
      <c r="N304" s="126"/>
      <c r="O304" s="127"/>
      <c r="P304" s="128"/>
      <c r="R304" s="129"/>
      <c r="S304" s="130"/>
      <c r="W304" s="131"/>
      <c r="X304" s="278" t="s">
        <v>124</v>
      </c>
      <c r="Y304" s="11" t="s">
        <v>65</v>
      </c>
      <c r="Z304" s="1" t="s">
        <v>5</v>
      </c>
      <c r="AA304" s="529" t="s">
        <v>31</v>
      </c>
      <c r="AB304" s="163" t="s">
        <v>749</v>
      </c>
      <c r="AC304" s="317" t="s">
        <v>374</v>
      </c>
      <c r="AD304" s="168">
        <f>1020.8-24.2</f>
        <v>996.59999999999991</v>
      </c>
      <c r="AE304" s="168">
        <f>1020.8-24.2</f>
        <v>996.59999999999991</v>
      </c>
      <c r="AF304" s="168">
        <v>996.5</v>
      </c>
      <c r="AG304" s="575">
        <f t="shared" si="94"/>
        <v>0.99989965884005627</v>
      </c>
      <c r="AH304" s="194"/>
      <c r="AI304" s="156"/>
    </row>
    <row r="305" spans="1:35" s="125" customFormat="1" x14ac:dyDescent="0.25">
      <c r="A305" s="122"/>
      <c r="B305" s="123"/>
      <c r="C305" s="124"/>
      <c r="D305" s="124"/>
      <c r="E305" s="124"/>
      <c r="F305" s="124"/>
      <c r="G305" s="124"/>
      <c r="I305" s="126"/>
      <c r="J305" s="126"/>
      <c r="K305" s="126"/>
      <c r="L305" s="126"/>
      <c r="M305" s="126"/>
      <c r="N305" s="126"/>
      <c r="O305" s="127"/>
      <c r="P305" s="128"/>
      <c r="R305" s="129"/>
      <c r="S305" s="130"/>
      <c r="W305" s="131"/>
      <c r="X305" s="278" t="s">
        <v>345</v>
      </c>
      <c r="Y305" s="11" t="s">
        <v>65</v>
      </c>
      <c r="Z305" s="1" t="s">
        <v>5</v>
      </c>
      <c r="AA305" s="529" t="s">
        <v>32</v>
      </c>
      <c r="AB305" s="311"/>
      <c r="AC305" s="317"/>
      <c r="AD305" s="168">
        <f>AD306</f>
        <v>35000</v>
      </c>
      <c r="AE305" s="168">
        <f>AE306</f>
        <v>35000</v>
      </c>
      <c r="AF305" s="168">
        <f>AF306</f>
        <v>10000</v>
      </c>
      <c r="AG305" s="575">
        <f t="shared" si="94"/>
        <v>0.2857142857142857</v>
      </c>
      <c r="AH305" s="194"/>
      <c r="AI305" s="156"/>
    </row>
    <row r="306" spans="1:35" s="125" customFormat="1" ht="31.5" x14ac:dyDescent="0.25">
      <c r="A306" s="122"/>
      <c r="B306" s="123"/>
      <c r="C306" s="124"/>
      <c r="D306" s="124"/>
      <c r="E306" s="124"/>
      <c r="F306" s="124"/>
      <c r="G306" s="124"/>
      <c r="I306" s="126"/>
      <c r="J306" s="126"/>
      <c r="K306" s="126"/>
      <c r="L306" s="126"/>
      <c r="M306" s="126"/>
      <c r="N306" s="126"/>
      <c r="O306" s="127"/>
      <c r="P306" s="128"/>
      <c r="R306" s="129"/>
      <c r="S306" s="130"/>
      <c r="W306" s="131"/>
      <c r="X306" s="299" t="s">
        <v>685</v>
      </c>
      <c r="Y306" s="11" t="s">
        <v>65</v>
      </c>
      <c r="Z306" s="1" t="s">
        <v>5</v>
      </c>
      <c r="AA306" s="529" t="s">
        <v>32</v>
      </c>
      <c r="AB306" s="163" t="s">
        <v>114</v>
      </c>
      <c r="AC306" s="317"/>
      <c r="AD306" s="168">
        <f>AD307+AD312</f>
        <v>35000</v>
      </c>
      <c r="AE306" s="168">
        <f>AE307+AE312</f>
        <v>35000</v>
      </c>
      <c r="AF306" s="168">
        <f t="shared" ref="AF306" si="109">AF307+AF312</f>
        <v>10000</v>
      </c>
      <c r="AG306" s="575">
        <f t="shared" si="94"/>
        <v>0.2857142857142857</v>
      </c>
      <c r="AH306" s="194"/>
      <c r="AI306" s="156"/>
    </row>
    <row r="307" spans="1:35" s="125" customFormat="1" x14ac:dyDescent="0.25">
      <c r="A307" s="122"/>
      <c r="B307" s="123"/>
      <c r="C307" s="124"/>
      <c r="D307" s="124"/>
      <c r="E307" s="124"/>
      <c r="F307" s="124"/>
      <c r="G307" s="124"/>
      <c r="I307" s="126"/>
      <c r="J307" s="126"/>
      <c r="K307" s="126"/>
      <c r="L307" s="126"/>
      <c r="M307" s="126"/>
      <c r="N307" s="126"/>
      <c r="O307" s="127"/>
      <c r="P307" s="128"/>
      <c r="R307" s="129"/>
      <c r="S307" s="130"/>
      <c r="W307" s="131"/>
      <c r="X307" s="278" t="s">
        <v>609</v>
      </c>
      <c r="Y307" s="493" t="s">
        <v>65</v>
      </c>
      <c r="Z307" s="494" t="s">
        <v>5</v>
      </c>
      <c r="AA307" s="560" t="s">
        <v>32</v>
      </c>
      <c r="AB307" s="334" t="s">
        <v>483</v>
      </c>
      <c r="AC307" s="495"/>
      <c r="AD307" s="496">
        <f t="shared" ref="AD307:AE310" si="110">AD308</f>
        <v>25000</v>
      </c>
      <c r="AE307" s="496">
        <f t="shared" si="110"/>
        <v>25000</v>
      </c>
      <c r="AF307" s="496">
        <f t="shared" ref="AF307" si="111">AF308</f>
        <v>0</v>
      </c>
      <c r="AG307" s="575">
        <f t="shared" si="94"/>
        <v>0</v>
      </c>
      <c r="AH307" s="194"/>
      <c r="AI307" s="156"/>
    </row>
    <row r="308" spans="1:35" s="125" customFormat="1" ht="35.450000000000003" customHeight="1" x14ac:dyDescent="0.25">
      <c r="A308" s="122"/>
      <c r="B308" s="123"/>
      <c r="C308" s="124"/>
      <c r="D308" s="124"/>
      <c r="E308" s="124"/>
      <c r="F308" s="124"/>
      <c r="G308" s="124"/>
      <c r="I308" s="126"/>
      <c r="J308" s="126"/>
      <c r="K308" s="126"/>
      <c r="L308" s="126"/>
      <c r="M308" s="126"/>
      <c r="N308" s="126"/>
      <c r="O308" s="127"/>
      <c r="P308" s="128"/>
      <c r="R308" s="129"/>
      <c r="S308" s="130"/>
      <c r="W308" s="131"/>
      <c r="X308" s="278" t="s">
        <v>610</v>
      </c>
      <c r="Y308" s="11" t="s">
        <v>65</v>
      </c>
      <c r="Z308" s="1" t="s">
        <v>5</v>
      </c>
      <c r="AA308" s="529" t="s">
        <v>32</v>
      </c>
      <c r="AB308" s="163" t="s">
        <v>485</v>
      </c>
      <c r="AC308" s="317"/>
      <c r="AD308" s="168">
        <f t="shared" si="110"/>
        <v>25000</v>
      </c>
      <c r="AE308" s="168">
        <f t="shared" si="110"/>
        <v>25000</v>
      </c>
      <c r="AF308" s="168">
        <f>AF309</f>
        <v>0</v>
      </c>
      <c r="AG308" s="575">
        <f t="shared" si="94"/>
        <v>0</v>
      </c>
      <c r="AH308" s="194"/>
      <c r="AI308" s="156"/>
    </row>
    <row r="309" spans="1:35" s="125" customFormat="1" ht="25.9" customHeight="1" x14ac:dyDescent="0.25">
      <c r="A309" s="122"/>
      <c r="B309" s="123"/>
      <c r="C309" s="124"/>
      <c r="D309" s="124"/>
      <c r="E309" s="124"/>
      <c r="F309" s="124"/>
      <c r="G309" s="124"/>
      <c r="I309" s="126"/>
      <c r="J309" s="126"/>
      <c r="K309" s="126"/>
      <c r="L309" s="126"/>
      <c r="M309" s="126"/>
      <c r="N309" s="126"/>
      <c r="O309" s="127"/>
      <c r="P309" s="128"/>
      <c r="R309" s="129"/>
      <c r="S309" s="130"/>
      <c r="W309" s="131"/>
      <c r="X309" s="278" t="s">
        <v>435</v>
      </c>
      <c r="Y309" s="11" t="s">
        <v>65</v>
      </c>
      <c r="Z309" s="1" t="s">
        <v>5</v>
      </c>
      <c r="AA309" s="529" t="s">
        <v>32</v>
      </c>
      <c r="AB309" s="163" t="s">
        <v>640</v>
      </c>
      <c r="AC309" s="317"/>
      <c r="AD309" s="168">
        <f t="shared" si="110"/>
        <v>25000</v>
      </c>
      <c r="AE309" s="168">
        <f t="shared" si="110"/>
        <v>25000</v>
      </c>
      <c r="AF309" s="168">
        <f t="shared" ref="AF309" si="112">AF310</f>
        <v>0</v>
      </c>
      <c r="AG309" s="575">
        <f t="shared" si="94"/>
        <v>0</v>
      </c>
      <c r="AH309" s="194"/>
      <c r="AI309" s="156"/>
    </row>
    <row r="310" spans="1:35" s="125" customFormat="1" x14ac:dyDescent="0.25">
      <c r="A310" s="122"/>
      <c r="B310" s="123"/>
      <c r="C310" s="124"/>
      <c r="D310" s="124"/>
      <c r="E310" s="124"/>
      <c r="F310" s="124"/>
      <c r="G310" s="124"/>
      <c r="I310" s="126"/>
      <c r="J310" s="126"/>
      <c r="K310" s="126"/>
      <c r="L310" s="126"/>
      <c r="M310" s="126"/>
      <c r="N310" s="126"/>
      <c r="O310" s="127"/>
      <c r="P310" s="128"/>
      <c r="R310" s="129"/>
      <c r="S310" s="130"/>
      <c r="W310" s="131"/>
      <c r="X310" s="278" t="s">
        <v>44</v>
      </c>
      <c r="Y310" s="11" t="s">
        <v>65</v>
      </c>
      <c r="Z310" s="1" t="s">
        <v>5</v>
      </c>
      <c r="AA310" s="529" t="s">
        <v>32</v>
      </c>
      <c r="AB310" s="163" t="s">
        <v>640</v>
      </c>
      <c r="AC310" s="320">
        <v>800</v>
      </c>
      <c r="AD310" s="168">
        <f t="shared" si="110"/>
        <v>25000</v>
      </c>
      <c r="AE310" s="168">
        <f t="shared" si="110"/>
        <v>25000</v>
      </c>
      <c r="AF310" s="168">
        <f>AF311</f>
        <v>0</v>
      </c>
      <c r="AG310" s="575">
        <f t="shared" si="94"/>
        <v>0</v>
      </c>
      <c r="AH310" s="194"/>
      <c r="AI310" s="156"/>
    </row>
    <row r="311" spans="1:35" s="125" customFormat="1" ht="31.5" x14ac:dyDescent="0.25">
      <c r="A311" s="122"/>
      <c r="B311" s="123"/>
      <c r="C311" s="124"/>
      <c r="D311" s="124"/>
      <c r="E311" s="124"/>
      <c r="F311" s="124"/>
      <c r="G311" s="124"/>
      <c r="I311" s="126"/>
      <c r="J311" s="126"/>
      <c r="K311" s="126"/>
      <c r="L311" s="126"/>
      <c r="M311" s="126"/>
      <c r="N311" s="126"/>
      <c r="O311" s="127"/>
      <c r="P311" s="128"/>
      <c r="R311" s="129"/>
      <c r="S311" s="130"/>
      <c r="W311" s="131"/>
      <c r="X311" s="278" t="s">
        <v>124</v>
      </c>
      <c r="Y311" s="11" t="s">
        <v>65</v>
      </c>
      <c r="Z311" s="1" t="s">
        <v>5</v>
      </c>
      <c r="AA311" s="529" t="s">
        <v>32</v>
      </c>
      <c r="AB311" s="163" t="s">
        <v>640</v>
      </c>
      <c r="AC311" s="320">
        <v>810</v>
      </c>
      <c r="AD311" s="168">
        <v>25000</v>
      </c>
      <c r="AE311" s="168">
        <v>25000</v>
      </c>
      <c r="AF311" s="168">
        <v>0</v>
      </c>
      <c r="AG311" s="575">
        <f t="shared" si="94"/>
        <v>0</v>
      </c>
      <c r="AH311" s="194"/>
      <c r="AI311" s="156"/>
    </row>
    <row r="312" spans="1:35" s="125" customFormat="1" x14ac:dyDescent="0.25">
      <c r="A312" s="122"/>
      <c r="B312" s="123"/>
      <c r="C312" s="124"/>
      <c r="D312" s="124"/>
      <c r="E312" s="124"/>
      <c r="F312" s="124"/>
      <c r="G312" s="124"/>
      <c r="I312" s="126"/>
      <c r="J312" s="126"/>
      <c r="K312" s="126"/>
      <c r="L312" s="126"/>
      <c r="M312" s="126"/>
      <c r="N312" s="126"/>
      <c r="O312" s="127"/>
      <c r="P312" s="128"/>
      <c r="R312" s="129"/>
      <c r="S312" s="130"/>
      <c r="W312" s="131"/>
      <c r="X312" s="297" t="s">
        <v>354</v>
      </c>
      <c r="Y312" s="11" t="s">
        <v>65</v>
      </c>
      <c r="Z312" s="1" t="s">
        <v>5</v>
      </c>
      <c r="AA312" s="529" t="s">
        <v>32</v>
      </c>
      <c r="AB312" s="308" t="s">
        <v>140</v>
      </c>
      <c r="AC312" s="320"/>
      <c r="AD312" s="168">
        <f t="shared" ref="AD312:AE315" si="113">AD313</f>
        <v>10000</v>
      </c>
      <c r="AE312" s="168">
        <f t="shared" si="113"/>
        <v>10000</v>
      </c>
      <c r="AF312" s="168">
        <f t="shared" ref="AF312:AF315" si="114">AF313</f>
        <v>10000</v>
      </c>
      <c r="AG312" s="575">
        <f t="shared" si="94"/>
        <v>1</v>
      </c>
      <c r="AH312" s="194"/>
      <c r="AI312" s="156"/>
    </row>
    <row r="313" spans="1:35" s="125" customFormat="1" x14ac:dyDescent="0.25">
      <c r="A313" s="122"/>
      <c r="B313" s="123"/>
      <c r="C313" s="124"/>
      <c r="D313" s="124"/>
      <c r="E313" s="124"/>
      <c r="F313" s="124"/>
      <c r="G313" s="124"/>
      <c r="I313" s="126"/>
      <c r="J313" s="126"/>
      <c r="K313" s="126"/>
      <c r="L313" s="126"/>
      <c r="M313" s="126"/>
      <c r="N313" s="126"/>
      <c r="O313" s="127"/>
      <c r="P313" s="128"/>
      <c r="R313" s="129"/>
      <c r="S313" s="130"/>
      <c r="W313" s="131"/>
      <c r="X313" s="278" t="s">
        <v>470</v>
      </c>
      <c r="Y313" s="11" t="s">
        <v>65</v>
      </c>
      <c r="Z313" s="1" t="s">
        <v>5</v>
      </c>
      <c r="AA313" s="529" t="s">
        <v>32</v>
      </c>
      <c r="AB313" s="308" t="s">
        <v>471</v>
      </c>
      <c r="AC313" s="320"/>
      <c r="AD313" s="168">
        <f t="shared" si="113"/>
        <v>10000</v>
      </c>
      <c r="AE313" s="168">
        <f t="shared" si="113"/>
        <v>10000</v>
      </c>
      <c r="AF313" s="168">
        <f t="shared" si="114"/>
        <v>10000</v>
      </c>
      <c r="AG313" s="575">
        <f t="shared" si="94"/>
        <v>1</v>
      </c>
      <c r="AH313" s="194"/>
      <c r="AI313" s="156"/>
    </row>
    <row r="314" spans="1:35" s="125" customFormat="1" ht="47.25" x14ac:dyDescent="0.25">
      <c r="A314" s="122"/>
      <c r="B314" s="123"/>
      <c r="C314" s="124"/>
      <c r="D314" s="124"/>
      <c r="E314" s="124"/>
      <c r="F314" s="124"/>
      <c r="G314" s="124"/>
      <c r="I314" s="126"/>
      <c r="J314" s="126"/>
      <c r="K314" s="126"/>
      <c r="L314" s="126"/>
      <c r="M314" s="126"/>
      <c r="N314" s="126"/>
      <c r="O314" s="127"/>
      <c r="P314" s="128"/>
      <c r="R314" s="129"/>
      <c r="S314" s="130"/>
      <c r="W314" s="131"/>
      <c r="X314" s="278" t="s">
        <v>788</v>
      </c>
      <c r="Y314" s="11" t="s">
        <v>65</v>
      </c>
      <c r="Z314" s="1" t="s">
        <v>5</v>
      </c>
      <c r="AA314" s="529" t="s">
        <v>32</v>
      </c>
      <c r="AB314" s="308" t="s">
        <v>787</v>
      </c>
      <c r="AC314" s="320"/>
      <c r="AD314" s="168">
        <f t="shared" si="113"/>
        <v>10000</v>
      </c>
      <c r="AE314" s="168">
        <f t="shared" si="113"/>
        <v>10000</v>
      </c>
      <c r="AF314" s="168">
        <f t="shared" si="114"/>
        <v>10000</v>
      </c>
      <c r="AG314" s="575">
        <f t="shared" si="94"/>
        <v>1</v>
      </c>
      <c r="AH314" s="194"/>
      <c r="AI314" s="156"/>
    </row>
    <row r="315" spans="1:35" s="125" customFormat="1" x14ac:dyDescent="0.25">
      <c r="A315" s="122"/>
      <c r="B315" s="123"/>
      <c r="C315" s="124"/>
      <c r="D315" s="124"/>
      <c r="E315" s="124"/>
      <c r="F315" s="124"/>
      <c r="G315" s="124"/>
      <c r="I315" s="126"/>
      <c r="J315" s="126"/>
      <c r="K315" s="126"/>
      <c r="L315" s="126"/>
      <c r="M315" s="126"/>
      <c r="N315" s="126"/>
      <c r="O315" s="127"/>
      <c r="P315" s="128"/>
      <c r="R315" s="129"/>
      <c r="S315" s="130"/>
      <c r="W315" s="131"/>
      <c r="X315" s="278" t="s">
        <v>44</v>
      </c>
      <c r="Y315" s="11" t="s">
        <v>65</v>
      </c>
      <c r="Z315" s="1" t="s">
        <v>5</v>
      </c>
      <c r="AA315" s="529" t="s">
        <v>32</v>
      </c>
      <c r="AB315" s="308" t="s">
        <v>787</v>
      </c>
      <c r="AC315" s="320">
        <v>800</v>
      </c>
      <c r="AD315" s="168">
        <f t="shared" si="113"/>
        <v>10000</v>
      </c>
      <c r="AE315" s="168">
        <f t="shared" si="113"/>
        <v>10000</v>
      </c>
      <c r="AF315" s="168">
        <f t="shared" si="114"/>
        <v>10000</v>
      </c>
      <c r="AG315" s="575">
        <f t="shared" si="94"/>
        <v>1</v>
      </c>
      <c r="AH315" s="194"/>
      <c r="AI315" s="156"/>
    </row>
    <row r="316" spans="1:35" s="125" customFormat="1" ht="31.5" x14ac:dyDescent="0.25">
      <c r="A316" s="122"/>
      <c r="B316" s="123"/>
      <c r="C316" s="124"/>
      <c r="D316" s="124"/>
      <c r="E316" s="124"/>
      <c r="F316" s="124"/>
      <c r="G316" s="124"/>
      <c r="I316" s="126"/>
      <c r="J316" s="126"/>
      <c r="K316" s="126"/>
      <c r="L316" s="126"/>
      <c r="M316" s="126"/>
      <c r="N316" s="126"/>
      <c r="O316" s="127"/>
      <c r="P316" s="128"/>
      <c r="R316" s="129"/>
      <c r="S316" s="130"/>
      <c r="W316" s="131"/>
      <c r="X316" s="278" t="s">
        <v>124</v>
      </c>
      <c r="Y316" s="11" t="s">
        <v>65</v>
      </c>
      <c r="Z316" s="1" t="s">
        <v>5</v>
      </c>
      <c r="AA316" s="529" t="s">
        <v>32</v>
      </c>
      <c r="AB316" s="308" t="s">
        <v>787</v>
      </c>
      <c r="AC316" s="320">
        <v>810</v>
      </c>
      <c r="AD316" s="168">
        <v>10000</v>
      </c>
      <c r="AE316" s="168">
        <v>10000</v>
      </c>
      <c r="AF316" s="168">
        <v>10000</v>
      </c>
      <c r="AG316" s="575">
        <f t="shared" si="94"/>
        <v>1</v>
      </c>
      <c r="AH316" s="194"/>
      <c r="AI316" s="156"/>
    </row>
    <row r="317" spans="1:35" s="84" customFormat="1" x14ac:dyDescent="0.25">
      <c r="A317" s="118"/>
      <c r="B317" s="76"/>
      <c r="C317" s="78"/>
      <c r="D317" s="78"/>
      <c r="E317" s="79"/>
      <c r="F317" s="78"/>
      <c r="G317" s="83"/>
      <c r="H317" s="119"/>
      <c r="I317" s="120"/>
      <c r="J317" s="120"/>
      <c r="K317" s="120"/>
      <c r="L317" s="80"/>
      <c r="M317" s="120"/>
      <c r="N317" s="80"/>
      <c r="O317" s="121"/>
      <c r="P317" s="80"/>
      <c r="Q317" s="82"/>
      <c r="R317" s="102"/>
      <c r="S317" s="102"/>
      <c r="T317" s="102"/>
      <c r="U317" s="102"/>
      <c r="V317" s="102"/>
      <c r="W317" s="119"/>
      <c r="X317" s="278" t="s">
        <v>19</v>
      </c>
      <c r="Y317" s="11" t="s">
        <v>65</v>
      </c>
      <c r="Z317" s="1" t="s">
        <v>5</v>
      </c>
      <c r="AA317" s="529" t="s">
        <v>7</v>
      </c>
      <c r="AB317" s="347"/>
      <c r="AC317" s="317"/>
      <c r="AD317" s="168">
        <f>AD331+AD318+AD337</f>
        <v>63994.2</v>
      </c>
      <c r="AE317" s="168">
        <f>AE331+AE318+AE337</f>
        <v>63994.2</v>
      </c>
      <c r="AF317" s="168">
        <f t="shared" ref="AF317" si="115">AF331+AF318+AF337</f>
        <v>63440.2</v>
      </c>
      <c r="AG317" s="575">
        <f t="shared" si="94"/>
        <v>0.99134296545624445</v>
      </c>
      <c r="AH317" s="194"/>
      <c r="AI317" s="156"/>
    </row>
    <row r="318" spans="1:35" s="84" customFormat="1" ht="31.5" x14ac:dyDescent="0.25">
      <c r="A318" s="118"/>
      <c r="B318" s="76"/>
      <c r="C318" s="78"/>
      <c r="D318" s="78"/>
      <c r="E318" s="79"/>
      <c r="F318" s="78"/>
      <c r="G318" s="83"/>
      <c r="H318" s="119"/>
      <c r="I318" s="120"/>
      <c r="J318" s="120"/>
      <c r="K318" s="120"/>
      <c r="L318" s="80"/>
      <c r="M318" s="120"/>
      <c r="N318" s="80"/>
      <c r="O318" s="121"/>
      <c r="P318" s="80"/>
      <c r="Q318" s="82"/>
      <c r="R318" s="102"/>
      <c r="S318" s="102"/>
      <c r="T318" s="102"/>
      <c r="U318" s="102"/>
      <c r="V318" s="102"/>
      <c r="W318" s="119"/>
      <c r="X318" s="280" t="s">
        <v>168</v>
      </c>
      <c r="Y318" s="11" t="s">
        <v>65</v>
      </c>
      <c r="Z318" s="1" t="s">
        <v>5</v>
      </c>
      <c r="AA318" s="529" t="s">
        <v>7</v>
      </c>
      <c r="AB318" s="33" t="s">
        <v>105</v>
      </c>
      <c r="AC318" s="317"/>
      <c r="AD318" s="168">
        <f t="shared" ref="AD318:AF319" si="116">AD319</f>
        <v>14651.1</v>
      </c>
      <c r="AE318" s="168">
        <f t="shared" si="116"/>
        <v>14651.1</v>
      </c>
      <c r="AF318" s="168">
        <f t="shared" si="116"/>
        <v>14322.099999999999</v>
      </c>
      <c r="AG318" s="575">
        <f t="shared" si="94"/>
        <v>0.97754434820593661</v>
      </c>
      <c r="AH318" s="194"/>
      <c r="AI318" s="156"/>
    </row>
    <row r="319" spans="1:35" s="84" customFormat="1" x14ac:dyDescent="0.25">
      <c r="A319" s="118"/>
      <c r="B319" s="76"/>
      <c r="C319" s="78"/>
      <c r="D319" s="78"/>
      <c r="E319" s="79"/>
      <c r="F319" s="78"/>
      <c r="G319" s="83"/>
      <c r="H319" s="119"/>
      <c r="I319" s="120"/>
      <c r="J319" s="120"/>
      <c r="K319" s="120"/>
      <c r="L319" s="80"/>
      <c r="M319" s="120"/>
      <c r="N319" s="80"/>
      <c r="O319" s="121"/>
      <c r="P319" s="80"/>
      <c r="Q319" s="82"/>
      <c r="R319" s="102"/>
      <c r="S319" s="102"/>
      <c r="T319" s="102"/>
      <c r="U319" s="102"/>
      <c r="V319" s="102"/>
      <c r="W319" s="119"/>
      <c r="X319" s="284" t="s">
        <v>169</v>
      </c>
      <c r="Y319" s="11" t="s">
        <v>65</v>
      </c>
      <c r="Z319" s="1" t="s">
        <v>5</v>
      </c>
      <c r="AA319" s="529" t="s">
        <v>7</v>
      </c>
      <c r="AB319" s="33" t="s">
        <v>109</v>
      </c>
      <c r="AC319" s="317"/>
      <c r="AD319" s="168">
        <f t="shared" si="116"/>
        <v>14651.1</v>
      </c>
      <c r="AE319" s="168">
        <f t="shared" si="116"/>
        <v>14651.1</v>
      </c>
      <c r="AF319" s="168">
        <f t="shared" si="116"/>
        <v>14322.099999999999</v>
      </c>
      <c r="AG319" s="575">
        <f t="shared" si="94"/>
        <v>0.97754434820593661</v>
      </c>
      <c r="AH319" s="194"/>
      <c r="AI319" s="156"/>
    </row>
    <row r="320" spans="1:35" s="84" customFormat="1" x14ac:dyDescent="0.25">
      <c r="A320" s="118"/>
      <c r="B320" s="76"/>
      <c r="C320" s="78"/>
      <c r="D320" s="78"/>
      <c r="E320" s="79"/>
      <c r="F320" s="78"/>
      <c r="G320" s="83"/>
      <c r="H320" s="119"/>
      <c r="I320" s="120"/>
      <c r="J320" s="120"/>
      <c r="K320" s="120"/>
      <c r="L320" s="80"/>
      <c r="M320" s="120"/>
      <c r="N320" s="80"/>
      <c r="O320" s="121"/>
      <c r="P320" s="80"/>
      <c r="Q320" s="82"/>
      <c r="R320" s="102"/>
      <c r="S320" s="102"/>
      <c r="T320" s="102"/>
      <c r="U320" s="102"/>
      <c r="V320" s="102"/>
      <c r="W320" s="119"/>
      <c r="X320" s="281" t="s">
        <v>607</v>
      </c>
      <c r="Y320" s="11" t="s">
        <v>65</v>
      </c>
      <c r="Z320" s="1" t="s">
        <v>5</v>
      </c>
      <c r="AA320" s="529" t="s">
        <v>7</v>
      </c>
      <c r="AB320" s="33" t="s">
        <v>358</v>
      </c>
      <c r="AC320" s="317"/>
      <c r="AD320" s="168">
        <f>AD321+AD324</f>
        <v>14651.1</v>
      </c>
      <c r="AE320" s="168">
        <f>AE321+AE324</f>
        <v>14651.1</v>
      </c>
      <c r="AF320" s="168">
        <f>AF321+AF324</f>
        <v>14322.099999999999</v>
      </c>
      <c r="AG320" s="575">
        <f t="shared" ref="AG320:AG375" si="117">AF320/AE320</f>
        <v>0.97754434820593661</v>
      </c>
      <c r="AH320" s="194"/>
      <c r="AI320" s="156"/>
    </row>
    <row r="321" spans="1:36" s="84" customFormat="1" x14ac:dyDescent="0.25">
      <c r="A321" s="118"/>
      <c r="B321" s="76"/>
      <c r="C321" s="78"/>
      <c r="D321" s="78"/>
      <c r="E321" s="79"/>
      <c r="F321" s="78"/>
      <c r="G321" s="83"/>
      <c r="H321" s="119"/>
      <c r="I321" s="120"/>
      <c r="J321" s="120"/>
      <c r="K321" s="120"/>
      <c r="L321" s="80"/>
      <c r="M321" s="120"/>
      <c r="N321" s="80"/>
      <c r="O321" s="121"/>
      <c r="P321" s="80"/>
      <c r="Q321" s="82"/>
      <c r="R321" s="102"/>
      <c r="S321" s="102"/>
      <c r="T321" s="102"/>
      <c r="U321" s="102"/>
      <c r="V321" s="102"/>
      <c r="W321" s="119"/>
      <c r="X321" s="282" t="s">
        <v>262</v>
      </c>
      <c r="Y321" s="11" t="s">
        <v>65</v>
      </c>
      <c r="Z321" s="1" t="s">
        <v>5</v>
      </c>
      <c r="AA321" s="529" t="s">
        <v>7</v>
      </c>
      <c r="AB321" s="33" t="s">
        <v>384</v>
      </c>
      <c r="AC321" s="317"/>
      <c r="AD321" s="168">
        <f t="shared" ref="AD321:AF322" si="118">AD322</f>
        <v>7608.4</v>
      </c>
      <c r="AE321" s="168">
        <f t="shared" si="118"/>
        <v>7608.4</v>
      </c>
      <c r="AF321" s="168">
        <f t="shared" si="118"/>
        <v>7388.2</v>
      </c>
      <c r="AG321" s="575">
        <f t="shared" si="117"/>
        <v>0.97105830397981185</v>
      </c>
      <c r="AH321" s="194"/>
      <c r="AI321" s="156"/>
    </row>
    <row r="322" spans="1:36" s="84" customFormat="1" x14ac:dyDescent="0.25">
      <c r="A322" s="118"/>
      <c r="B322" s="76"/>
      <c r="C322" s="78"/>
      <c r="D322" s="78"/>
      <c r="E322" s="79"/>
      <c r="F322" s="78"/>
      <c r="G322" s="83"/>
      <c r="H322" s="119"/>
      <c r="I322" s="120"/>
      <c r="J322" s="120"/>
      <c r="K322" s="120"/>
      <c r="L322" s="80"/>
      <c r="M322" s="120"/>
      <c r="N322" s="80"/>
      <c r="O322" s="121"/>
      <c r="P322" s="80"/>
      <c r="Q322" s="82"/>
      <c r="R322" s="102"/>
      <c r="S322" s="102"/>
      <c r="T322" s="102"/>
      <c r="U322" s="102"/>
      <c r="V322" s="102"/>
      <c r="W322" s="119"/>
      <c r="X322" s="278" t="s">
        <v>123</v>
      </c>
      <c r="Y322" s="11" t="s">
        <v>65</v>
      </c>
      <c r="Z322" s="1" t="s">
        <v>5</v>
      </c>
      <c r="AA322" s="529" t="s">
        <v>7</v>
      </c>
      <c r="AB322" s="33" t="s">
        <v>384</v>
      </c>
      <c r="AC322" s="317" t="s">
        <v>39</v>
      </c>
      <c r="AD322" s="168">
        <f t="shared" si="118"/>
        <v>7608.4</v>
      </c>
      <c r="AE322" s="168">
        <f t="shared" si="118"/>
        <v>7608.4</v>
      </c>
      <c r="AF322" s="168">
        <f t="shared" si="118"/>
        <v>7388.2</v>
      </c>
      <c r="AG322" s="575">
        <f t="shared" si="117"/>
        <v>0.97105830397981185</v>
      </c>
      <c r="AH322" s="194"/>
      <c r="AI322" s="156"/>
    </row>
    <row r="323" spans="1:36" s="84" customFormat="1" ht="31.5" x14ac:dyDescent="0.25">
      <c r="A323" s="118"/>
      <c r="B323" s="76"/>
      <c r="C323" s="78"/>
      <c r="D323" s="78"/>
      <c r="E323" s="79"/>
      <c r="F323" s="78"/>
      <c r="G323" s="83"/>
      <c r="H323" s="119"/>
      <c r="I323" s="120"/>
      <c r="J323" s="120"/>
      <c r="K323" s="120"/>
      <c r="L323" s="80"/>
      <c r="M323" s="120"/>
      <c r="N323" s="80"/>
      <c r="O323" s="121"/>
      <c r="P323" s="80"/>
      <c r="Q323" s="82"/>
      <c r="R323" s="102"/>
      <c r="S323" s="102"/>
      <c r="T323" s="102"/>
      <c r="U323" s="102"/>
      <c r="V323" s="102"/>
      <c r="W323" s="119"/>
      <c r="X323" s="278" t="s">
        <v>54</v>
      </c>
      <c r="Y323" s="11" t="s">
        <v>65</v>
      </c>
      <c r="Z323" s="1" t="s">
        <v>5</v>
      </c>
      <c r="AA323" s="529" t="s">
        <v>7</v>
      </c>
      <c r="AB323" s="33" t="s">
        <v>384</v>
      </c>
      <c r="AC323" s="317" t="s">
        <v>67</v>
      </c>
      <c r="AD323" s="168">
        <f>7702.3+90.7-184.6</f>
        <v>7608.4</v>
      </c>
      <c r="AE323" s="168">
        <f>7702.3+90.7-184.6</f>
        <v>7608.4</v>
      </c>
      <c r="AF323" s="168">
        <v>7388.2</v>
      </c>
      <c r="AG323" s="575">
        <f t="shared" si="117"/>
        <v>0.97105830397981185</v>
      </c>
      <c r="AH323" s="194"/>
      <c r="AI323" s="156"/>
    </row>
    <row r="324" spans="1:36" s="84" customFormat="1" ht="31.5" x14ac:dyDescent="0.25">
      <c r="A324" s="118"/>
      <c r="B324" s="76"/>
      <c r="C324" s="78"/>
      <c r="D324" s="78"/>
      <c r="E324" s="79"/>
      <c r="F324" s="78"/>
      <c r="G324" s="83"/>
      <c r="H324" s="119"/>
      <c r="I324" s="120"/>
      <c r="J324" s="120"/>
      <c r="K324" s="120"/>
      <c r="L324" s="80"/>
      <c r="M324" s="120"/>
      <c r="N324" s="80"/>
      <c r="O324" s="121"/>
      <c r="P324" s="80"/>
      <c r="Q324" s="82"/>
      <c r="R324" s="102"/>
      <c r="S324" s="102"/>
      <c r="T324" s="102"/>
      <c r="U324" s="102"/>
      <c r="V324" s="102"/>
      <c r="W324" s="119"/>
      <c r="X324" s="283" t="s">
        <v>261</v>
      </c>
      <c r="Y324" s="11" t="s">
        <v>65</v>
      </c>
      <c r="Z324" s="1" t="s">
        <v>5</v>
      </c>
      <c r="AA324" s="529" t="s">
        <v>7</v>
      </c>
      <c r="AB324" s="33" t="s">
        <v>360</v>
      </c>
      <c r="AC324" s="317"/>
      <c r="AD324" s="168">
        <f>AD325+AD327+AD329</f>
        <v>7042.7000000000007</v>
      </c>
      <c r="AE324" s="168">
        <f>AE325+AE327+AE329</f>
        <v>7042.7000000000007</v>
      </c>
      <c r="AF324" s="168">
        <f>AF325+AF327+AF329</f>
        <v>6933.9</v>
      </c>
      <c r="AG324" s="575">
        <f t="shared" si="117"/>
        <v>0.98455137944254323</v>
      </c>
      <c r="AH324" s="194"/>
      <c r="AI324" s="156"/>
    </row>
    <row r="325" spans="1:36" s="84" customFormat="1" ht="47.25" x14ac:dyDescent="0.25">
      <c r="A325" s="118"/>
      <c r="B325" s="76"/>
      <c r="C325" s="78"/>
      <c r="D325" s="78"/>
      <c r="E325" s="79"/>
      <c r="F325" s="78"/>
      <c r="G325" s="83"/>
      <c r="H325" s="119"/>
      <c r="I325" s="120"/>
      <c r="J325" s="120"/>
      <c r="K325" s="120"/>
      <c r="L325" s="80"/>
      <c r="M325" s="120"/>
      <c r="N325" s="80"/>
      <c r="O325" s="121"/>
      <c r="P325" s="80"/>
      <c r="Q325" s="82"/>
      <c r="R325" s="102"/>
      <c r="S325" s="102"/>
      <c r="T325" s="102"/>
      <c r="U325" s="102"/>
      <c r="V325" s="102"/>
      <c r="W325" s="119"/>
      <c r="X325" s="278" t="s">
        <v>43</v>
      </c>
      <c r="Y325" s="11" t="s">
        <v>65</v>
      </c>
      <c r="Z325" s="1" t="s">
        <v>5</v>
      </c>
      <c r="AA325" s="529" t="s">
        <v>7</v>
      </c>
      <c r="AB325" s="33" t="s">
        <v>360</v>
      </c>
      <c r="AC325" s="317" t="s">
        <v>129</v>
      </c>
      <c r="AD325" s="168">
        <f>AD326</f>
        <v>6401.7000000000007</v>
      </c>
      <c r="AE325" s="168">
        <f>AE326</f>
        <v>6401.7000000000007</v>
      </c>
      <c r="AF325" s="168">
        <f>AF326</f>
        <v>6401.7</v>
      </c>
      <c r="AG325" s="575">
        <f t="shared" si="117"/>
        <v>0.99999999999999989</v>
      </c>
      <c r="AH325" s="194"/>
      <c r="AI325" s="156"/>
    </row>
    <row r="326" spans="1:36" s="84" customFormat="1" x14ac:dyDescent="0.25">
      <c r="A326" s="118"/>
      <c r="B326" s="76"/>
      <c r="C326" s="78"/>
      <c r="D326" s="78"/>
      <c r="E326" s="79"/>
      <c r="F326" s="78"/>
      <c r="G326" s="83"/>
      <c r="H326" s="119"/>
      <c r="I326" s="120"/>
      <c r="J326" s="120"/>
      <c r="K326" s="120"/>
      <c r="L326" s="80"/>
      <c r="M326" s="120"/>
      <c r="N326" s="80"/>
      <c r="O326" s="121"/>
      <c r="P326" s="80"/>
      <c r="Q326" s="82"/>
      <c r="R326" s="102"/>
      <c r="S326" s="102"/>
      <c r="T326" s="102"/>
      <c r="U326" s="102"/>
      <c r="V326" s="102"/>
      <c r="W326" s="119"/>
      <c r="X326" s="278" t="s">
        <v>70</v>
      </c>
      <c r="Y326" s="11" t="s">
        <v>65</v>
      </c>
      <c r="Z326" s="1" t="s">
        <v>5</v>
      </c>
      <c r="AA326" s="529" t="s">
        <v>7</v>
      </c>
      <c r="AB326" s="33" t="s">
        <v>360</v>
      </c>
      <c r="AC326" s="317" t="s">
        <v>130</v>
      </c>
      <c r="AD326" s="168">
        <f>6017.1+200+184.6</f>
        <v>6401.7000000000007</v>
      </c>
      <c r="AE326" s="168">
        <f>6017.1+200+184.6</f>
        <v>6401.7000000000007</v>
      </c>
      <c r="AF326" s="168">
        <v>6401.7</v>
      </c>
      <c r="AG326" s="575">
        <f t="shared" si="117"/>
        <v>0.99999999999999989</v>
      </c>
      <c r="AH326" s="194"/>
      <c r="AI326" s="156"/>
    </row>
    <row r="327" spans="1:36" s="84" customFormat="1" x14ac:dyDescent="0.25">
      <c r="A327" s="118"/>
      <c r="B327" s="76"/>
      <c r="C327" s="78"/>
      <c r="D327" s="78"/>
      <c r="E327" s="79"/>
      <c r="F327" s="78"/>
      <c r="G327" s="83"/>
      <c r="H327" s="119"/>
      <c r="I327" s="120"/>
      <c r="J327" s="120"/>
      <c r="K327" s="120"/>
      <c r="L327" s="80"/>
      <c r="M327" s="120"/>
      <c r="N327" s="80"/>
      <c r="O327" s="121"/>
      <c r="P327" s="80"/>
      <c r="Q327" s="82"/>
      <c r="R327" s="102"/>
      <c r="S327" s="102"/>
      <c r="T327" s="102"/>
      <c r="U327" s="102"/>
      <c r="V327" s="102"/>
      <c r="W327" s="119"/>
      <c r="X327" s="278" t="s">
        <v>123</v>
      </c>
      <c r="Y327" s="11" t="s">
        <v>65</v>
      </c>
      <c r="Z327" s="1" t="s">
        <v>5</v>
      </c>
      <c r="AA327" s="529" t="s">
        <v>7</v>
      </c>
      <c r="AB327" s="33" t="s">
        <v>360</v>
      </c>
      <c r="AC327" s="317" t="s">
        <v>39</v>
      </c>
      <c r="AD327" s="168">
        <f>AD328</f>
        <v>639.20000000000005</v>
      </c>
      <c r="AE327" s="168">
        <f>AE328</f>
        <v>639.20000000000005</v>
      </c>
      <c r="AF327" s="168">
        <f>AF328</f>
        <v>530.4</v>
      </c>
      <c r="AG327" s="575">
        <f t="shared" si="117"/>
        <v>0.82978723404255306</v>
      </c>
      <c r="AH327" s="194"/>
      <c r="AI327" s="156"/>
    </row>
    <row r="328" spans="1:36" s="84" customFormat="1" ht="31.5" x14ac:dyDescent="0.25">
      <c r="A328" s="118"/>
      <c r="B328" s="76"/>
      <c r="C328" s="78"/>
      <c r="D328" s="78"/>
      <c r="E328" s="79"/>
      <c r="F328" s="78"/>
      <c r="G328" s="83"/>
      <c r="H328" s="119"/>
      <c r="I328" s="120"/>
      <c r="J328" s="120"/>
      <c r="K328" s="120"/>
      <c r="L328" s="80"/>
      <c r="M328" s="120"/>
      <c r="N328" s="80"/>
      <c r="O328" s="121"/>
      <c r="P328" s="80"/>
      <c r="Q328" s="82"/>
      <c r="R328" s="102"/>
      <c r="S328" s="102"/>
      <c r="T328" s="102"/>
      <c r="U328" s="102"/>
      <c r="V328" s="102"/>
      <c r="W328" s="119"/>
      <c r="X328" s="278" t="s">
        <v>54</v>
      </c>
      <c r="Y328" s="11" t="s">
        <v>65</v>
      </c>
      <c r="Z328" s="1" t="s">
        <v>5</v>
      </c>
      <c r="AA328" s="529" t="s">
        <v>7</v>
      </c>
      <c r="AB328" s="33" t="s">
        <v>360</v>
      </c>
      <c r="AC328" s="317" t="s">
        <v>67</v>
      </c>
      <c r="AD328" s="168">
        <f>825.7-1.8+15.3-200</f>
        <v>639.20000000000005</v>
      </c>
      <c r="AE328" s="168">
        <f>825.7-1.8+15.3-200</f>
        <v>639.20000000000005</v>
      </c>
      <c r="AF328" s="168">
        <v>530.4</v>
      </c>
      <c r="AG328" s="575">
        <f t="shared" si="117"/>
        <v>0.82978723404255306</v>
      </c>
      <c r="AH328" s="194"/>
      <c r="AI328" s="156"/>
    </row>
    <row r="329" spans="1:36" s="84" customFormat="1" x14ac:dyDescent="0.25">
      <c r="A329" s="118"/>
      <c r="B329" s="76"/>
      <c r="C329" s="78"/>
      <c r="D329" s="78"/>
      <c r="E329" s="79"/>
      <c r="F329" s="78"/>
      <c r="G329" s="83"/>
      <c r="H329" s="119"/>
      <c r="I329" s="120"/>
      <c r="J329" s="120"/>
      <c r="K329" s="120"/>
      <c r="L329" s="80"/>
      <c r="M329" s="120"/>
      <c r="N329" s="80"/>
      <c r="O329" s="121"/>
      <c r="P329" s="80"/>
      <c r="Q329" s="82"/>
      <c r="R329" s="102"/>
      <c r="S329" s="102"/>
      <c r="T329" s="102"/>
      <c r="U329" s="102"/>
      <c r="V329" s="102"/>
      <c r="W329" s="119"/>
      <c r="X329" s="278" t="s">
        <v>44</v>
      </c>
      <c r="Y329" s="11" t="s">
        <v>65</v>
      </c>
      <c r="Z329" s="1" t="s">
        <v>5</v>
      </c>
      <c r="AA329" s="529" t="s">
        <v>7</v>
      </c>
      <c r="AB329" s="33" t="s">
        <v>360</v>
      </c>
      <c r="AC329" s="317" t="s">
        <v>373</v>
      </c>
      <c r="AD329" s="168">
        <f>AD330</f>
        <v>1.8</v>
      </c>
      <c r="AE329" s="168">
        <f>AE330</f>
        <v>1.8</v>
      </c>
      <c r="AF329" s="168">
        <f t="shared" ref="AF329" si="119">AF330</f>
        <v>1.8</v>
      </c>
      <c r="AG329" s="575">
        <f t="shared" si="117"/>
        <v>1</v>
      </c>
      <c r="AH329" s="194"/>
      <c r="AI329" s="156"/>
    </row>
    <row r="330" spans="1:36" s="84" customFormat="1" x14ac:dyDescent="0.25">
      <c r="A330" s="118"/>
      <c r="B330" s="76"/>
      <c r="C330" s="78"/>
      <c r="D330" s="78"/>
      <c r="E330" s="79"/>
      <c r="F330" s="78"/>
      <c r="G330" s="83"/>
      <c r="H330" s="119"/>
      <c r="I330" s="120"/>
      <c r="J330" s="120"/>
      <c r="K330" s="120"/>
      <c r="L330" s="80"/>
      <c r="M330" s="120"/>
      <c r="N330" s="80"/>
      <c r="O330" s="121"/>
      <c r="P330" s="80"/>
      <c r="Q330" s="82"/>
      <c r="R330" s="102"/>
      <c r="S330" s="102"/>
      <c r="T330" s="102"/>
      <c r="U330" s="102"/>
      <c r="V330" s="102"/>
      <c r="W330" s="119"/>
      <c r="X330" s="278" t="s">
        <v>60</v>
      </c>
      <c r="Y330" s="11" t="s">
        <v>65</v>
      </c>
      <c r="Z330" s="1" t="s">
        <v>5</v>
      </c>
      <c r="AA330" s="529" t="s">
        <v>7</v>
      </c>
      <c r="AB330" s="33" t="s">
        <v>360</v>
      </c>
      <c r="AC330" s="317" t="s">
        <v>472</v>
      </c>
      <c r="AD330" s="168">
        <v>1.8</v>
      </c>
      <c r="AE330" s="168">
        <v>1.8</v>
      </c>
      <c r="AF330" s="168">
        <v>1.8</v>
      </c>
      <c r="AG330" s="575">
        <f t="shared" si="117"/>
        <v>1</v>
      </c>
      <c r="AH330" s="194"/>
      <c r="AI330" s="156"/>
    </row>
    <row r="331" spans="1:36" s="84" customFormat="1" ht="31.5" x14ac:dyDescent="0.25">
      <c r="A331" s="118"/>
      <c r="B331" s="76"/>
      <c r="C331" s="78"/>
      <c r="D331" s="78"/>
      <c r="E331" s="79"/>
      <c r="F331" s="78"/>
      <c r="G331" s="83"/>
      <c r="H331" s="119"/>
      <c r="I331" s="120"/>
      <c r="J331" s="120"/>
      <c r="K331" s="120"/>
      <c r="L331" s="80"/>
      <c r="M331" s="120"/>
      <c r="N331" s="80"/>
      <c r="O331" s="121"/>
      <c r="P331" s="80"/>
      <c r="Q331" s="82"/>
      <c r="R331" s="102"/>
      <c r="S331" s="102"/>
      <c r="T331" s="102"/>
      <c r="U331" s="102"/>
      <c r="V331" s="102"/>
      <c r="W331" s="119"/>
      <c r="X331" s="280" t="s">
        <v>315</v>
      </c>
      <c r="Y331" s="11" t="s">
        <v>65</v>
      </c>
      <c r="Z331" s="1" t="s">
        <v>5</v>
      </c>
      <c r="AA331" s="529" t="s">
        <v>7</v>
      </c>
      <c r="AB331" s="163" t="s">
        <v>134</v>
      </c>
      <c r="AC331" s="317"/>
      <c r="AD331" s="168">
        <f t="shared" ref="AD331:AF332" si="120">AD332</f>
        <v>700</v>
      </c>
      <c r="AE331" s="168">
        <f t="shared" si="120"/>
        <v>700</v>
      </c>
      <c r="AF331" s="168">
        <f t="shared" si="120"/>
        <v>475</v>
      </c>
      <c r="AG331" s="575">
        <f t="shared" si="117"/>
        <v>0.6785714285714286</v>
      </c>
      <c r="AH331" s="194"/>
      <c r="AI331" s="156"/>
      <c r="AJ331" s="193"/>
    </row>
    <row r="332" spans="1:36" s="84" customFormat="1" ht="47.25" x14ac:dyDescent="0.25">
      <c r="A332" s="118"/>
      <c r="B332" s="76"/>
      <c r="C332" s="78"/>
      <c r="D332" s="78"/>
      <c r="E332" s="79"/>
      <c r="F332" s="78"/>
      <c r="G332" s="83"/>
      <c r="H332" s="119"/>
      <c r="I332" s="120"/>
      <c r="J332" s="120"/>
      <c r="K332" s="120"/>
      <c r="L332" s="80"/>
      <c r="M332" s="120"/>
      <c r="N332" s="80"/>
      <c r="O332" s="121"/>
      <c r="P332" s="80"/>
      <c r="Q332" s="82"/>
      <c r="R332" s="102"/>
      <c r="S332" s="102"/>
      <c r="T332" s="102"/>
      <c r="U332" s="102"/>
      <c r="V332" s="102"/>
      <c r="W332" s="119"/>
      <c r="X332" s="295" t="s">
        <v>594</v>
      </c>
      <c r="Y332" s="11" t="s">
        <v>65</v>
      </c>
      <c r="Z332" s="1" t="s">
        <v>5</v>
      </c>
      <c r="AA332" s="529" t="s">
        <v>7</v>
      </c>
      <c r="AB332" s="163" t="s">
        <v>317</v>
      </c>
      <c r="AC332" s="309"/>
      <c r="AD332" s="168">
        <f t="shared" si="120"/>
        <v>700</v>
      </c>
      <c r="AE332" s="168">
        <f t="shared" si="120"/>
        <v>700</v>
      </c>
      <c r="AF332" s="168">
        <f t="shared" si="120"/>
        <v>475</v>
      </c>
      <c r="AG332" s="575">
        <f t="shared" si="117"/>
        <v>0.6785714285714286</v>
      </c>
      <c r="AH332" s="194"/>
      <c r="AI332" s="156"/>
      <c r="AJ332" s="193"/>
    </row>
    <row r="333" spans="1:36" s="84" customFormat="1" ht="31.5" x14ac:dyDescent="0.25">
      <c r="A333" s="118"/>
      <c r="B333" s="76"/>
      <c r="C333" s="78"/>
      <c r="D333" s="78"/>
      <c r="E333" s="79"/>
      <c r="F333" s="78"/>
      <c r="G333" s="83"/>
      <c r="H333" s="119"/>
      <c r="I333" s="120"/>
      <c r="J333" s="120"/>
      <c r="K333" s="120"/>
      <c r="L333" s="80"/>
      <c r="M333" s="120"/>
      <c r="N333" s="80"/>
      <c r="O333" s="121"/>
      <c r="P333" s="80"/>
      <c r="Q333" s="82"/>
      <c r="R333" s="102"/>
      <c r="S333" s="102"/>
      <c r="T333" s="102"/>
      <c r="U333" s="102"/>
      <c r="V333" s="102"/>
      <c r="W333" s="119"/>
      <c r="X333" s="302" t="s">
        <v>321</v>
      </c>
      <c r="Y333" s="11" t="s">
        <v>65</v>
      </c>
      <c r="Z333" s="1" t="s">
        <v>5</v>
      </c>
      <c r="AA333" s="529" t="s">
        <v>7</v>
      </c>
      <c r="AB333" s="163" t="s">
        <v>322</v>
      </c>
      <c r="AC333" s="309"/>
      <c r="AD333" s="168">
        <f t="shared" ref="AD333:AF335" si="121">AD334</f>
        <v>700</v>
      </c>
      <c r="AE333" s="168">
        <f t="shared" si="121"/>
        <v>700</v>
      </c>
      <c r="AF333" s="168">
        <f t="shared" si="121"/>
        <v>475</v>
      </c>
      <c r="AG333" s="575">
        <f t="shared" si="117"/>
        <v>0.6785714285714286</v>
      </c>
      <c r="AH333" s="194"/>
      <c r="AI333" s="156"/>
    </row>
    <row r="334" spans="1:36" s="84" customFormat="1" ht="47.25" x14ac:dyDescent="0.25">
      <c r="A334" s="118"/>
      <c r="B334" s="76"/>
      <c r="C334" s="78"/>
      <c r="D334" s="78"/>
      <c r="E334" s="79"/>
      <c r="F334" s="78"/>
      <c r="G334" s="83"/>
      <c r="H334" s="119"/>
      <c r="I334" s="120"/>
      <c r="J334" s="120"/>
      <c r="K334" s="120"/>
      <c r="L334" s="80"/>
      <c r="M334" s="120"/>
      <c r="N334" s="80"/>
      <c r="O334" s="121"/>
      <c r="P334" s="80"/>
      <c r="Q334" s="82"/>
      <c r="R334" s="102"/>
      <c r="S334" s="102"/>
      <c r="T334" s="102"/>
      <c r="U334" s="102"/>
      <c r="V334" s="102"/>
      <c r="W334" s="119"/>
      <c r="X334" s="302" t="s">
        <v>379</v>
      </c>
      <c r="Y334" s="11" t="s">
        <v>65</v>
      </c>
      <c r="Z334" s="1" t="s">
        <v>5</v>
      </c>
      <c r="AA334" s="529" t="s">
        <v>7</v>
      </c>
      <c r="AB334" s="163" t="s">
        <v>323</v>
      </c>
      <c r="AC334" s="309"/>
      <c r="AD334" s="168">
        <f>AD335</f>
        <v>700</v>
      </c>
      <c r="AE334" s="168">
        <f>AE335</f>
        <v>700</v>
      </c>
      <c r="AF334" s="168">
        <f>AF335</f>
        <v>475</v>
      </c>
      <c r="AG334" s="575">
        <f t="shared" si="117"/>
        <v>0.6785714285714286</v>
      </c>
      <c r="AH334" s="194"/>
      <c r="AI334" s="156"/>
    </row>
    <row r="335" spans="1:36" s="84" customFormat="1" x14ac:dyDescent="0.25">
      <c r="A335" s="118"/>
      <c r="B335" s="76"/>
      <c r="C335" s="78"/>
      <c r="D335" s="78"/>
      <c r="E335" s="79"/>
      <c r="F335" s="78"/>
      <c r="G335" s="83"/>
      <c r="H335" s="119"/>
      <c r="I335" s="120"/>
      <c r="J335" s="120"/>
      <c r="K335" s="120"/>
      <c r="L335" s="80"/>
      <c r="M335" s="120"/>
      <c r="N335" s="80"/>
      <c r="O335" s="121"/>
      <c r="P335" s="80"/>
      <c r="Q335" s="82"/>
      <c r="R335" s="102"/>
      <c r="S335" s="102"/>
      <c r="T335" s="102"/>
      <c r="U335" s="102"/>
      <c r="V335" s="102"/>
      <c r="W335" s="119"/>
      <c r="X335" s="278" t="s">
        <v>123</v>
      </c>
      <c r="Y335" s="11" t="s">
        <v>65</v>
      </c>
      <c r="Z335" s="1" t="s">
        <v>5</v>
      </c>
      <c r="AA335" s="529" t="s">
        <v>7</v>
      </c>
      <c r="AB335" s="163" t="s">
        <v>323</v>
      </c>
      <c r="AC335" s="309">
        <v>200</v>
      </c>
      <c r="AD335" s="168">
        <f t="shared" si="121"/>
        <v>700</v>
      </c>
      <c r="AE335" s="168">
        <f t="shared" si="121"/>
        <v>700</v>
      </c>
      <c r="AF335" s="168">
        <f t="shared" si="121"/>
        <v>475</v>
      </c>
      <c r="AG335" s="575">
        <f t="shared" si="117"/>
        <v>0.6785714285714286</v>
      </c>
      <c r="AH335" s="194"/>
      <c r="AI335" s="156"/>
    </row>
    <row r="336" spans="1:36" s="84" customFormat="1" ht="31.5" x14ac:dyDescent="0.25">
      <c r="A336" s="118"/>
      <c r="B336" s="76"/>
      <c r="C336" s="78"/>
      <c r="D336" s="78"/>
      <c r="E336" s="79"/>
      <c r="F336" s="78"/>
      <c r="G336" s="83"/>
      <c r="H336" s="119"/>
      <c r="I336" s="120"/>
      <c r="J336" s="120"/>
      <c r="K336" s="120"/>
      <c r="L336" s="80"/>
      <c r="M336" s="120"/>
      <c r="N336" s="80"/>
      <c r="O336" s="121"/>
      <c r="P336" s="80"/>
      <c r="Q336" s="82"/>
      <c r="R336" s="102"/>
      <c r="S336" s="102"/>
      <c r="T336" s="102"/>
      <c r="U336" s="102"/>
      <c r="V336" s="102"/>
      <c r="W336" s="119"/>
      <c r="X336" s="278" t="s">
        <v>54</v>
      </c>
      <c r="Y336" s="11" t="s">
        <v>65</v>
      </c>
      <c r="Z336" s="1" t="s">
        <v>5</v>
      </c>
      <c r="AA336" s="529" t="s">
        <v>7</v>
      </c>
      <c r="AB336" s="163" t="s">
        <v>323</v>
      </c>
      <c r="AC336" s="309">
        <v>240</v>
      </c>
      <c r="AD336" s="168">
        <f>500+200</f>
        <v>700</v>
      </c>
      <c r="AE336" s="168">
        <f>500+200</f>
        <v>700</v>
      </c>
      <c r="AF336" s="168">
        <v>475</v>
      </c>
      <c r="AG336" s="575">
        <f t="shared" si="117"/>
        <v>0.6785714285714286</v>
      </c>
      <c r="AH336" s="194"/>
      <c r="AI336" s="156"/>
    </row>
    <row r="337" spans="1:35" s="110" customFormat="1" x14ac:dyDescent="0.25">
      <c r="A337" s="54"/>
      <c r="B337" s="85"/>
      <c r="C337" s="86"/>
      <c r="D337" s="86"/>
      <c r="E337" s="87"/>
      <c r="F337" s="111"/>
      <c r="G337" s="88"/>
      <c r="H337" s="112"/>
      <c r="I337" s="56"/>
      <c r="J337" s="56"/>
      <c r="K337" s="56"/>
      <c r="L337" s="80"/>
      <c r="M337" s="56"/>
      <c r="N337" s="80"/>
      <c r="O337" s="89"/>
      <c r="P337" s="88"/>
      <c r="Q337" s="90"/>
      <c r="R337" s="94"/>
      <c r="S337" s="94"/>
      <c r="T337" s="94"/>
      <c r="U337" s="94"/>
      <c r="V337" s="94"/>
      <c r="W337" s="112"/>
      <c r="X337" s="284" t="s">
        <v>255</v>
      </c>
      <c r="Y337" s="11" t="s">
        <v>65</v>
      </c>
      <c r="Z337" s="1" t="s">
        <v>5</v>
      </c>
      <c r="AA337" s="529" t="s">
        <v>7</v>
      </c>
      <c r="AB337" s="163" t="s">
        <v>256</v>
      </c>
      <c r="AC337" s="317"/>
      <c r="AD337" s="168">
        <f>AD338</f>
        <v>48643.1</v>
      </c>
      <c r="AE337" s="168">
        <f>AE338</f>
        <v>48643.1</v>
      </c>
      <c r="AF337" s="168">
        <f t="shared" ref="AF337" si="122">AF338</f>
        <v>48643.1</v>
      </c>
      <c r="AG337" s="575">
        <f t="shared" si="117"/>
        <v>1</v>
      </c>
      <c r="AH337" s="194"/>
      <c r="AI337" s="156"/>
    </row>
    <row r="338" spans="1:35" s="110" customFormat="1" ht="31.5" x14ac:dyDescent="0.25">
      <c r="A338" s="54"/>
      <c r="B338" s="85"/>
      <c r="C338" s="86"/>
      <c r="D338" s="86"/>
      <c r="E338" s="87"/>
      <c r="F338" s="111"/>
      <c r="G338" s="88"/>
      <c r="H338" s="112"/>
      <c r="I338" s="56"/>
      <c r="J338" s="56"/>
      <c r="K338" s="56"/>
      <c r="L338" s="80"/>
      <c r="M338" s="56"/>
      <c r="N338" s="80"/>
      <c r="O338" s="89"/>
      <c r="P338" s="88"/>
      <c r="Q338" s="90"/>
      <c r="R338" s="94"/>
      <c r="S338" s="94"/>
      <c r="T338" s="94"/>
      <c r="U338" s="94"/>
      <c r="V338" s="94"/>
      <c r="W338" s="112"/>
      <c r="X338" s="299" t="s">
        <v>626</v>
      </c>
      <c r="Y338" s="11" t="s">
        <v>65</v>
      </c>
      <c r="Z338" s="1" t="s">
        <v>5</v>
      </c>
      <c r="AA338" s="529" t="s">
        <v>7</v>
      </c>
      <c r="AB338" s="163" t="s">
        <v>257</v>
      </c>
      <c r="AC338" s="317"/>
      <c r="AD338" s="168">
        <f t="shared" ref="AD338:AF341" si="123">AD339</f>
        <v>48643.1</v>
      </c>
      <c r="AE338" s="168">
        <f t="shared" si="123"/>
        <v>48643.1</v>
      </c>
      <c r="AF338" s="168">
        <f t="shared" si="123"/>
        <v>48643.1</v>
      </c>
      <c r="AG338" s="575">
        <f t="shared" si="117"/>
        <v>1</v>
      </c>
      <c r="AH338" s="194"/>
      <c r="AI338" s="156"/>
    </row>
    <row r="339" spans="1:35" s="110" customFormat="1" ht="31.5" x14ac:dyDescent="0.25">
      <c r="A339" s="54"/>
      <c r="B339" s="85"/>
      <c r="C339" s="86"/>
      <c r="D339" s="86"/>
      <c r="E339" s="87"/>
      <c r="F339" s="111"/>
      <c r="G339" s="88"/>
      <c r="H339" s="112"/>
      <c r="I339" s="56"/>
      <c r="J339" s="56"/>
      <c r="K339" s="56"/>
      <c r="L339" s="80"/>
      <c r="M339" s="56"/>
      <c r="N339" s="80"/>
      <c r="O339" s="89"/>
      <c r="P339" s="88"/>
      <c r="Q339" s="90"/>
      <c r="R339" s="94"/>
      <c r="S339" s="94"/>
      <c r="T339" s="94"/>
      <c r="U339" s="94"/>
      <c r="V339" s="94"/>
      <c r="W339" s="112"/>
      <c r="X339" s="282" t="s">
        <v>627</v>
      </c>
      <c r="Y339" s="11" t="s">
        <v>65</v>
      </c>
      <c r="Z339" s="1" t="s">
        <v>5</v>
      </c>
      <c r="AA339" s="529" t="s">
        <v>7</v>
      </c>
      <c r="AB339" s="163" t="s">
        <v>258</v>
      </c>
      <c r="AC339" s="309"/>
      <c r="AD339" s="168">
        <f>AD340</f>
        <v>48643.1</v>
      </c>
      <c r="AE339" s="168">
        <f>AE340</f>
        <v>48643.1</v>
      </c>
      <c r="AF339" s="168">
        <f t="shared" si="123"/>
        <v>48643.1</v>
      </c>
      <c r="AG339" s="575">
        <f t="shared" si="117"/>
        <v>1</v>
      </c>
      <c r="AH339" s="194"/>
      <c r="AI339" s="156"/>
    </row>
    <row r="340" spans="1:35" s="110" customFormat="1" ht="31.5" x14ac:dyDescent="0.25">
      <c r="A340" s="54"/>
      <c r="B340" s="85"/>
      <c r="C340" s="86"/>
      <c r="D340" s="86"/>
      <c r="E340" s="87"/>
      <c r="F340" s="111"/>
      <c r="G340" s="88"/>
      <c r="H340" s="112"/>
      <c r="I340" s="56"/>
      <c r="J340" s="56"/>
      <c r="K340" s="56"/>
      <c r="L340" s="80"/>
      <c r="M340" s="56"/>
      <c r="N340" s="80"/>
      <c r="O340" s="89"/>
      <c r="P340" s="88"/>
      <c r="Q340" s="90"/>
      <c r="R340" s="94"/>
      <c r="S340" s="94"/>
      <c r="T340" s="94"/>
      <c r="U340" s="94"/>
      <c r="V340" s="94"/>
      <c r="W340" s="112"/>
      <c r="X340" s="282" t="s">
        <v>682</v>
      </c>
      <c r="Y340" s="11" t="s">
        <v>65</v>
      </c>
      <c r="Z340" s="1" t="s">
        <v>5</v>
      </c>
      <c r="AA340" s="529" t="s">
        <v>7</v>
      </c>
      <c r="AB340" s="163" t="s">
        <v>463</v>
      </c>
      <c r="AC340" s="309"/>
      <c r="AD340" s="168">
        <f t="shared" si="123"/>
        <v>48643.1</v>
      </c>
      <c r="AE340" s="168">
        <f t="shared" si="123"/>
        <v>48643.1</v>
      </c>
      <c r="AF340" s="168">
        <f t="shared" si="123"/>
        <v>48643.1</v>
      </c>
      <c r="AG340" s="575">
        <f t="shared" si="117"/>
        <v>1</v>
      </c>
      <c r="AH340" s="194"/>
      <c r="AI340" s="156"/>
    </row>
    <row r="341" spans="1:35" s="110" customFormat="1" ht="31.5" x14ac:dyDescent="0.25">
      <c r="A341" s="54"/>
      <c r="B341" s="85"/>
      <c r="C341" s="86"/>
      <c r="D341" s="86"/>
      <c r="E341" s="87"/>
      <c r="F341" s="111"/>
      <c r="G341" s="88"/>
      <c r="H341" s="112"/>
      <c r="I341" s="56"/>
      <c r="J341" s="56"/>
      <c r="K341" s="56"/>
      <c r="L341" s="80"/>
      <c r="M341" s="56"/>
      <c r="N341" s="80"/>
      <c r="O341" s="89"/>
      <c r="P341" s="88"/>
      <c r="Q341" s="90"/>
      <c r="R341" s="94"/>
      <c r="S341" s="94"/>
      <c r="T341" s="94"/>
      <c r="U341" s="94"/>
      <c r="V341" s="94"/>
      <c r="W341" s="112"/>
      <c r="X341" s="278" t="s">
        <v>62</v>
      </c>
      <c r="Y341" s="11" t="s">
        <v>65</v>
      </c>
      <c r="Z341" s="1" t="s">
        <v>5</v>
      </c>
      <c r="AA341" s="529" t="s">
        <v>7</v>
      </c>
      <c r="AB341" s="163" t="s">
        <v>463</v>
      </c>
      <c r="AC341" s="311">
        <v>600</v>
      </c>
      <c r="AD341" s="168">
        <f t="shared" si="123"/>
        <v>48643.1</v>
      </c>
      <c r="AE341" s="168">
        <f t="shared" si="123"/>
        <v>48643.1</v>
      </c>
      <c r="AF341" s="168">
        <f t="shared" si="123"/>
        <v>48643.1</v>
      </c>
      <c r="AG341" s="575">
        <f t="shared" si="117"/>
        <v>1</v>
      </c>
      <c r="AH341" s="194"/>
      <c r="AI341" s="156"/>
    </row>
    <row r="342" spans="1:35" s="110" customFormat="1" x14ac:dyDescent="0.25">
      <c r="A342" s="54"/>
      <c r="B342" s="85"/>
      <c r="C342" s="86"/>
      <c r="D342" s="86"/>
      <c r="E342" s="87"/>
      <c r="F342" s="111"/>
      <c r="G342" s="88"/>
      <c r="H342" s="112"/>
      <c r="I342" s="56"/>
      <c r="J342" s="56"/>
      <c r="K342" s="56"/>
      <c r="L342" s="80"/>
      <c r="M342" s="56"/>
      <c r="N342" s="80"/>
      <c r="O342" s="89"/>
      <c r="P342" s="88"/>
      <c r="Q342" s="90"/>
      <c r="R342" s="94"/>
      <c r="S342" s="94"/>
      <c r="T342" s="94"/>
      <c r="U342" s="94"/>
      <c r="V342" s="94"/>
      <c r="W342" s="112"/>
      <c r="X342" s="278" t="s">
        <v>63</v>
      </c>
      <c r="Y342" s="11" t="s">
        <v>65</v>
      </c>
      <c r="Z342" s="1" t="s">
        <v>5</v>
      </c>
      <c r="AA342" s="529" t="s">
        <v>7</v>
      </c>
      <c r="AB342" s="163" t="s">
        <v>463</v>
      </c>
      <c r="AC342" s="309">
        <v>610</v>
      </c>
      <c r="AD342" s="168">
        <f>25383-25+17869.7+350+1714.8+303+3047.6</f>
        <v>48643.1</v>
      </c>
      <c r="AE342" s="168">
        <f>25383-25+17869.7+350+1714.8+303+3047.6</f>
        <v>48643.1</v>
      </c>
      <c r="AF342" s="168">
        <v>48643.1</v>
      </c>
      <c r="AG342" s="575">
        <f t="shared" si="117"/>
        <v>1</v>
      </c>
      <c r="AH342" s="194"/>
      <c r="AI342" s="156"/>
    </row>
    <row r="343" spans="1:35" s="110" customFormat="1" x14ac:dyDescent="0.25">
      <c r="A343" s="54"/>
      <c r="B343" s="85"/>
      <c r="C343" s="86"/>
      <c r="D343" s="86"/>
      <c r="E343" s="87"/>
      <c r="F343" s="111"/>
      <c r="G343" s="88"/>
      <c r="H343" s="112"/>
      <c r="I343" s="56"/>
      <c r="J343" s="56"/>
      <c r="K343" s="56"/>
      <c r="L343" s="80"/>
      <c r="M343" s="56"/>
      <c r="N343" s="80"/>
      <c r="O343" s="89"/>
      <c r="P343" s="88"/>
      <c r="Q343" s="90"/>
      <c r="R343" s="94"/>
      <c r="S343" s="94"/>
      <c r="T343" s="94"/>
      <c r="U343" s="94"/>
      <c r="V343" s="94"/>
      <c r="W343" s="112"/>
      <c r="X343" s="279" t="s">
        <v>41</v>
      </c>
      <c r="Y343" s="199" t="s">
        <v>65</v>
      </c>
      <c r="Z343" s="24" t="s">
        <v>98</v>
      </c>
      <c r="AA343" s="557"/>
      <c r="AB343" s="446"/>
      <c r="AC343" s="314"/>
      <c r="AD343" s="170">
        <f t="shared" ref="AD343:AE349" si="124">AD344</f>
        <v>25</v>
      </c>
      <c r="AE343" s="170">
        <f t="shared" si="124"/>
        <v>25</v>
      </c>
      <c r="AF343" s="170">
        <f t="shared" ref="AF343:AF349" si="125">AF344</f>
        <v>25</v>
      </c>
      <c r="AG343" s="574">
        <f t="shared" si="117"/>
        <v>1</v>
      </c>
      <c r="AH343" s="194"/>
      <c r="AI343" s="156"/>
    </row>
    <row r="344" spans="1:35" s="110" customFormat="1" x14ac:dyDescent="0.25">
      <c r="A344" s="54"/>
      <c r="B344" s="85"/>
      <c r="C344" s="86"/>
      <c r="D344" s="86"/>
      <c r="E344" s="87"/>
      <c r="F344" s="111"/>
      <c r="G344" s="88"/>
      <c r="H344" s="112"/>
      <c r="I344" s="56"/>
      <c r="J344" s="56"/>
      <c r="K344" s="56"/>
      <c r="L344" s="80"/>
      <c r="M344" s="56"/>
      <c r="N344" s="80"/>
      <c r="O344" s="89"/>
      <c r="P344" s="88"/>
      <c r="Q344" s="90"/>
      <c r="R344" s="94"/>
      <c r="S344" s="94"/>
      <c r="T344" s="94"/>
      <c r="U344" s="94"/>
      <c r="V344" s="94"/>
      <c r="W344" s="112"/>
      <c r="X344" s="278" t="s">
        <v>26</v>
      </c>
      <c r="Y344" s="11" t="s">
        <v>65</v>
      </c>
      <c r="Z344" s="18" t="s">
        <v>98</v>
      </c>
      <c r="AA344" s="529" t="s">
        <v>5</v>
      </c>
      <c r="AB344" s="163"/>
      <c r="AC344" s="309"/>
      <c r="AD344" s="168">
        <f t="shared" si="124"/>
        <v>25</v>
      </c>
      <c r="AE344" s="168">
        <f t="shared" si="124"/>
        <v>25</v>
      </c>
      <c r="AF344" s="168">
        <f t="shared" si="125"/>
        <v>25</v>
      </c>
      <c r="AG344" s="575">
        <f t="shared" si="117"/>
        <v>1</v>
      </c>
      <c r="AH344" s="194"/>
      <c r="AI344" s="156"/>
    </row>
    <row r="345" spans="1:35" s="110" customFormat="1" x14ac:dyDescent="0.25">
      <c r="A345" s="54"/>
      <c r="B345" s="85"/>
      <c r="C345" s="86"/>
      <c r="D345" s="86"/>
      <c r="E345" s="87"/>
      <c r="F345" s="111"/>
      <c r="G345" s="88"/>
      <c r="H345" s="112"/>
      <c r="I345" s="56"/>
      <c r="J345" s="56"/>
      <c r="K345" s="56"/>
      <c r="L345" s="80"/>
      <c r="M345" s="56"/>
      <c r="N345" s="80"/>
      <c r="O345" s="89"/>
      <c r="P345" s="88"/>
      <c r="Q345" s="90"/>
      <c r="R345" s="94"/>
      <c r="S345" s="94"/>
      <c r="T345" s="94"/>
      <c r="U345" s="94"/>
      <c r="V345" s="94"/>
      <c r="W345" s="112"/>
      <c r="X345" s="278" t="s">
        <v>433</v>
      </c>
      <c r="Y345" s="11" t="s">
        <v>65</v>
      </c>
      <c r="Z345" s="18" t="s">
        <v>98</v>
      </c>
      <c r="AA345" s="529" t="s">
        <v>5</v>
      </c>
      <c r="AB345" s="163" t="s">
        <v>434</v>
      </c>
      <c r="AC345" s="309"/>
      <c r="AD345" s="168">
        <f t="shared" si="124"/>
        <v>25</v>
      </c>
      <c r="AE345" s="168">
        <f t="shared" si="124"/>
        <v>25</v>
      </c>
      <c r="AF345" s="168">
        <f t="shared" si="125"/>
        <v>25</v>
      </c>
      <c r="AG345" s="575">
        <f t="shared" si="117"/>
        <v>1</v>
      </c>
      <c r="AH345" s="194"/>
      <c r="AI345" s="156"/>
    </row>
    <row r="346" spans="1:35" s="110" customFormat="1" x14ac:dyDescent="0.25">
      <c r="A346" s="54"/>
      <c r="B346" s="85"/>
      <c r="C346" s="86"/>
      <c r="D346" s="86"/>
      <c r="E346" s="87"/>
      <c r="F346" s="111"/>
      <c r="G346" s="88"/>
      <c r="H346" s="112"/>
      <c r="I346" s="56"/>
      <c r="J346" s="56"/>
      <c r="K346" s="56"/>
      <c r="L346" s="80"/>
      <c r="M346" s="56"/>
      <c r="N346" s="80"/>
      <c r="O346" s="89"/>
      <c r="P346" s="88"/>
      <c r="Q346" s="90"/>
      <c r="R346" s="94"/>
      <c r="S346" s="94"/>
      <c r="T346" s="94"/>
      <c r="U346" s="94"/>
      <c r="V346" s="94"/>
      <c r="W346" s="112"/>
      <c r="X346" s="278" t="s">
        <v>675</v>
      </c>
      <c r="Y346" s="11" t="s">
        <v>65</v>
      </c>
      <c r="Z346" s="18" t="s">
        <v>98</v>
      </c>
      <c r="AA346" s="529" t="s">
        <v>5</v>
      </c>
      <c r="AB346" s="163" t="s">
        <v>676</v>
      </c>
      <c r="AC346" s="309"/>
      <c r="AD346" s="168">
        <f t="shared" si="124"/>
        <v>25</v>
      </c>
      <c r="AE346" s="168">
        <f t="shared" si="124"/>
        <v>25</v>
      </c>
      <c r="AF346" s="168">
        <f t="shared" si="125"/>
        <v>25</v>
      </c>
      <c r="AG346" s="575">
        <f t="shared" si="117"/>
        <v>1</v>
      </c>
      <c r="AH346" s="194"/>
      <c r="AI346" s="156"/>
    </row>
    <row r="347" spans="1:35" s="110" customFormat="1" ht="16.149999999999999" customHeight="1" x14ac:dyDescent="0.25">
      <c r="A347" s="54"/>
      <c r="B347" s="85"/>
      <c r="C347" s="86"/>
      <c r="D347" s="86"/>
      <c r="E347" s="87"/>
      <c r="F347" s="111"/>
      <c r="G347" s="88"/>
      <c r="H347" s="112"/>
      <c r="I347" s="56"/>
      <c r="J347" s="56"/>
      <c r="K347" s="56"/>
      <c r="L347" s="80"/>
      <c r="M347" s="56"/>
      <c r="N347" s="80"/>
      <c r="O347" s="89"/>
      <c r="P347" s="88"/>
      <c r="Q347" s="90"/>
      <c r="R347" s="94"/>
      <c r="S347" s="94"/>
      <c r="T347" s="94"/>
      <c r="U347" s="94"/>
      <c r="V347" s="94"/>
      <c r="W347" s="112"/>
      <c r="X347" s="278" t="s">
        <v>677</v>
      </c>
      <c r="Y347" s="11" t="s">
        <v>65</v>
      </c>
      <c r="Z347" s="18" t="s">
        <v>98</v>
      </c>
      <c r="AA347" s="529" t="s">
        <v>5</v>
      </c>
      <c r="AB347" s="163" t="s">
        <v>678</v>
      </c>
      <c r="AC347" s="309"/>
      <c r="AD347" s="168">
        <f t="shared" si="124"/>
        <v>25</v>
      </c>
      <c r="AE347" s="168">
        <f t="shared" si="124"/>
        <v>25</v>
      </c>
      <c r="AF347" s="168">
        <f t="shared" si="125"/>
        <v>25</v>
      </c>
      <c r="AG347" s="575">
        <f t="shared" si="117"/>
        <v>1</v>
      </c>
      <c r="AH347" s="194"/>
      <c r="AI347" s="156"/>
    </row>
    <row r="348" spans="1:35" s="110" customFormat="1" x14ac:dyDescent="0.25">
      <c r="A348" s="54"/>
      <c r="B348" s="85"/>
      <c r="C348" s="86"/>
      <c r="D348" s="86"/>
      <c r="E348" s="87"/>
      <c r="F348" s="111"/>
      <c r="G348" s="88"/>
      <c r="H348" s="112"/>
      <c r="I348" s="56"/>
      <c r="J348" s="56"/>
      <c r="K348" s="56"/>
      <c r="L348" s="80"/>
      <c r="M348" s="56"/>
      <c r="N348" s="80"/>
      <c r="O348" s="89"/>
      <c r="P348" s="88"/>
      <c r="Q348" s="90"/>
      <c r="R348" s="94"/>
      <c r="S348" s="94"/>
      <c r="T348" s="94"/>
      <c r="U348" s="94"/>
      <c r="V348" s="94"/>
      <c r="W348" s="112"/>
      <c r="X348" s="278" t="s">
        <v>680</v>
      </c>
      <c r="Y348" s="11" t="s">
        <v>65</v>
      </c>
      <c r="Z348" s="18" t="s">
        <v>98</v>
      </c>
      <c r="AA348" s="529" t="s">
        <v>5</v>
      </c>
      <c r="AB348" s="163" t="s">
        <v>679</v>
      </c>
      <c r="AC348" s="309"/>
      <c r="AD348" s="168">
        <f t="shared" si="124"/>
        <v>25</v>
      </c>
      <c r="AE348" s="168">
        <f t="shared" si="124"/>
        <v>25</v>
      </c>
      <c r="AF348" s="168">
        <f t="shared" si="125"/>
        <v>25</v>
      </c>
      <c r="AG348" s="575">
        <f t="shared" si="117"/>
        <v>1</v>
      </c>
      <c r="AH348" s="194"/>
      <c r="AI348" s="156"/>
    </row>
    <row r="349" spans="1:35" s="110" customFormat="1" ht="31.5" x14ac:dyDescent="0.25">
      <c r="A349" s="54"/>
      <c r="B349" s="85"/>
      <c r="C349" s="86"/>
      <c r="D349" s="86"/>
      <c r="E349" s="87"/>
      <c r="F349" s="111"/>
      <c r="G349" s="88"/>
      <c r="H349" s="112"/>
      <c r="I349" s="56"/>
      <c r="J349" s="56"/>
      <c r="K349" s="56"/>
      <c r="L349" s="80"/>
      <c r="M349" s="56"/>
      <c r="N349" s="80"/>
      <c r="O349" s="89"/>
      <c r="P349" s="88"/>
      <c r="Q349" s="90"/>
      <c r="R349" s="94"/>
      <c r="S349" s="94"/>
      <c r="T349" s="94"/>
      <c r="U349" s="94"/>
      <c r="V349" s="94"/>
      <c r="W349" s="112"/>
      <c r="X349" s="403" t="s">
        <v>62</v>
      </c>
      <c r="Y349" s="11" t="s">
        <v>65</v>
      </c>
      <c r="Z349" s="18" t="s">
        <v>98</v>
      </c>
      <c r="AA349" s="529" t="s">
        <v>5</v>
      </c>
      <c r="AB349" s="163" t="s">
        <v>679</v>
      </c>
      <c r="AC349" s="309">
        <v>600</v>
      </c>
      <c r="AD349" s="168">
        <f t="shared" si="124"/>
        <v>25</v>
      </c>
      <c r="AE349" s="168">
        <f t="shared" si="124"/>
        <v>25</v>
      </c>
      <c r="AF349" s="168">
        <f t="shared" si="125"/>
        <v>25</v>
      </c>
      <c r="AG349" s="575">
        <f t="shared" si="117"/>
        <v>1</v>
      </c>
      <c r="AH349" s="194"/>
      <c r="AI349" s="156"/>
    </row>
    <row r="350" spans="1:35" s="110" customFormat="1" x14ac:dyDescent="0.25">
      <c r="A350" s="54"/>
      <c r="B350" s="85"/>
      <c r="C350" s="86"/>
      <c r="D350" s="86"/>
      <c r="E350" s="87"/>
      <c r="F350" s="111"/>
      <c r="G350" s="88"/>
      <c r="H350" s="112"/>
      <c r="I350" s="56"/>
      <c r="J350" s="56"/>
      <c r="K350" s="56"/>
      <c r="L350" s="80"/>
      <c r="M350" s="56"/>
      <c r="N350" s="80"/>
      <c r="O350" s="89"/>
      <c r="P350" s="88"/>
      <c r="Q350" s="90"/>
      <c r="R350" s="94"/>
      <c r="S350" s="94"/>
      <c r="T350" s="94"/>
      <c r="U350" s="94"/>
      <c r="V350" s="94"/>
      <c r="W350" s="112"/>
      <c r="X350" s="278" t="s">
        <v>63</v>
      </c>
      <c r="Y350" s="11" t="s">
        <v>65</v>
      </c>
      <c r="Z350" s="18" t="s">
        <v>98</v>
      </c>
      <c r="AA350" s="529" t="s">
        <v>5</v>
      </c>
      <c r="AB350" s="163" t="s">
        <v>679</v>
      </c>
      <c r="AC350" s="309">
        <v>610</v>
      </c>
      <c r="AD350" s="168">
        <v>25</v>
      </c>
      <c r="AE350" s="168">
        <v>25</v>
      </c>
      <c r="AF350" s="168">
        <v>25</v>
      </c>
      <c r="AG350" s="575">
        <f t="shared" si="117"/>
        <v>1</v>
      </c>
      <c r="AH350" s="194"/>
      <c r="AI350" s="156"/>
    </row>
    <row r="351" spans="1:35" s="84" customFormat="1" x14ac:dyDescent="0.25">
      <c r="A351" s="75"/>
      <c r="B351" s="76"/>
      <c r="C351" s="78"/>
      <c r="D351" s="79"/>
      <c r="E351" s="79"/>
      <c r="F351" s="79"/>
      <c r="G351" s="80"/>
      <c r="H351" s="80"/>
      <c r="I351" s="80"/>
      <c r="J351" s="80"/>
      <c r="K351" s="80"/>
      <c r="L351" s="80"/>
      <c r="M351" s="80"/>
      <c r="N351" s="80"/>
      <c r="O351" s="81"/>
      <c r="P351" s="80"/>
      <c r="Q351" s="82"/>
      <c r="R351" s="102"/>
      <c r="S351" s="102"/>
      <c r="T351" s="102"/>
      <c r="U351" s="102"/>
      <c r="V351" s="102"/>
      <c r="W351" s="102"/>
      <c r="X351" s="279" t="s">
        <v>4</v>
      </c>
      <c r="Y351" s="199" t="s">
        <v>65</v>
      </c>
      <c r="Z351" s="12" t="s">
        <v>8</v>
      </c>
      <c r="AA351" s="561"/>
      <c r="AB351" s="305"/>
      <c r="AC351" s="310"/>
      <c r="AD351" s="170">
        <f>AD352+AD359+AD374</f>
        <v>58343.399999999994</v>
      </c>
      <c r="AE351" s="170">
        <f>AE352+AE359+AE374</f>
        <v>58343.399999999994</v>
      </c>
      <c r="AF351" s="170">
        <f>AF352+AF359+AF374</f>
        <v>58337.5</v>
      </c>
      <c r="AG351" s="574">
        <f t="shared" si="117"/>
        <v>0.99989887459421301</v>
      </c>
      <c r="AH351" s="222"/>
      <c r="AI351" s="156"/>
    </row>
    <row r="352" spans="1:35" s="84" customFormat="1" x14ac:dyDescent="0.25">
      <c r="A352" s="75"/>
      <c r="B352" s="76"/>
      <c r="C352" s="78"/>
      <c r="D352" s="79"/>
      <c r="E352" s="79"/>
      <c r="F352" s="79"/>
      <c r="G352" s="80"/>
      <c r="H352" s="80"/>
      <c r="I352" s="80"/>
      <c r="J352" s="80"/>
      <c r="K352" s="80"/>
      <c r="L352" s="80"/>
      <c r="M352" s="80"/>
      <c r="N352" s="80"/>
      <c r="O352" s="81"/>
      <c r="P352" s="80"/>
      <c r="Q352" s="82"/>
      <c r="R352" s="102"/>
      <c r="S352" s="102"/>
      <c r="T352" s="102"/>
      <c r="U352" s="102"/>
      <c r="V352" s="102"/>
      <c r="W352" s="102"/>
      <c r="X352" s="278" t="s">
        <v>137</v>
      </c>
      <c r="Y352" s="11" t="s">
        <v>65</v>
      </c>
      <c r="Z352" s="2" t="s">
        <v>8</v>
      </c>
      <c r="AA352" s="529" t="s">
        <v>7</v>
      </c>
      <c r="AB352" s="305"/>
      <c r="AC352" s="310"/>
      <c r="AD352" s="168">
        <f>AD353</f>
        <v>55464.6</v>
      </c>
      <c r="AE352" s="168">
        <f>AE353</f>
        <v>55464.6</v>
      </c>
      <c r="AF352" s="168">
        <f t="shared" ref="AF352" si="126">AF353</f>
        <v>55464.6</v>
      </c>
      <c r="AG352" s="575">
        <f t="shared" si="117"/>
        <v>1</v>
      </c>
      <c r="AH352" s="194"/>
      <c r="AI352" s="156"/>
    </row>
    <row r="353" spans="1:35" s="84" customFormat="1" x14ac:dyDescent="0.25">
      <c r="A353" s="75"/>
      <c r="B353" s="76"/>
      <c r="C353" s="78"/>
      <c r="D353" s="79"/>
      <c r="E353" s="79"/>
      <c r="F353" s="79"/>
      <c r="G353" s="80"/>
      <c r="H353" s="80"/>
      <c r="I353" s="80"/>
      <c r="J353" s="80"/>
      <c r="K353" s="80"/>
      <c r="L353" s="80"/>
      <c r="M353" s="80"/>
      <c r="N353" s="80"/>
      <c r="O353" s="81"/>
      <c r="P353" s="80"/>
      <c r="Q353" s="82"/>
      <c r="R353" s="102"/>
      <c r="S353" s="102"/>
      <c r="T353" s="102"/>
      <c r="U353" s="102"/>
      <c r="V353" s="102"/>
      <c r="W353" s="102"/>
      <c r="X353" s="280" t="s">
        <v>661</v>
      </c>
      <c r="Y353" s="11" t="s">
        <v>65</v>
      </c>
      <c r="Z353" s="2" t="s">
        <v>8</v>
      </c>
      <c r="AA353" s="529" t="s">
        <v>7</v>
      </c>
      <c r="AB353" s="163" t="s">
        <v>117</v>
      </c>
      <c r="AC353" s="310"/>
      <c r="AD353" s="168">
        <f>AD354</f>
        <v>55464.6</v>
      </c>
      <c r="AE353" s="168">
        <f>AE354</f>
        <v>55464.6</v>
      </c>
      <c r="AF353" s="168">
        <f t="shared" ref="AF353:AF354" si="127">AF354</f>
        <v>55464.6</v>
      </c>
      <c r="AG353" s="575">
        <f t="shared" si="117"/>
        <v>1</v>
      </c>
      <c r="AH353" s="194"/>
      <c r="AI353" s="156"/>
    </row>
    <row r="354" spans="1:35" s="84" customFormat="1" x14ac:dyDescent="0.25">
      <c r="A354" s="75"/>
      <c r="B354" s="76"/>
      <c r="C354" s="78"/>
      <c r="D354" s="79"/>
      <c r="E354" s="79"/>
      <c r="F354" s="79"/>
      <c r="G354" s="80"/>
      <c r="H354" s="80"/>
      <c r="I354" s="80"/>
      <c r="J354" s="80"/>
      <c r="K354" s="80"/>
      <c r="L354" s="80"/>
      <c r="M354" s="80"/>
      <c r="N354" s="80"/>
      <c r="O354" s="81"/>
      <c r="P354" s="80"/>
      <c r="Q354" s="82"/>
      <c r="R354" s="102"/>
      <c r="S354" s="102"/>
      <c r="T354" s="102"/>
      <c r="U354" s="102"/>
      <c r="V354" s="102"/>
      <c r="W354" s="102"/>
      <c r="X354" s="278" t="s">
        <v>572</v>
      </c>
      <c r="Y354" s="11" t="s">
        <v>65</v>
      </c>
      <c r="Z354" s="2" t="s">
        <v>8</v>
      </c>
      <c r="AA354" s="529" t="s">
        <v>7</v>
      </c>
      <c r="AB354" s="163" t="s">
        <v>414</v>
      </c>
      <c r="AC354" s="311"/>
      <c r="AD354" s="173">
        <f>AD355</f>
        <v>55464.6</v>
      </c>
      <c r="AE354" s="173">
        <f t="shared" ref="AE354" si="128">AE355</f>
        <v>55464.6</v>
      </c>
      <c r="AF354" s="173">
        <f t="shared" si="127"/>
        <v>55464.6</v>
      </c>
      <c r="AG354" s="575">
        <f t="shared" si="117"/>
        <v>1</v>
      </c>
      <c r="AH354" s="194"/>
      <c r="AI354" s="156"/>
    </row>
    <row r="355" spans="1:35" s="84" customFormat="1" ht="31.5" x14ac:dyDescent="0.25">
      <c r="A355" s="75"/>
      <c r="B355" s="76"/>
      <c r="C355" s="78"/>
      <c r="D355" s="79"/>
      <c r="E355" s="79"/>
      <c r="F355" s="79"/>
      <c r="G355" s="80"/>
      <c r="H355" s="80"/>
      <c r="I355" s="80"/>
      <c r="J355" s="80"/>
      <c r="K355" s="80"/>
      <c r="L355" s="80"/>
      <c r="M355" s="80"/>
      <c r="N355" s="80"/>
      <c r="O355" s="81"/>
      <c r="P355" s="80"/>
      <c r="Q355" s="82"/>
      <c r="R355" s="102"/>
      <c r="S355" s="102"/>
      <c r="T355" s="102"/>
      <c r="U355" s="102"/>
      <c r="V355" s="102"/>
      <c r="W355" s="102"/>
      <c r="X355" s="278" t="s">
        <v>466</v>
      </c>
      <c r="Y355" s="11" t="s">
        <v>65</v>
      </c>
      <c r="Z355" s="1" t="s">
        <v>8</v>
      </c>
      <c r="AA355" s="529" t="s">
        <v>7</v>
      </c>
      <c r="AB355" s="163" t="s">
        <v>415</v>
      </c>
      <c r="AC355" s="311"/>
      <c r="AD355" s="173">
        <f t="shared" ref="AD355:AF357" si="129">AD356</f>
        <v>55464.6</v>
      </c>
      <c r="AE355" s="173">
        <f t="shared" si="129"/>
        <v>55464.6</v>
      </c>
      <c r="AF355" s="173">
        <f t="shared" si="129"/>
        <v>55464.6</v>
      </c>
      <c r="AG355" s="575">
        <f t="shared" si="117"/>
        <v>1</v>
      </c>
      <c r="AH355" s="194"/>
      <c r="AI355" s="156"/>
    </row>
    <row r="356" spans="1:35" s="84" customFormat="1" ht="31.5" x14ac:dyDescent="0.25">
      <c r="A356" s="75"/>
      <c r="B356" s="76"/>
      <c r="C356" s="78"/>
      <c r="D356" s="79"/>
      <c r="E356" s="79"/>
      <c r="F356" s="79"/>
      <c r="G356" s="80"/>
      <c r="H356" s="80"/>
      <c r="I356" s="80"/>
      <c r="J356" s="80"/>
      <c r="K356" s="80"/>
      <c r="L356" s="80"/>
      <c r="M356" s="80"/>
      <c r="N356" s="80"/>
      <c r="O356" s="81"/>
      <c r="P356" s="80"/>
      <c r="Q356" s="82"/>
      <c r="R356" s="102"/>
      <c r="S356" s="102"/>
      <c r="T356" s="102"/>
      <c r="U356" s="102"/>
      <c r="V356" s="102"/>
      <c r="W356" s="102"/>
      <c r="X356" s="401" t="s">
        <v>413</v>
      </c>
      <c r="Y356" s="11" t="s">
        <v>65</v>
      </c>
      <c r="Z356" s="1" t="s">
        <v>8</v>
      </c>
      <c r="AA356" s="529" t="s">
        <v>7</v>
      </c>
      <c r="AB356" s="163" t="s">
        <v>416</v>
      </c>
      <c r="AC356" s="311"/>
      <c r="AD356" s="173">
        <f t="shared" si="129"/>
        <v>55464.6</v>
      </c>
      <c r="AE356" s="173">
        <f t="shared" si="129"/>
        <v>55464.6</v>
      </c>
      <c r="AF356" s="173">
        <f t="shared" si="129"/>
        <v>55464.6</v>
      </c>
      <c r="AG356" s="575">
        <f t="shared" si="117"/>
        <v>1</v>
      </c>
      <c r="AH356" s="194"/>
      <c r="AI356" s="156"/>
    </row>
    <row r="357" spans="1:35" s="84" customFormat="1" ht="31.5" x14ac:dyDescent="0.25">
      <c r="A357" s="75"/>
      <c r="B357" s="76"/>
      <c r="C357" s="78"/>
      <c r="D357" s="79"/>
      <c r="E357" s="79"/>
      <c r="F357" s="79"/>
      <c r="G357" s="80"/>
      <c r="H357" s="80"/>
      <c r="I357" s="80"/>
      <c r="J357" s="80"/>
      <c r="K357" s="80"/>
      <c r="L357" s="80"/>
      <c r="M357" s="80"/>
      <c r="N357" s="80"/>
      <c r="O357" s="81"/>
      <c r="P357" s="80"/>
      <c r="Q357" s="82"/>
      <c r="R357" s="102"/>
      <c r="S357" s="102"/>
      <c r="T357" s="102"/>
      <c r="U357" s="102"/>
      <c r="V357" s="102"/>
      <c r="W357" s="102"/>
      <c r="X357" s="403" t="s">
        <v>62</v>
      </c>
      <c r="Y357" s="11" t="s">
        <v>65</v>
      </c>
      <c r="Z357" s="1" t="s">
        <v>8</v>
      </c>
      <c r="AA357" s="529" t="s">
        <v>7</v>
      </c>
      <c r="AB357" s="163" t="s">
        <v>416</v>
      </c>
      <c r="AC357" s="311">
        <v>600</v>
      </c>
      <c r="AD357" s="173">
        <f t="shared" si="129"/>
        <v>55464.6</v>
      </c>
      <c r="AE357" s="173">
        <f t="shared" si="129"/>
        <v>55464.6</v>
      </c>
      <c r="AF357" s="173">
        <f t="shared" si="129"/>
        <v>55464.6</v>
      </c>
      <c r="AG357" s="575">
        <f t="shared" si="117"/>
        <v>1</v>
      </c>
      <c r="AH357" s="194"/>
      <c r="AI357" s="156"/>
    </row>
    <row r="358" spans="1:35" s="84" customFormat="1" x14ac:dyDescent="0.25">
      <c r="A358" s="75"/>
      <c r="B358" s="76"/>
      <c r="C358" s="78"/>
      <c r="D358" s="79"/>
      <c r="E358" s="79"/>
      <c r="F358" s="79"/>
      <c r="G358" s="80"/>
      <c r="H358" s="80"/>
      <c r="I358" s="80"/>
      <c r="J358" s="80"/>
      <c r="K358" s="80"/>
      <c r="L358" s="80"/>
      <c r="M358" s="80"/>
      <c r="N358" s="80"/>
      <c r="O358" s="81"/>
      <c r="P358" s="80"/>
      <c r="Q358" s="82"/>
      <c r="R358" s="102"/>
      <c r="S358" s="102"/>
      <c r="T358" s="102"/>
      <c r="U358" s="102"/>
      <c r="V358" s="102"/>
      <c r="W358" s="102"/>
      <c r="X358" s="278" t="s">
        <v>63</v>
      </c>
      <c r="Y358" s="11" t="s">
        <v>65</v>
      </c>
      <c r="Z358" s="1" t="s">
        <v>8</v>
      </c>
      <c r="AA358" s="529" t="s">
        <v>7</v>
      </c>
      <c r="AB358" s="163" t="s">
        <v>416</v>
      </c>
      <c r="AC358" s="311">
        <v>610</v>
      </c>
      <c r="AD358" s="168">
        <f>47610+6239.9+1614.7</f>
        <v>55464.6</v>
      </c>
      <c r="AE358" s="168">
        <f>47610+6239.9+1614.7</f>
        <v>55464.6</v>
      </c>
      <c r="AF358" s="168">
        <v>55464.6</v>
      </c>
      <c r="AG358" s="575">
        <f t="shared" si="117"/>
        <v>1</v>
      </c>
      <c r="AH358" s="194"/>
      <c r="AI358" s="156"/>
    </row>
    <row r="359" spans="1:35" x14ac:dyDescent="0.25">
      <c r="A359" s="54"/>
      <c r="B359" s="85"/>
      <c r="C359" s="86"/>
      <c r="D359" s="86"/>
      <c r="E359" s="87"/>
      <c r="F359" s="87"/>
      <c r="G359" s="88"/>
      <c r="H359" s="88"/>
      <c r="I359" s="88"/>
      <c r="J359" s="88"/>
      <c r="K359" s="88"/>
      <c r="L359" s="80"/>
      <c r="M359" s="88"/>
      <c r="N359" s="80"/>
      <c r="O359" s="89"/>
      <c r="P359" s="88"/>
      <c r="Q359" s="90"/>
      <c r="R359" s="94"/>
      <c r="S359" s="94"/>
      <c r="T359" s="94"/>
      <c r="U359" s="94"/>
      <c r="V359" s="94"/>
      <c r="W359" s="94"/>
      <c r="X359" s="278" t="s">
        <v>138</v>
      </c>
      <c r="Y359" s="11" t="s">
        <v>65</v>
      </c>
      <c r="Z359" s="1" t="s">
        <v>8</v>
      </c>
      <c r="AA359" s="529" t="s">
        <v>8</v>
      </c>
      <c r="AB359" s="33"/>
      <c r="AC359" s="311"/>
      <c r="AD359" s="168">
        <f>AD360+AD366</f>
        <v>932.59999999999991</v>
      </c>
      <c r="AE359" s="168">
        <f>AE360+AE366</f>
        <v>932.59999999999991</v>
      </c>
      <c r="AF359" s="168">
        <f>AF360+AF366</f>
        <v>926.80000000000007</v>
      </c>
      <c r="AG359" s="575">
        <f t="shared" si="117"/>
        <v>0.99378082779326626</v>
      </c>
      <c r="AH359" s="194"/>
      <c r="AI359" s="156"/>
    </row>
    <row r="360" spans="1:35" ht="31.5" x14ac:dyDescent="0.25">
      <c r="A360" s="54"/>
      <c r="B360" s="85"/>
      <c r="C360" s="86"/>
      <c r="D360" s="86"/>
      <c r="E360" s="87"/>
      <c r="F360" s="87"/>
      <c r="G360" s="88"/>
      <c r="H360" s="88"/>
      <c r="I360" s="88"/>
      <c r="J360" s="88"/>
      <c r="K360" s="88"/>
      <c r="L360" s="80"/>
      <c r="M360" s="88"/>
      <c r="N360" s="80"/>
      <c r="O360" s="89"/>
      <c r="P360" s="88"/>
      <c r="Q360" s="90"/>
      <c r="R360" s="94"/>
      <c r="S360" s="94"/>
      <c r="T360" s="94"/>
      <c r="U360" s="94"/>
      <c r="V360" s="94"/>
      <c r="W360" s="94"/>
      <c r="X360" s="284" t="s">
        <v>168</v>
      </c>
      <c r="Y360" s="11" t="s">
        <v>65</v>
      </c>
      <c r="Z360" s="1" t="s">
        <v>8</v>
      </c>
      <c r="AA360" s="529" t="s">
        <v>8</v>
      </c>
      <c r="AB360" s="33" t="s">
        <v>105</v>
      </c>
      <c r="AC360" s="311"/>
      <c r="AD360" s="168">
        <f>AD361</f>
        <v>298.59999999999997</v>
      </c>
      <c r="AE360" s="168">
        <f>AE361</f>
        <v>298.59999999999997</v>
      </c>
      <c r="AF360" s="168">
        <f>AF361</f>
        <v>298.60000000000002</v>
      </c>
      <c r="AG360" s="575">
        <f t="shared" si="117"/>
        <v>1.0000000000000002</v>
      </c>
      <c r="AH360" s="194"/>
      <c r="AI360" s="156"/>
    </row>
    <row r="361" spans="1:35" x14ac:dyDescent="0.25">
      <c r="A361" s="54"/>
      <c r="B361" s="85"/>
      <c r="C361" s="86"/>
      <c r="D361" s="86"/>
      <c r="E361" s="87"/>
      <c r="F361" s="87"/>
      <c r="G361" s="88"/>
      <c r="H361" s="88"/>
      <c r="I361" s="88"/>
      <c r="J361" s="88"/>
      <c r="K361" s="88"/>
      <c r="L361" s="80"/>
      <c r="M361" s="88"/>
      <c r="N361" s="80"/>
      <c r="O361" s="89"/>
      <c r="P361" s="88"/>
      <c r="Q361" s="90"/>
      <c r="R361" s="94"/>
      <c r="S361" s="94"/>
      <c r="T361" s="94"/>
      <c r="U361" s="94"/>
      <c r="V361" s="94"/>
      <c r="W361" s="94"/>
      <c r="X361" s="284" t="s">
        <v>169</v>
      </c>
      <c r="Y361" s="11" t="s">
        <v>65</v>
      </c>
      <c r="Z361" s="1" t="s">
        <v>8</v>
      </c>
      <c r="AA361" s="529" t="s">
        <v>8</v>
      </c>
      <c r="AB361" s="33" t="s">
        <v>109</v>
      </c>
      <c r="AC361" s="311"/>
      <c r="AD361" s="168">
        <f>AD362</f>
        <v>298.59999999999997</v>
      </c>
      <c r="AE361" s="168">
        <f>AE362</f>
        <v>298.59999999999997</v>
      </c>
      <c r="AF361" s="168">
        <f t="shared" ref="AF361" si="130">AF362</f>
        <v>298.60000000000002</v>
      </c>
      <c r="AG361" s="575">
        <f t="shared" si="117"/>
        <v>1.0000000000000002</v>
      </c>
      <c r="AH361" s="194"/>
      <c r="AI361" s="156"/>
    </row>
    <row r="362" spans="1:35" ht="31.5" x14ac:dyDescent="0.25">
      <c r="A362" s="54"/>
      <c r="B362" s="85"/>
      <c r="C362" s="86"/>
      <c r="D362" s="86"/>
      <c r="E362" s="87"/>
      <c r="F362" s="87"/>
      <c r="G362" s="88"/>
      <c r="H362" s="88"/>
      <c r="I362" s="88"/>
      <c r="J362" s="88"/>
      <c r="K362" s="88"/>
      <c r="L362" s="80"/>
      <c r="M362" s="88"/>
      <c r="N362" s="80"/>
      <c r="O362" s="89"/>
      <c r="P362" s="88"/>
      <c r="Q362" s="90"/>
      <c r="R362" s="94"/>
      <c r="S362" s="94"/>
      <c r="T362" s="94"/>
      <c r="U362" s="94"/>
      <c r="V362" s="94"/>
      <c r="W362" s="94"/>
      <c r="X362" s="301" t="s">
        <v>606</v>
      </c>
      <c r="Y362" s="11" t="s">
        <v>65</v>
      </c>
      <c r="Z362" s="1" t="s">
        <v>8</v>
      </c>
      <c r="AA362" s="529" t="s">
        <v>8</v>
      </c>
      <c r="AB362" s="163" t="s">
        <v>170</v>
      </c>
      <c r="AC362" s="311"/>
      <c r="AD362" s="168">
        <f t="shared" ref="AD362:AF363" si="131">AD363</f>
        <v>298.59999999999997</v>
      </c>
      <c r="AE362" s="168">
        <f t="shared" si="131"/>
        <v>298.59999999999997</v>
      </c>
      <c r="AF362" s="168">
        <f t="shared" si="131"/>
        <v>298.60000000000002</v>
      </c>
      <c r="AG362" s="575">
        <f t="shared" si="117"/>
        <v>1.0000000000000002</v>
      </c>
      <c r="AH362" s="194"/>
      <c r="AI362" s="156"/>
    </row>
    <row r="363" spans="1:35" ht="33.6" customHeight="1" x14ac:dyDescent="0.25">
      <c r="A363" s="54"/>
      <c r="B363" s="85"/>
      <c r="C363" s="86"/>
      <c r="D363" s="86"/>
      <c r="E363" s="87"/>
      <c r="F363" s="87"/>
      <c r="G363" s="88"/>
      <c r="H363" s="88"/>
      <c r="I363" s="88"/>
      <c r="J363" s="88"/>
      <c r="K363" s="88"/>
      <c r="L363" s="80"/>
      <c r="M363" s="88"/>
      <c r="N363" s="80"/>
      <c r="O363" s="89"/>
      <c r="P363" s="88"/>
      <c r="Q363" s="90"/>
      <c r="R363" s="94"/>
      <c r="S363" s="94"/>
      <c r="T363" s="94"/>
      <c r="U363" s="94"/>
      <c r="V363" s="94"/>
      <c r="W363" s="94"/>
      <c r="X363" s="284" t="s">
        <v>730</v>
      </c>
      <c r="Y363" s="11" t="s">
        <v>65</v>
      </c>
      <c r="Z363" s="1" t="s">
        <v>8</v>
      </c>
      <c r="AA363" s="529" t="s">
        <v>8</v>
      </c>
      <c r="AB363" s="163" t="s">
        <v>731</v>
      </c>
      <c r="AC363" s="311"/>
      <c r="AD363" s="168">
        <f t="shared" si="131"/>
        <v>298.59999999999997</v>
      </c>
      <c r="AE363" s="168">
        <f t="shared" si="131"/>
        <v>298.59999999999997</v>
      </c>
      <c r="AF363" s="168">
        <f t="shared" si="131"/>
        <v>298.60000000000002</v>
      </c>
      <c r="AG363" s="575">
        <f t="shared" si="117"/>
        <v>1.0000000000000002</v>
      </c>
      <c r="AH363" s="194"/>
      <c r="AI363" s="156"/>
    </row>
    <row r="364" spans="1:35" x14ac:dyDescent="0.25">
      <c r="A364" s="54"/>
      <c r="B364" s="85"/>
      <c r="C364" s="86"/>
      <c r="D364" s="86"/>
      <c r="E364" s="87"/>
      <c r="F364" s="87"/>
      <c r="G364" s="88"/>
      <c r="H364" s="88"/>
      <c r="I364" s="88"/>
      <c r="J364" s="88"/>
      <c r="K364" s="88"/>
      <c r="L364" s="80"/>
      <c r="M364" s="88"/>
      <c r="N364" s="80"/>
      <c r="O364" s="89"/>
      <c r="P364" s="88"/>
      <c r="Q364" s="90"/>
      <c r="R364" s="94"/>
      <c r="S364" s="94"/>
      <c r="T364" s="94"/>
      <c r="U364" s="94"/>
      <c r="V364" s="94"/>
      <c r="W364" s="94"/>
      <c r="X364" s="278" t="s">
        <v>123</v>
      </c>
      <c r="Y364" s="11" t="s">
        <v>65</v>
      </c>
      <c r="Z364" s="1" t="s">
        <v>8</v>
      </c>
      <c r="AA364" s="529" t="s">
        <v>8</v>
      </c>
      <c r="AB364" s="163" t="s">
        <v>731</v>
      </c>
      <c r="AC364" s="309">
        <v>200</v>
      </c>
      <c r="AD364" s="168">
        <f>AD365</f>
        <v>298.59999999999997</v>
      </c>
      <c r="AE364" s="168">
        <f>AE365</f>
        <v>298.59999999999997</v>
      </c>
      <c r="AF364" s="168">
        <f>AF365</f>
        <v>298.60000000000002</v>
      </c>
      <c r="AG364" s="575">
        <f t="shared" si="117"/>
        <v>1.0000000000000002</v>
      </c>
      <c r="AH364" s="194"/>
      <c r="AI364" s="156"/>
    </row>
    <row r="365" spans="1:35" ht="31.5" x14ac:dyDescent="0.25">
      <c r="A365" s="54"/>
      <c r="B365" s="85"/>
      <c r="C365" s="86"/>
      <c r="D365" s="86"/>
      <c r="E365" s="87"/>
      <c r="F365" s="87"/>
      <c r="G365" s="88"/>
      <c r="H365" s="88"/>
      <c r="I365" s="88"/>
      <c r="J365" s="88"/>
      <c r="K365" s="88"/>
      <c r="L365" s="80"/>
      <c r="M365" s="88"/>
      <c r="N365" s="80"/>
      <c r="O365" s="89"/>
      <c r="P365" s="88"/>
      <c r="Q365" s="90"/>
      <c r="R365" s="94"/>
      <c r="S365" s="94"/>
      <c r="T365" s="94"/>
      <c r="U365" s="94"/>
      <c r="V365" s="94"/>
      <c r="W365" s="94"/>
      <c r="X365" s="278" t="s">
        <v>54</v>
      </c>
      <c r="Y365" s="11" t="s">
        <v>65</v>
      </c>
      <c r="Z365" s="1" t="s">
        <v>8</v>
      </c>
      <c r="AA365" s="529" t="s">
        <v>8</v>
      </c>
      <c r="AB365" s="163" t="s">
        <v>731</v>
      </c>
      <c r="AC365" s="309">
        <v>240</v>
      </c>
      <c r="AD365" s="168">
        <f>295.2+3.4</f>
        <v>298.59999999999997</v>
      </c>
      <c r="AE365" s="168">
        <f>295.2+3.4</f>
        <v>298.59999999999997</v>
      </c>
      <c r="AF365" s="168">
        <v>298.60000000000002</v>
      </c>
      <c r="AG365" s="575">
        <f t="shared" si="117"/>
        <v>1.0000000000000002</v>
      </c>
      <c r="AH365" s="194"/>
      <c r="AI365" s="156"/>
    </row>
    <row r="366" spans="1:35" ht="31.5" x14ac:dyDescent="0.25">
      <c r="A366" s="97"/>
      <c r="B366" s="85"/>
      <c r="C366" s="85"/>
      <c r="D366" s="85"/>
      <c r="E366" s="87"/>
      <c r="F366" s="86"/>
      <c r="G366" s="88"/>
      <c r="H366" s="47"/>
      <c r="I366" s="98"/>
      <c r="J366" s="98"/>
      <c r="K366" s="98"/>
      <c r="L366" s="88"/>
      <c r="M366" s="98"/>
      <c r="N366" s="88"/>
      <c r="O366" s="89"/>
      <c r="P366" s="48"/>
      <c r="Q366" s="90"/>
      <c r="R366" s="94"/>
      <c r="S366" s="94"/>
      <c r="T366" s="94"/>
      <c r="U366" s="94"/>
      <c r="V366" s="94"/>
      <c r="X366" s="280" t="s">
        <v>315</v>
      </c>
      <c r="Y366" s="11" t="s">
        <v>65</v>
      </c>
      <c r="Z366" s="1" t="s">
        <v>8</v>
      </c>
      <c r="AA366" s="529" t="s">
        <v>8</v>
      </c>
      <c r="AB366" s="163" t="s">
        <v>134</v>
      </c>
      <c r="AC366" s="309"/>
      <c r="AD366" s="168">
        <f t="shared" ref="AD366:AF370" si="132">AD367</f>
        <v>634</v>
      </c>
      <c r="AE366" s="168">
        <f t="shared" si="132"/>
        <v>634</v>
      </c>
      <c r="AF366" s="168">
        <f t="shared" si="132"/>
        <v>628.20000000000005</v>
      </c>
      <c r="AG366" s="575">
        <f t="shared" si="117"/>
        <v>0.99085173501577295</v>
      </c>
      <c r="AH366" s="194"/>
      <c r="AI366" s="156"/>
    </row>
    <row r="367" spans="1:35" x14ac:dyDescent="0.25">
      <c r="A367" s="97"/>
      <c r="B367" s="85"/>
      <c r="C367" s="85"/>
      <c r="D367" s="85"/>
      <c r="E367" s="87"/>
      <c r="F367" s="86"/>
      <c r="G367" s="88"/>
      <c r="H367" s="47"/>
      <c r="I367" s="98"/>
      <c r="J367" s="98"/>
      <c r="K367" s="98"/>
      <c r="L367" s="88"/>
      <c r="M367" s="98"/>
      <c r="N367" s="88"/>
      <c r="O367" s="89"/>
      <c r="P367" s="48"/>
      <c r="Q367" s="90"/>
      <c r="R367" s="94"/>
      <c r="S367" s="94"/>
      <c r="T367" s="94"/>
      <c r="U367" s="94"/>
      <c r="V367" s="94"/>
      <c r="X367" s="280" t="s">
        <v>324</v>
      </c>
      <c r="Y367" s="11" t="s">
        <v>65</v>
      </c>
      <c r="Z367" s="18" t="s">
        <v>8</v>
      </c>
      <c r="AA367" s="559" t="s">
        <v>8</v>
      </c>
      <c r="AB367" s="163" t="s">
        <v>325</v>
      </c>
      <c r="AC367" s="309"/>
      <c r="AD367" s="168">
        <f>AD368</f>
        <v>634</v>
      </c>
      <c r="AE367" s="168">
        <f t="shared" si="132"/>
        <v>634</v>
      </c>
      <c r="AF367" s="168">
        <f t="shared" si="132"/>
        <v>628.20000000000005</v>
      </c>
      <c r="AG367" s="575">
        <f t="shared" si="117"/>
        <v>0.99085173501577295</v>
      </c>
      <c r="AH367" s="194"/>
      <c r="AI367" s="156"/>
    </row>
    <row r="368" spans="1:35" x14ac:dyDescent="0.25">
      <c r="A368" s="97"/>
      <c r="B368" s="85"/>
      <c r="C368" s="85"/>
      <c r="D368" s="85"/>
      <c r="E368" s="87"/>
      <c r="F368" s="86"/>
      <c r="G368" s="88"/>
      <c r="H368" s="47"/>
      <c r="I368" s="98"/>
      <c r="J368" s="98"/>
      <c r="K368" s="98"/>
      <c r="L368" s="88"/>
      <c r="M368" s="98"/>
      <c r="N368" s="88"/>
      <c r="O368" s="89"/>
      <c r="P368" s="48"/>
      <c r="Q368" s="90"/>
      <c r="R368" s="94"/>
      <c r="S368" s="94"/>
      <c r="T368" s="94"/>
      <c r="U368" s="94"/>
      <c r="V368" s="94"/>
      <c r="X368" s="296" t="s">
        <v>591</v>
      </c>
      <c r="Y368" s="11" t="s">
        <v>65</v>
      </c>
      <c r="Z368" s="18" t="s">
        <v>8</v>
      </c>
      <c r="AA368" s="559" t="s">
        <v>8</v>
      </c>
      <c r="AB368" s="163" t="s">
        <v>326</v>
      </c>
      <c r="AC368" s="309"/>
      <c r="AD368" s="168">
        <f t="shared" si="132"/>
        <v>634</v>
      </c>
      <c r="AE368" s="168">
        <f t="shared" si="132"/>
        <v>634</v>
      </c>
      <c r="AF368" s="168">
        <f t="shared" si="132"/>
        <v>628.20000000000005</v>
      </c>
      <c r="AG368" s="575">
        <f t="shared" si="117"/>
        <v>0.99085173501577295</v>
      </c>
      <c r="AH368" s="194"/>
      <c r="AI368" s="156"/>
    </row>
    <row r="369" spans="1:35" ht="31.5" x14ac:dyDescent="0.25">
      <c r="A369" s="97"/>
      <c r="B369" s="85"/>
      <c r="C369" s="85"/>
      <c r="D369" s="85"/>
      <c r="E369" s="87"/>
      <c r="F369" s="86"/>
      <c r="G369" s="88"/>
      <c r="H369" s="47"/>
      <c r="I369" s="98"/>
      <c r="J369" s="98"/>
      <c r="K369" s="98"/>
      <c r="L369" s="88"/>
      <c r="M369" s="98"/>
      <c r="N369" s="88"/>
      <c r="O369" s="89"/>
      <c r="P369" s="48"/>
      <c r="Q369" s="90"/>
      <c r="R369" s="94"/>
      <c r="S369" s="94"/>
      <c r="T369" s="94"/>
      <c r="U369" s="94"/>
      <c r="V369" s="94"/>
      <c r="X369" s="302" t="s">
        <v>327</v>
      </c>
      <c r="Y369" s="11" t="s">
        <v>65</v>
      </c>
      <c r="Z369" s="1" t="s">
        <v>8</v>
      </c>
      <c r="AA369" s="529" t="s">
        <v>8</v>
      </c>
      <c r="AB369" s="163" t="s">
        <v>328</v>
      </c>
      <c r="AC369" s="309"/>
      <c r="AD369" s="168">
        <f>AD370+AD372</f>
        <v>634</v>
      </c>
      <c r="AE369" s="168">
        <f>AE370+AE372</f>
        <v>634</v>
      </c>
      <c r="AF369" s="168">
        <f t="shared" ref="AF369" si="133">AF370+AF372</f>
        <v>628.20000000000005</v>
      </c>
      <c r="AG369" s="575">
        <f t="shared" si="117"/>
        <v>0.99085173501577295</v>
      </c>
      <c r="AH369" s="194"/>
      <c r="AI369" s="156"/>
    </row>
    <row r="370" spans="1:35" x14ac:dyDescent="0.25">
      <c r="A370" s="97"/>
      <c r="B370" s="85"/>
      <c r="C370" s="85"/>
      <c r="D370" s="85"/>
      <c r="E370" s="87"/>
      <c r="F370" s="86"/>
      <c r="G370" s="88"/>
      <c r="H370" s="47"/>
      <c r="I370" s="98"/>
      <c r="J370" s="98"/>
      <c r="K370" s="98"/>
      <c r="L370" s="88"/>
      <c r="M370" s="98"/>
      <c r="N370" s="88"/>
      <c r="O370" s="89"/>
      <c r="P370" s="48"/>
      <c r="Q370" s="90"/>
      <c r="R370" s="94"/>
      <c r="S370" s="94"/>
      <c r="T370" s="94"/>
      <c r="U370" s="94"/>
      <c r="V370" s="94"/>
      <c r="X370" s="278" t="s">
        <v>123</v>
      </c>
      <c r="Y370" s="11" t="s">
        <v>65</v>
      </c>
      <c r="Z370" s="18" t="s">
        <v>8</v>
      </c>
      <c r="AA370" s="559" t="s">
        <v>8</v>
      </c>
      <c r="AB370" s="163" t="s">
        <v>328</v>
      </c>
      <c r="AC370" s="309">
        <v>200</v>
      </c>
      <c r="AD370" s="168">
        <f t="shared" si="132"/>
        <v>280</v>
      </c>
      <c r="AE370" s="168">
        <f t="shared" si="132"/>
        <v>280</v>
      </c>
      <c r="AF370" s="168">
        <f t="shared" si="132"/>
        <v>280</v>
      </c>
      <c r="AG370" s="575">
        <f t="shared" si="117"/>
        <v>1</v>
      </c>
      <c r="AH370" s="194"/>
      <c r="AI370" s="156"/>
    </row>
    <row r="371" spans="1:35" ht="31.5" x14ac:dyDescent="0.25">
      <c r="A371" s="97"/>
      <c r="B371" s="85"/>
      <c r="C371" s="85"/>
      <c r="D371" s="85"/>
      <c r="E371" s="87"/>
      <c r="F371" s="86"/>
      <c r="G371" s="88"/>
      <c r="H371" s="47"/>
      <c r="I371" s="98"/>
      <c r="J371" s="98"/>
      <c r="K371" s="98"/>
      <c r="L371" s="88"/>
      <c r="M371" s="98"/>
      <c r="N371" s="88"/>
      <c r="O371" s="89"/>
      <c r="P371" s="48"/>
      <c r="Q371" s="90"/>
      <c r="R371" s="94"/>
      <c r="S371" s="94"/>
      <c r="T371" s="94"/>
      <c r="U371" s="94"/>
      <c r="V371" s="94"/>
      <c r="X371" s="278" t="s">
        <v>54</v>
      </c>
      <c r="Y371" s="11" t="s">
        <v>65</v>
      </c>
      <c r="Z371" s="18" t="s">
        <v>8</v>
      </c>
      <c r="AA371" s="559" t="s">
        <v>8</v>
      </c>
      <c r="AB371" s="163" t="s">
        <v>328</v>
      </c>
      <c r="AC371" s="309">
        <v>240</v>
      </c>
      <c r="AD371" s="168">
        <f>384-104</f>
        <v>280</v>
      </c>
      <c r="AE371" s="168">
        <f>384-104</f>
        <v>280</v>
      </c>
      <c r="AF371" s="168">
        <v>280</v>
      </c>
      <c r="AG371" s="575">
        <f t="shared" si="117"/>
        <v>1</v>
      </c>
      <c r="AH371" s="194"/>
      <c r="AI371" s="156"/>
    </row>
    <row r="372" spans="1:35" ht="31.5" x14ac:dyDescent="0.25">
      <c r="A372" s="97"/>
      <c r="B372" s="85"/>
      <c r="C372" s="85"/>
      <c r="D372" s="85"/>
      <c r="E372" s="87"/>
      <c r="F372" s="86"/>
      <c r="G372" s="88"/>
      <c r="H372" s="47"/>
      <c r="I372" s="98"/>
      <c r="J372" s="98"/>
      <c r="K372" s="98"/>
      <c r="L372" s="88"/>
      <c r="M372" s="98"/>
      <c r="N372" s="88"/>
      <c r="O372" s="89"/>
      <c r="P372" s="48"/>
      <c r="Q372" s="90"/>
      <c r="R372" s="94"/>
      <c r="S372" s="94"/>
      <c r="T372" s="94"/>
      <c r="U372" s="94"/>
      <c r="V372" s="94"/>
      <c r="X372" s="278" t="s">
        <v>62</v>
      </c>
      <c r="Y372" s="11" t="s">
        <v>65</v>
      </c>
      <c r="Z372" s="18" t="s">
        <v>8</v>
      </c>
      <c r="AA372" s="559" t="s">
        <v>8</v>
      </c>
      <c r="AB372" s="163" t="s">
        <v>328</v>
      </c>
      <c r="AC372" s="309">
        <v>600</v>
      </c>
      <c r="AD372" s="168">
        <f>AD373</f>
        <v>354</v>
      </c>
      <c r="AE372" s="168">
        <f>AE373</f>
        <v>354</v>
      </c>
      <c r="AF372" s="168">
        <f t="shared" ref="AF372" si="134">AF373</f>
        <v>348.2</v>
      </c>
      <c r="AG372" s="575">
        <f t="shared" si="117"/>
        <v>0.98361581920903951</v>
      </c>
      <c r="AH372" s="194"/>
      <c r="AI372" s="156"/>
    </row>
    <row r="373" spans="1:35" x14ac:dyDescent="0.25">
      <c r="A373" s="97"/>
      <c r="B373" s="85"/>
      <c r="C373" s="85"/>
      <c r="D373" s="85"/>
      <c r="E373" s="87"/>
      <c r="F373" s="86"/>
      <c r="G373" s="88"/>
      <c r="H373" s="47"/>
      <c r="I373" s="98"/>
      <c r="J373" s="98"/>
      <c r="K373" s="98"/>
      <c r="L373" s="88"/>
      <c r="M373" s="98"/>
      <c r="N373" s="88"/>
      <c r="O373" s="89"/>
      <c r="P373" s="48"/>
      <c r="Q373" s="90"/>
      <c r="R373" s="94"/>
      <c r="S373" s="94"/>
      <c r="T373" s="94"/>
      <c r="U373" s="94"/>
      <c r="V373" s="94"/>
      <c r="X373" s="278" t="s">
        <v>63</v>
      </c>
      <c r="Y373" s="11" t="s">
        <v>65</v>
      </c>
      <c r="Z373" s="18" t="s">
        <v>8</v>
      </c>
      <c r="AA373" s="559" t="s">
        <v>8</v>
      </c>
      <c r="AB373" s="163" t="s">
        <v>328</v>
      </c>
      <c r="AC373" s="309">
        <v>610</v>
      </c>
      <c r="AD373" s="168">
        <f>104+250</f>
        <v>354</v>
      </c>
      <c r="AE373" s="168">
        <f>104+250</f>
        <v>354</v>
      </c>
      <c r="AF373" s="168">
        <v>348.2</v>
      </c>
      <c r="AG373" s="575">
        <f t="shared" si="117"/>
        <v>0.98361581920903951</v>
      </c>
      <c r="AH373" s="194"/>
      <c r="AI373" s="156"/>
    </row>
    <row r="374" spans="1:35" x14ac:dyDescent="0.25">
      <c r="A374" s="97"/>
      <c r="B374" s="85"/>
      <c r="C374" s="85"/>
      <c r="D374" s="85"/>
      <c r="E374" s="87"/>
      <c r="F374" s="86"/>
      <c r="G374" s="88"/>
      <c r="H374" s="47"/>
      <c r="I374" s="98"/>
      <c r="J374" s="98"/>
      <c r="K374" s="98"/>
      <c r="L374" s="88"/>
      <c r="M374" s="98"/>
      <c r="N374" s="88"/>
      <c r="O374" s="89"/>
      <c r="P374" s="48"/>
      <c r="Q374" s="90"/>
      <c r="R374" s="94"/>
      <c r="S374" s="94"/>
      <c r="T374" s="94"/>
      <c r="U374" s="94"/>
      <c r="V374" s="94"/>
      <c r="X374" s="278" t="s">
        <v>40</v>
      </c>
      <c r="Y374" s="11" t="s">
        <v>65</v>
      </c>
      <c r="Z374" s="1" t="s">
        <v>8</v>
      </c>
      <c r="AA374" s="529" t="s">
        <v>23</v>
      </c>
      <c r="AB374" s="33"/>
      <c r="AC374" s="309"/>
      <c r="AD374" s="168">
        <f>AD376</f>
        <v>1946.1999999999998</v>
      </c>
      <c r="AE374" s="168">
        <f>AE376</f>
        <v>1946.1999999999998</v>
      </c>
      <c r="AF374" s="168">
        <f>AF376</f>
        <v>1946.1</v>
      </c>
      <c r="AG374" s="575">
        <f t="shared" si="117"/>
        <v>0.9999486178193403</v>
      </c>
      <c r="AH374" s="194"/>
      <c r="AI374" s="156"/>
    </row>
    <row r="375" spans="1:35" x14ac:dyDescent="0.25">
      <c r="A375" s="97"/>
      <c r="B375" s="85"/>
      <c r="C375" s="85"/>
      <c r="D375" s="85"/>
      <c r="E375" s="87"/>
      <c r="F375" s="86"/>
      <c r="G375" s="88"/>
      <c r="H375" s="47"/>
      <c r="I375" s="98"/>
      <c r="J375" s="98"/>
      <c r="K375" s="98"/>
      <c r="L375" s="88"/>
      <c r="M375" s="98"/>
      <c r="N375" s="88"/>
      <c r="O375" s="89"/>
      <c r="P375" s="48"/>
      <c r="Q375" s="90"/>
      <c r="R375" s="94"/>
      <c r="S375" s="94"/>
      <c r="T375" s="94"/>
      <c r="U375" s="94"/>
      <c r="V375" s="94"/>
      <c r="X375" s="284" t="s">
        <v>309</v>
      </c>
      <c r="Y375" s="11" t="s">
        <v>65</v>
      </c>
      <c r="Z375" s="1" t="s">
        <v>8</v>
      </c>
      <c r="AA375" s="529" t="s">
        <v>23</v>
      </c>
      <c r="AB375" s="163" t="s">
        <v>112</v>
      </c>
      <c r="AC375" s="309"/>
      <c r="AD375" s="168">
        <f t="shared" ref="AD375:AF383" si="135">AD376</f>
        <v>1946.1999999999998</v>
      </c>
      <c r="AE375" s="168">
        <f t="shared" si="135"/>
        <v>1946.1999999999998</v>
      </c>
      <c r="AF375" s="168">
        <f t="shared" si="135"/>
        <v>1946.1</v>
      </c>
      <c r="AG375" s="575">
        <f t="shared" si="117"/>
        <v>0.9999486178193403</v>
      </c>
      <c r="AH375" s="194"/>
      <c r="AI375" s="156"/>
    </row>
    <row r="376" spans="1:35" x14ac:dyDescent="0.25">
      <c r="A376" s="97"/>
      <c r="B376" s="85"/>
      <c r="C376" s="85"/>
      <c r="D376" s="85"/>
      <c r="E376" s="87"/>
      <c r="F376" s="86"/>
      <c r="G376" s="88"/>
      <c r="H376" s="47"/>
      <c r="I376" s="98"/>
      <c r="J376" s="98"/>
      <c r="K376" s="98"/>
      <c r="L376" s="80"/>
      <c r="M376" s="98"/>
      <c r="N376" s="80"/>
      <c r="O376" s="89"/>
      <c r="P376" s="48"/>
      <c r="Q376" s="90"/>
      <c r="R376" s="94"/>
      <c r="S376" s="94"/>
      <c r="T376" s="94"/>
      <c r="U376" s="94"/>
      <c r="V376" s="94"/>
      <c r="X376" s="284" t="s">
        <v>313</v>
      </c>
      <c r="Y376" s="11" t="s">
        <v>65</v>
      </c>
      <c r="Z376" s="1" t="s">
        <v>8</v>
      </c>
      <c r="AA376" s="529" t="s">
        <v>23</v>
      </c>
      <c r="AB376" s="163" t="s">
        <v>113</v>
      </c>
      <c r="AC376" s="309"/>
      <c r="AD376" s="168">
        <f t="shared" si="135"/>
        <v>1946.1999999999998</v>
      </c>
      <c r="AE376" s="168">
        <f t="shared" si="135"/>
        <v>1946.1999999999998</v>
      </c>
      <c r="AF376" s="168">
        <f t="shared" si="135"/>
        <v>1946.1</v>
      </c>
      <c r="AG376" s="575">
        <f t="shared" ref="AG376:AG439" si="136">AF376/AE376</f>
        <v>0.9999486178193403</v>
      </c>
      <c r="AH376" s="194"/>
      <c r="AI376" s="156"/>
    </row>
    <row r="377" spans="1:35" x14ac:dyDescent="0.25">
      <c r="A377" s="97"/>
      <c r="B377" s="85"/>
      <c r="C377" s="85"/>
      <c r="D377" s="85"/>
      <c r="E377" s="87"/>
      <c r="F377" s="86"/>
      <c r="G377" s="88"/>
      <c r="H377" s="47"/>
      <c r="I377" s="98"/>
      <c r="J377" s="98"/>
      <c r="K377" s="98"/>
      <c r="L377" s="80"/>
      <c r="M377" s="98"/>
      <c r="N377" s="80"/>
      <c r="O377" s="89"/>
      <c r="P377" s="48"/>
      <c r="Q377" s="90"/>
      <c r="R377" s="94"/>
      <c r="S377" s="94"/>
      <c r="T377" s="94"/>
      <c r="U377" s="94"/>
      <c r="V377" s="94"/>
      <c r="X377" s="300" t="s">
        <v>579</v>
      </c>
      <c r="Y377" s="11" t="s">
        <v>65</v>
      </c>
      <c r="Z377" s="1" t="s">
        <v>8</v>
      </c>
      <c r="AA377" s="529" t="s">
        <v>23</v>
      </c>
      <c r="AB377" s="163" t="s">
        <v>578</v>
      </c>
      <c r="AC377" s="309"/>
      <c r="AD377" s="168">
        <f>AD383+AD378</f>
        <v>1946.1999999999998</v>
      </c>
      <c r="AE377" s="168">
        <f>AE383+AE378</f>
        <v>1946.1999999999998</v>
      </c>
      <c r="AF377" s="168">
        <f>AF383+AF378</f>
        <v>1946.1</v>
      </c>
      <c r="AG377" s="575">
        <f t="shared" si="136"/>
        <v>0.9999486178193403</v>
      </c>
      <c r="AH377" s="194"/>
      <c r="AI377" s="156"/>
    </row>
    <row r="378" spans="1:35" ht="47.25" x14ac:dyDescent="0.25">
      <c r="A378" s="97"/>
      <c r="B378" s="85"/>
      <c r="C378" s="85"/>
      <c r="D378" s="85"/>
      <c r="E378" s="87"/>
      <c r="F378" s="86"/>
      <c r="G378" s="88"/>
      <c r="H378" s="47"/>
      <c r="I378" s="98"/>
      <c r="J378" s="98"/>
      <c r="K378" s="98"/>
      <c r="L378" s="80"/>
      <c r="M378" s="98"/>
      <c r="N378" s="80"/>
      <c r="O378" s="89"/>
      <c r="P378" s="48"/>
      <c r="Q378" s="90"/>
      <c r="R378" s="94"/>
      <c r="S378" s="94"/>
      <c r="T378" s="94"/>
      <c r="U378" s="94"/>
      <c r="V378" s="94"/>
      <c r="X378" s="300" t="s">
        <v>785</v>
      </c>
      <c r="Y378" s="11" t="s">
        <v>65</v>
      </c>
      <c r="Z378" s="1" t="s">
        <v>8</v>
      </c>
      <c r="AA378" s="529" t="s">
        <v>23</v>
      </c>
      <c r="AB378" s="163" t="s">
        <v>786</v>
      </c>
      <c r="AC378" s="309"/>
      <c r="AD378" s="168">
        <f>AD379+AD381</f>
        <v>52.900000000000006</v>
      </c>
      <c r="AE378" s="168">
        <f>AE379+AE381</f>
        <v>52.900000000000006</v>
      </c>
      <c r="AF378" s="168">
        <f>AF379+AF381</f>
        <v>52.8</v>
      </c>
      <c r="AG378" s="575">
        <f t="shared" si="136"/>
        <v>0.9981096408317579</v>
      </c>
      <c r="AH378" s="194"/>
      <c r="AI378" s="156"/>
    </row>
    <row r="379" spans="1:35" x14ac:dyDescent="0.25">
      <c r="A379" s="97"/>
      <c r="B379" s="85"/>
      <c r="C379" s="85"/>
      <c r="D379" s="85"/>
      <c r="E379" s="87"/>
      <c r="F379" s="86"/>
      <c r="G379" s="88"/>
      <c r="H379" s="47"/>
      <c r="I379" s="98"/>
      <c r="J379" s="98"/>
      <c r="K379" s="98"/>
      <c r="L379" s="80"/>
      <c r="M379" s="98"/>
      <c r="N379" s="80"/>
      <c r="O379" s="89"/>
      <c r="P379" s="48"/>
      <c r="Q379" s="90"/>
      <c r="R379" s="94"/>
      <c r="S379" s="94"/>
      <c r="T379" s="94"/>
      <c r="U379" s="94"/>
      <c r="V379" s="94"/>
      <c r="X379" s="278" t="s">
        <v>100</v>
      </c>
      <c r="Y379" s="11" t="s">
        <v>65</v>
      </c>
      <c r="Z379" s="1" t="s">
        <v>8</v>
      </c>
      <c r="AA379" s="529" t="s">
        <v>23</v>
      </c>
      <c r="AB379" s="163" t="s">
        <v>786</v>
      </c>
      <c r="AC379" s="309">
        <v>300</v>
      </c>
      <c r="AD379" s="168">
        <f>AD380</f>
        <v>43.6</v>
      </c>
      <c r="AE379" s="168">
        <f>AE380</f>
        <v>43.6</v>
      </c>
      <c r="AF379" s="168">
        <f t="shared" ref="AF379" si="137">AF380</f>
        <v>43.5</v>
      </c>
      <c r="AG379" s="575">
        <f t="shared" si="136"/>
        <v>0.99770642201834858</v>
      </c>
      <c r="AH379" s="194"/>
      <c r="AI379" s="156"/>
    </row>
    <row r="380" spans="1:35" x14ac:dyDescent="0.25">
      <c r="A380" s="97"/>
      <c r="B380" s="85"/>
      <c r="C380" s="85"/>
      <c r="D380" s="85"/>
      <c r="E380" s="87"/>
      <c r="F380" s="86"/>
      <c r="G380" s="88"/>
      <c r="H380" s="47"/>
      <c r="I380" s="98"/>
      <c r="J380" s="98"/>
      <c r="K380" s="98"/>
      <c r="L380" s="80"/>
      <c r="M380" s="98"/>
      <c r="N380" s="80"/>
      <c r="O380" s="89"/>
      <c r="P380" s="48"/>
      <c r="Q380" s="90"/>
      <c r="R380" s="94"/>
      <c r="S380" s="94"/>
      <c r="T380" s="94"/>
      <c r="U380" s="94"/>
      <c r="V380" s="94"/>
      <c r="X380" s="278" t="s">
        <v>42</v>
      </c>
      <c r="Y380" s="11" t="s">
        <v>65</v>
      </c>
      <c r="Z380" s="1" t="s">
        <v>8</v>
      </c>
      <c r="AA380" s="529" t="s">
        <v>23</v>
      </c>
      <c r="AB380" s="163" t="s">
        <v>786</v>
      </c>
      <c r="AC380" s="309">
        <v>320</v>
      </c>
      <c r="AD380" s="168">
        <f>42.6+1</f>
        <v>43.6</v>
      </c>
      <c r="AE380" s="168">
        <f>42.6+1</f>
        <v>43.6</v>
      </c>
      <c r="AF380" s="168">
        <v>43.5</v>
      </c>
      <c r="AG380" s="575">
        <f t="shared" si="136"/>
        <v>0.99770642201834858</v>
      </c>
      <c r="AH380" s="194"/>
      <c r="AI380" s="156"/>
    </row>
    <row r="381" spans="1:35" ht="31.5" x14ac:dyDescent="0.25">
      <c r="A381" s="97"/>
      <c r="B381" s="85"/>
      <c r="C381" s="85"/>
      <c r="D381" s="85"/>
      <c r="E381" s="87"/>
      <c r="F381" s="86"/>
      <c r="G381" s="88"/>
      <c r="H381" s="47"/>
      <c r="I381" s="98"/>
      <c r="J381" s="98"/>
      <c r="K381" s="98"/>
      <c r="L381" s="80"/>
      <c r="M381" s="98"/>
      <c r="N381" s="80"/>
      <c r="O381" s="89"/>
      <c r="P381" s="48"/>
      <c r="Q381" s="90"/>
      <c r="R381" s="94"/>
      <c r="S381" s="94"/>
      <c r="T381" s="94"/>
      <c r="U381" s="94"/>
      <c r="V381" s="94"/>
      <c r="X381" s="278" t="s">
        <v>62</v>
      </c>
      <c r="Y381" s="11" t="s">
        <v>65</v>
      </c>
      <c r="Z381" s="1" t="s">
        <v>8</v>
      </c>
      <c r="AA381" s="529" t="s">
        <v>23</v>
      </c>
      <c r="AB381" s="163" t="s">
        <v>786</v>
      </c>
      <c r="AC381" s="309">
        <v>600</v>
      </c>
      <c r="AD381" s="168">
        <f>AD382</f>
        <v>9.3000000000000007</v>
      </c>
      <c r="AE381" s="168">
        <f>AE382</f>
        <v>9.3000000000000007</v>
      </c>
      <c r="AF381" s="168">
        <f>AF382</f>
        <v>9.3000000000000007</v>
      </c>
      <c r="AG381" s="575">
        <f t="shared" si="136"/>
        <v>1</v>
      </c>
      <c r="AH381" s="194"/>
      <c r="AI381" s="156"/>
    </row>
    <row r="382" spans="1:35" x14ac:dyDescent="0.25">
      <c r="A382" s="97"/>
      <c r="B382" s="85"/>
      <c r="C382" s="85"/>
      <c r="D382" s="85"/>
      <c r="E382" s="87"/>
      <c r="F382" s="86"/>
      <c r="G382" s="88"/>
      <c r="H382" s="47"/>
      <c r="I382" s="98"/>
      <c r="J382" s="98"/>
      <c r="K382" s="98"/>
      <c r="L382" s="80"/>
      <c r="M382" s="98"/>
      <c r="N382" s="80"/>
      <c r="O382" s="89"/>
      <c r="P382" s="48"/>
      <c r="Q382" s="90"/>
      <c r="R382" s="94"/>
      <c r="S382" s="94"/>
      <c r="T382" s="94"/>
      <c r="U382" s="94"/>
      <c r="V382" s="94"/>
      <c r="X382" s="278" t="s">
        <v>63</v>
      </c>
      <c r="Y382" s="11" t="s">
        <v>65</v>
      </c>
      <c r="Z382" s="1" t="s">
        <v>8</v>
      </c>
      <c r="AA382" s="529" t="s">
        <v>23</v>
      </c>
      <c r="AB382" s="163" t="s">
        <v>786</v>
      </c>
      <c r="AC382" s="309">
        <v>610</v>
      </c>
      <c r="AD382" s="168">
        <f>9.3</f>
        <v>9.3000000000000007</v>
      </c>
      <c r="AE382" s="168">
        <f>9.3</f>
        <v>9.3000000000000007</v>
      </c>
      <c r="AF382" s="168">
        <v>9.3000000000000007</v>
      </c>
      <c r="AG382" s="575">
        <f t="shared" si="136"/>
        <v>1</v>
      </c>
      <c r="AH382" s="194"/>
      <c r="AI382" s="156"/>
    </row>
    <row r="383" spans="1:35" x14ac:dyDescent="0.25">
      <c r="A383" s="97"/>
      <c r="B383" s="85"/>
      <c r="C383" s="85"/>
      <c r="D383" s="85"/>
      <c r="E383" s="87"/>
      <c r="F383" s="86"/>
      <c r="G383" s="88"/>
      <c r="H383" s="47"/>
      <c r="I383" s="98"/>
      <c r="J383" s="98"/>
      <c r="K383" s="98"/>
      <c r="L383" s="80"/>
      <c r="M383" s="98"/>
      <c r="N383" s="80"/>
      <c r="O383" s="89"/>
      <c r="P383" s="48"/>
      <c r="Q383" s="90"/>
      <c r="R383" s="94"/>
      <c r="S383" s="94"/>
      <c r="T383" s="94"/>
      <c r="U383" s="94"/>
      <c r="V383" s="94"/>
      <c r="X383" s="283" t="s">
        <v>314</v>
      </c>
      <c r="Y383" s="11" t="s">
        <v>65</v>
      </c>
      <c r="Z383" s="1" t="s">
        <v>8</v>
      </c>
      <c r="AA383" s="529" t="s">
        <v>23</v>
      </c>
      <c r="AB383" s="163" t="s">
        <v>580</v>
      </c>
      <c r="AC383" s="309"/>
      <c r="AD383" s="168">
        <f t="shared" si="135"/>
        <v>1893.2999999999997</v>
      </c>
      <c r="AE383" s="168">
        <f t="shared" si="135"/>
        <v>1893.2999999999997</v>
      </c>
      <c r="AF383" s="168">
        <f t="shared" si="135"/>
        <v>1893.3</v>
      </c>
      <c r="AG383" s="575">
        <f t="shared" si="136"/>
        <v>1.0000000000000002</v>
      </c>
      <c r="AH383" s="194"/>
      <c r="AI383" s="156"/>
    </row>
    <row r="384" spans="1:35" ht="47.25" x14ac:dyDescent="0.25">
      <c r="A384" s="97"/>
      <c r="B384" s="85"/>
      <c r="C384" s="85"/>
      <c r="D384" s="85"/>
      <c r="E384" s="87"/>
      <c r="F384" s="86"/>
      <c r="G384" s="88"/>
      <c r="H384" s="47"/>
      <c r="I384" s="98"/>
      <c r="J384" s="98"/>
      <c r="K384" s="98"/>
      <c r="L384" s="80"/>
      <c r="M384" s="98"/>
      <c r="N384" s="80"/>
      <c r="O384" s="89"/>
      <c r="P384" s="48"/>
      <c r="Q384" s="90"/>
      <c r="R384" s="94"/>
      <c r="S384" s="94"/>
      <c r="T384" s="94"/>
      <c r="U384" s="94"/>
      <c r="V384" s="94"/>
      <c r="X384" s="283" t="s">
        <v>335</v>
      </c>
      <c r="Y384" s="11" t="s">
        <v>65</v>
      </c>
      <c r="Z384" s="1" t="s">
        <v>8</v>
      </c>
      <c r="AA384" s="529" t="s">
        <v>23</v>
      </c>
      <c r="AB384" s="163" t="s">
        <v>581</v>
      </c>
      <c r="AC384" s="309"/>
      <c r="AD384" s="168">
        <f>AD387+AD385+AD389</f>
        <v>1893.2999999999997</v>
      </c>
      <c r="AE384" s="168">
        <f>AE387+AE385+AE389</f>
        <v>1893.2999999999997</v>
      </c>
      <c r="AF384" s="168">
        <f>AF387+AF385+AF389</f>
        <v>1893.3</v>
      </c>
      <c r="AG384" s="575">
        <f t="shared" si="136"/>
        <v>1.0000000000000002</v>
      </c>
      <c r="AH384" s="194"/>
      <c r="AI384" s="156"/>
    </row>
    <row r="385" spans="1:35" x14ac:dyDescent="0.25">
      <c r="A385" s="97"/>
      <c r="B385" s="85"/>
      <c r="C385" s="85"/>
      <c r="D385" s="85"/>
      <c r="E385" s="87"/>
      <c r="F385" s="86"/>
      <c r="G385" s="88"/>
      <c r="H385" s="47"/>
      <c r="I385" s="98"/>
      <c r="J385" s="98"/>
      <c r="K385" s="98"/>
      <c r="L385" s="80"/>
      <c r="M385" s="98"/>
      <c r="N385" s="80"/>
      <c r="O385" s="89"/>
      <c r="P385" s="48"/>
      <c r="Q385" s="90"/>
      <c r="R385" s="94"/>
      <c r="S385" s="94"/>
      <c r="T385" s="94"/>
      <c r="U385" s="94"/>
      <c r="V385" s="94"/>
      <c r="X385" s="401" t="s">
        <v>123</v>
      </c>
      <c r="Y385" s="11" t="s">
        <v>65</v>
      </c>
      <c r="Z385" s="1" t="s">
        <v>8</v>
      </c>
      <c r="AA385" s="529" t="s">
        <v>23</v>
      </c>
      <c r="AB385" s="163" t="s">
        <v>581</v>
      </c>
      <c r="AC385" s="309">
        <v>200</v>
      </c>
      <c r="AD385" s="168">
        <f>AD386</f>
        <v>1717.8999999999999</v>
      </c>
      <c r="AE385" s="168">
        <f>AE386</f>
        <v>1717.8999999999999</v>
      </c>
      <c r="AF385" s="168">
        <f>AF386</f>
        <v>1717.9</v>
      </c>
      <c r="AG385" s="575">
        <f t="shared" si="136"/>
        <v>1.0000000000000002</v>
      </c>
      <c r="AH385" s="194"/>
      <c r="AI385" s="156"/>
    </row>
    <row r="386" spans="1:35" ht="31.5" x14ac:dyDescent="0.25">
      <c r="A386" s="97"/>
      <c r="B386" s="85"/>
      <c r="C386" s="85"/>
      <c r="D386" s="85"/>
      <c r="E386" s="87"/>
      <c r="F386" s="86"/>
      <c r="G386" s="88"/>
      <c r="H386" s="47"/>
      <c r="I386" s="98"/>
      <c r="J386" s="98"/>
      <c r="K386" s="98"/>
      <c r="L386" s="80"/>
      <c r="M386" s="98"/>
      <c r="N386" s="80"/>
      <c r="O386" s="89"/>
      <c r="P386" s="48"/>
      <c r="Q386" s="90"/>
      <c r="R386" s="94"/>
      <c r="S386" s="94"/>
      <c r="T386" s="94"/>
      <c r="U386" s="94"/>
      <c r="V386" s="94"/>
      <c r="X386" s="401" t="s">
        <v>54</v>
      </c>
      <c r="Y386" s="11" t="s">
        <v>65</v>
      </c>
      <c r="Z386" s="1" t="s">
        <v>8</v>
      </c>
      <c r="AA386" s="529" t="s">
        <v>23</v>
      </c>
      <c r="AB386" s="163" t="s">
        <v>581</v>
      </c>
      <c r="AC386" s="309">
        <v>240</v>
      </c>
      <c r="AD386" s="168">
        <f>1740+120-108-12.9-21.2</f>
        <v>1717.8999999999999</v>
      </c>
      <c r="AE386" s="168">
        <f>1740+120-108-12.9-21.2</f>
        <v>1717.8999999999999</v>
      </c>
      <c r="AF386" s="168">
        <v>1717.9</v>
      </c>
      <c r="AG386" s="575">
        <f t="shared" si="136"/>
        <v>1.0000000000000002</v>
      </c>
      <c r="AH386" s="194"/>
      <c r="AI386" s="156"/>
    </row>
    <row r="387" spans="1:35" x14ac:dyDescent="0.25">
      <c r="A387" s="97"/>
      <c r="B387" s="85"/>
      <c r="C387" s="85"/>
      <c r="D387" s="85"/>
      <c r="E387" s="87"/>
      <c r="F387" s="86"/>
      <c r="G387" s="88"/>
      <c r="H387" s="47"/>
      <c r="I387" s="98"/>
      <c r="J387" s="98"/>
      <c r="K387" s="98"/>
      <c r="L387" s="80"/>
      <c r="M387" s="98"/>
      <c r="N387" s="80"/>
      <c r="O387" s="89"/>
      <c r="P387" s="48"/>
      <c r="Q387" s="90"/>
      <c r="R387" s="94"/>
      <c r="S387" s="94"/>
      <c r="T387" s="94"/>
      <c r="U387" s="94"/>
      <c r="V387" s="94"/>
      <c r="X387" s="278" t="s">
        <v>100</v>
      </c>
      <c r="Y387" s="11" t="s">
        <v>65</v>
      </c>
      <c r="Z387" s="1" t="s">
        <v>8</v>
      </c>
      <c r="AA387" s="529" t="s">
        <v>23</v>
      </c>
      <c r="AB387" s="163" t="s">
        <v>581</v>
      </c>
      <c r="AC387" s="309">
        <v>300</v>
      </c>
      <c r="AD387" s="168">
        <f>AD388</f>
        <v>162.6</v>
      </c>
      <c r="AE387" s="168">
        <f>AE388</f>
        <v>162.6</v>
      </c>
      <c r="AF387" s="168">
        <f>AF388</f>
        <v>162.6</v>
      </c>
      <c r="AG387" s="575">
        <f t="shared" si="136"/>
        <v>1</v>
      </c>
      <c r="AH387" s="194"/>
      <c r="AI387" s="156"/>
    </row>
    <row r="388" spans="1:35" x14ac:dyDescent="0.25">
      <c r="A388" s="97"/>
      <c r="B388" s="85"/>
      <c r="C388" s="85"/>
      <c r="D388" s="85"/>
      <c r="E388" s="87"/>
      <c r="F388" s="86"/>
      <c r="G388" s="88"/>
      <c r="H388" s="47"/>
      <c r="I388" s="98"/>
      <c r="J388" s="98"/>
      <c r="K388" s="98"/>
      <c r="L388" s="80"/>
      <c r="M388" s="98"/>
      <c r="N388" s="80"/>
      <c r="O388" s="89"/>
      <c r="P388" s="48"/>
      <c r="Q388" s="90"/>
      <c r="R388" s="94"/>
      <c r="S388" s="94"/>
      <c r="T388" s="94"/>
      <c r="U388" s="94"/>
      <c r="V388" s="94"/>
      <c r="X388" s="278" t="s">
        <v>42</v>
      </c>
      <c r="Y388" s="11" t="s">
        <v>65</v>
      </c>
      <c r="Z388" s="1" t="s">
        <v>8</v>
      </c>
      <c r="AA388" s="529" t="s">
        <v>23</v>
      </c>
      <c r="AB388" s="163" t="s">
        <v>581</v>
      </c>
      <c r="AC388" s="309">
        <v>320</v>
      </c>
      <c r="AD388" s="168">
        <f>300-196+12.9+21.2-6.6-6.2+37.3</f>
        <v>162.6</v>
      </c>
      <c r="AE388" s="168">
        <f>300-196+12.9+21.2-6.6-6.2+37.3</f>
        <v>162.6</v>
      </c>
      <c r="AF388" s="168">
        <v>162.6</v>
      </c>
      <c r="AG388" s="575">
        <f t="shared" si="136"/>
        <v>1</v>
      </c>
      <c r="AH388" s="194"/>
      <c r="AI388" s="156"/>
    </row>
    <row r="389" spans="1:35" ht="31.5" x14ac:dyDescent="0.25">
      <c r="A389" s="97"/>
      <c r="B389" s="85"/>
      <c r="C389" s="85"/>
      <c r="D389" s="85"/>
      <c r="E389" s="87"/>
      <c r="F389" s="86"/>
      <c r="G389" s="88"/>
      <c r="H389" s="47"/>
      <c r="I389" s="98"/>
      <c r="J389" s="98"/>
      <c r="K389" s="98"/>
      <c r="L389" s="80"/>
      <c r="M389" s="98"/>
      <c r="N389" s="80"/>
      <c r="O389" s="89"/>
      <c r="P389" s="48"/>
      <c r="Q389" s="90"/>
      <c r="R389" s="94"/>
      <c r="S389" s="94"/>
      <c r="T389" s="94"/>
      <c r="U389" s="94"/>
      <c r="V389" s="94"/>
      <c r="X389" s="278" t="s">
        <v>62</v>
      </c>
      <c r="Y389" s="11" t="s">
        <v>65</v>
      </c>
      <c r="Z389" s="1" t="s">
        <v>8</v>
      </c>
      <c r="AA389" s="529" t="s">
        <v>23</v>
      </c>
      <c r="AB389" s="163" t="s">
        <v>581</v>
      </c>
      <c r="AC389" s="309">
        <v>600</v>
      </c>
      <c r="AD389" s="168">
        <f>AD390+AD391</f>
        <v>12.8</v>
      </c>
      <c r="AE389" s="168">
        <f>AE390+AE391</f>
        <v>12.8</v>
      </c>
      <c r="AF389" s="168">
        <f>AF390+AF391</f>
        <v>12.8</v>
      </c>
      <c r="AG389" s="575">
        <f t="shared" si="136"/>
        <v>1</v>
      </c>
      <c r="AH389" s="194"/>
      <c r="AI389" s="156"/>
    </row>
    <row r="390" spans="1:35" x14ac:dyDescent="0.25">
      <c r="A390" s="97"/>
      <c r="B390" s="85"/>
      <c r="C390" s="85"/>
      <c r="D390" s="85"/>
      <c r="E390" s="87"/>
      <c r="F390" s="86"/>
      <c r="G390" s="88"/>
      <c r="H390" s="47"/>
      <c r="I390" s="98"/>
      <c r="J390" s="98"/>
      <c r="K390" s="98"/>
      <c r="L390" s="80"/>
      <c r="M390" s="98"/>
      <c r="N390" s="80"/>
      <c r="O390" s="89"/>
      <c r="P390" s="48"/>
      <c r="Q390" s="90"/>
      <c r="R390" s="94"/>
      <c r="S390" s="94"/>
      <c r="T390" s="94"/>
      <c r="U390" s="94"/>
      <c r="V390" s="94"/>
      <c r="X390" s="278" t="s">
        <v>63</v>
      </c>
      <c r="Y390" s="11" t="s">
        <v>65</v>
      </c>
      <c r="Z390" s="1" t="s">
        <v>8</v>
      </c>
      <c r="AA390" s="529" t="s">
        <v>23</v>
      </c>
      <c r="AB390" s="163" t="s">
        <v>581</v>
      </c>
      <c r="AC390" s="309">
        <v>610</v>
      </c>
      <c r="AD390" s="168">
        <f>6.6+6.2-6.2</f>
        <v>6.6000000000000005</v>
      </c>
      <c r="AE390" s="168">
        <f>6.6+6.2-6.2</f>
        <v>6.6000000000000005</v>
      </c>
      <c r="AF390" s="168">
        <v>6.6</v>
      </c>
      <c r="AG390" s="575">
        <f t="shared" si="136"/>
        <v>0.99999999999999989</v>
      </c>
      <c r="AH390" s="194"/>
      <c r="AI390" s="156"/>
    </row>
    <row r="391" spans="1:35" x14ac:dyDescent="0.25">
      <c r="A391" s="97"/>
      <c r="B391" s="85"/>
      <c r="C391" s="85"/>
      <c r="D391" s="85"/>
      <c r="E391" s="87"/>
      <c r="F391" s="86"/>
      <c r="G391" s="88"/>
      <c r="H391" s="47"/>
      <c r="I391" s="98"/>
      <c r="J391" s="98"/>
      <c r="K391" s="98"/>
      <c r="L391" s="80"/>
      <c r="M391" s="98"/>
      <c r="N391" s="80"/>
      <c r="O391" s="89"/>
      <c r="P391" s="48"/>
      <c r="Q391" s="90"/>
      <c r="R391" s="94"/>
      <c r="S391" s="94"/>
      <c r="T391" s="94"/>
      <c r="U391" s="94"/>
      <c r="V391" s="94"/>
      <c r="X391" s="297" t="s">
        <v>132</v>
      </c>
      <c r="Y391" s="11" t="s">
        <v>65</v>
      </c>
      <c r="Z391" s="1" t="s">
        <v>8</v>
      </c>
      <c r="AA391" s="529" t="s">
        <v>23</v>
      </c>
      <c r="AB391" s="163" t="s">
        <v>581</v>
      </c>
      <c r="AC391" s="309">
        <v>620</v>
      </c>
      <c r="AD391" s="168">
        <v>6.2</v>
      </c>
      <c r="AE391" s="168">
        <v>6.2</v>
      </c>
      <c r="AF391" s="168">
        <v>6.2</v>
      </c>
      <c r="AG391" s="575">
        <f t="shared" si="136"/>
        <v>1</v>
      </c>
      <c r="AH391" s="194"/>
      <c r="AI391" s="156"/>
    </row>
    <row r="392" spans="1:35" s="84" customFormat="1" ht="18.75" x14ac:dyDescent="0.3">
      <c r="A392" s="75"/>
      <c r="B392" s="76"/>
      <c r="C392" s="78"/>
      <c r="D392" s="79"/>
      <c r="E392" s="79"/>
      <c r="F392" s="79"/>
      <c r="G392" s="80"/>
      <c r="H392" s="80"/>
      <c r="I392" s="80"/>
      <c r="J392" s="80"/>
      <c r="K392" s="80"/>
      <c r="L392" s="132"/>
      <c r="M392" s="80"/>
      <c r="N392" s="80"/>
      <c r="O392" s="81"/>
      <c r="P392" s="80"/>
      <c r="Q392" s="82"/>
      <c r="R392" s="102"/>
      <c r="S392" s="102"/>
      <c r="T392" s="102"/>
      <c r="U392" s="102"/>
      <c r="V392" s="102"/>
      <c r="W392" s="102"/>
      <c r="X392" s="279" t="s">
        <v>22</v>
      </c>
      <c r="Y392" s="199" t="s">
        <v>65</v>
      </c>
      <c r="Z392" s="12" t="s">
        <v>17</v>
      </c>
      <c r="AA392" s="561"/>
      <c r="AB392" s="305"/>
      <c r="AC392" s="310"/>
      <c r="AD392" s="170">
        <f>AD393</f>
        <v>140942.99999999997</v>
      </c>
      <c r="AE392" s="170">
        <f>AE393</f>
        <v>140942.99999999997</v>
      </c>
      <c r="AF392" s="170">
        <f>AF393</f>
        <v>140686.5</v>
      </c>
      <c r="AG392" s="574">
        <f t="shared" si="136"/>
        <v>0.99818011536578632</v>
      </c>
      <c r="AH392" s="222"/>
      <c r="AI392" s="156"/>
    </row>
    <row r="393" spans="1:35" s="110" customFormat="1" x14ac:dyDescent="0.25">
      <c r="A393" s="54"/>
      <c r="B393" s="85"/>
      <c r="C393" s="86"/>
      <c r="D393" s="86"/>
      <c r="E393" s="87"/>
      <c r="F393" s="87"/>
      <c r="G393" s="88"/>
      <c r="H393" s="88"/>
      <c r="I393" s="88"/>
      <c r="J393" s="88"/>
      <c r="K393" s="88"/>
      <c r="L393" s="80"/>
      <c r="M393" s="88"/>
      <c r="N393" s="80"/>
      <c r="O393" s="99"/>
      <c r="P393" s="88"/>
      <c r="Q393" s="90"/>
      <c r="R393" s="94"/>
      <c r="S393" s="94"/>
      <c r="T393" s="94"/>
      <c r="U393" s="94"/>
      <c r="V393" s="94"/>
      <c r="W393" s="94"/>
      <c r="X393" s="278" t="s">
        <v>66</v>
      </c>
      <c r="Y393" s="11" t="s">
        <v>65</v>
      </c>
      <c r="Z393" s="1" t="s">
        <v>17</v>
      </c>
      <c r="AA393" s="529" t="s">
        <v>31</v>
      </c>
      <c r="AB393" s="33"/>
      <c r="AC393" s="311"/>
      <c r="AD393" s="168">
        <f>AD394+AD454+AD443</f>
        <v>140942.99999999997</v>
      </c>
      <c r="AE393" s="168">
        <f>AE394+AE454+AE443</f>
        <v>140942.99999999997</v>
      </c>
      <c r="AF393" s="168">
        <f>AF394+AF454+AF443</f>
        <v>140686.5</v>
      </c>
      <c r="AG393" s="575">
        <f t="shared" si="136"/>
        <v>0.99818011536578632</v>
      </c>
      <c r="AH393" s="194"/>
      <c r="AI393" s="156"/>
    </row>
    <row r="394" spans="1:35" s="110" customFormat="1" x14ac:dyDescent="0.25">
      <c r="A394" s="54"/>
      <c r="B394" s="85"/>
      <c r="C394" s="86"/>
      <c r="D394" s="86"/>
      <c r="E394" s="87"/>
      <c r="F394" s="87"/>
      <c r="G394" s="88"/>
      <c r="H394" s="88"/>
      <c r="I394" s="88"/>
      <c r="J394" s="88"/>
      <c r="K394" s="88"/>
      <c r="L394" s="88"/>
      <c r="M394" s="88"/>
      <c r="N394" s="88"/>
      <c r="O394" s="99"/>
      <c r="P394" s="88"/>
      <c r="Q394" s="90"/>
      <c r="R394" s="94"/>
      <c r="S394" s="94"/>
      <c r="T394" s="94"/>
      <c r="U394" s="94"/>
      <c r="V394" s="94"/>
      <c r="W394" s="94"/>
      <c r="X394" s="280" t="s">
        <v>661</v>
      </c>
      <c r="Y394" s="11" t="s">
        <v>65</v>
      </c>
      <c r="Z394" s="1" t="s">
        <v>17</v>
      </c>
      <c r="AA394" s="529" t="s">
        <v>31</v>
      </c>
      <c r="AB394" s="163" t="s">
        <v>117</v>
      </c>
      <c r="AC394" s="311"/>
      <c r="AD394" s="168">
        <f>AD395+AD403+AD417</f>
        <v>130226.29999999999</v>
      </c>
      <c r="AE394" s="168">
        <f t="shared" ref="AE394:AF394" si="138">AE395+AE403+AE417</f>
        <v>130226.29999999999</v>
      </c>
      <c r="AF394" s="168">
        <f t="shared" si="138"/>
        <v>129982.2</v>
      </c>
      <c r="AG394" s="575">
        <f t="shared" si="136"/>
        <v>0.99812557064126073</v>
      </c>
      <c r="AH394" s="194"/>
      <c r="AI394" s="156"/>
    </row>
    <row r="395" spans="1:35" s="110" customFormat="1" x14ac:dyDescent="0.25">
      <c r="A395" s="54"/>
      <c r="B395" s="85"/>
      <c r="C395" s="86"/>
      <c r="D395" s="86"/>
      <c r="E395" s="87"/>
      <c r="F395" s="87"/>
      <c r="G395" s="88"/>
      <c r="H395" s="88"/>
      <c r="I395" s="88"/>
      <c r="J395" s="88"/>
      <c r="K395" s="88"/>
      <c r="L395" s="80"/>
      <c r="M395" s="88"/>
      <c r="N395" s="80"/>
      <c r="O395" s="99"/>
      <c r="P395" s="88"/>
      <c r="Q395" s="90"/>
      <c r="R395" s="94"/>
      <c r="S395" s="94"/>
      <c r="T395" s="94"/>
      <c r="U395" s="94"/>
      <c r="V395" s="94"/>
      <c r="W395" s="94"/>
      <c r="X395" s="280" t="s">
        <v>571</v>
      </c>
      <c r="Y395" s="11" t="s">
        <v>65</v>
      </c>
      <c r="Z395" s="1" t="s">
        <v>17</v>
      </c>
      <c r="AA395" s="529" t="s">
        <v>31</v>
      </c>
      <c r="AB395" s="163" t="s">
        <v>331</v>
      </c>
      <c r="AC395" s="311"/>
      <c r="AD395" s="168">
        <f t="shared" ref="AD395:AF396" si="139">AD396</f>
        <v>21780.100000000002</v>
      </c>
      <c r="AE395" s="168">
        <f t="shared" si="139"/>
        <v>21780.100000000002</v>
      </c>
      <c r="AF395" s="168">
        <f>AF396+AF400</f>
        <v>21780.1</v>
      </c>
      <c r="AG395" s="575">
        <f t="shared" si="136"/>
        <v>0.99999999999999978</v>
      </c>
      <c r="AH395" s="194"/>
      <c r="AI395" s="156"/>
    </row>
    <row r="396" spans="1:35" s="110" customFormat="1" x14ac:dyDescent="0.25">
      <c r="A396" s="54"/>
      <c r="B396" s="85"/>
      <c r="C396" s="86"/>
      <c r="D396" s="86"/>
      <c r="E396" s="87"/>
      <c r="F396" s="87"/>
      <c r="G396" s="88"/>
      <c r="H396" s="88"/>
      <c r="I396" s="88"/>
      <c r="J396" s="88"/>
      <c r="K396" s="88"/>
      <c r="L396" s="80"/>
      <c r="M396" s="88"/>
      <c r="N396" s="80"/>
      <c r="O396" s="99"/>
      <c r="P396" s="88"/>
      <c r="Q396" s="90"/>
      <c r="R396" s="94"/>
      <c r="S396" s="94"/>
      <c r="T396" s="94"/>
      <c r="U396" s="94"/>
      <c r="V396" s="94"/>
      <c r="W396" s="94"/>
      <c r="X396" s="280" t="s">
        <v>332</v>
      </c>
      <c r="Y396" s="11" t="s">
        <v>65</v>
      </c>
      <c r="Z396" s="1" t="s">
        <v>17</v>
      </c>
      <c r="AA396" s="529" t="s">
        <v>31</v>
      </c>
      <c r="AB396" s="163" t="s">
        <v>333</v>
      </c>
      <c r="AC396" s="311"/>
      <c r="AD396" s="168">
        <f>AD397+AD400</f>
        <v>21780.100000000002</v>
      </c>
      <c r="AE396" s="168">
        <f>AE397+AE400</f>
        <v>21780.100000000002</v>
      </c>
      <c r="AF396" s="168">
        <f t="shared" si="139"/>
        <v>20157.099999999999</v>
      </c>
      <c r="AG396" s="575">
        <f t="shared" si="136"/>
        <v>0.92548243580148837</v>
      </c>
      <c r="AH396" s="194"/>
      <c r="AI396" s="156"/>
    </row>
    <row r="397" spans="1:35" s="110" customFormat="1" ht="31.5" x14ac:dyDescent="0.25">
      <c r="A397" s="54"/>
      <c r="B397" s="85"/>
      <c r="C397" s="86"/>
      <c r="D397" s="86"/>
      <c r="E397" s="87"/>
      <c r="F397" s="87"/>
      <c r="G397" s="88"/>
      <c r="H397" s="88"/>
      <c r="I397" s="88"/>
      <c r="J397" s="88"/>
      <c r="K397" s="88"/>
      <c r="L397" s="80"/>
      <c r="M397" s="88"/>
      <c r="N397" s="80"/>
      <c r="O397" s="99"/>
      <c r="P397" s="88"/>
      <c r="Q397" s="90"/>
      <c r="R397" s="94"/>
      <c r="S397" s="94"/>
      <c r="T397" s="94"/>
      <c r="U397" s="94"/>
      <c r="V397" s="94"/>
      <c r="W397" s="94"/>
      <c r="X397" s="404" t="s">
        <v>266</v>
      </c>
      <c r="Y397" s="11" t="s">
        <v>65</v>
      </c>
      <c r="Z397" s="1" t="s">
        <v>17</v>
      </c>
      <c r="AA397" s="529" t="s">
        <v>31</v>
      </c>
      <c r="AB397" s="163" t="s">
        <v>267</v>
      </c>
      <c r="AC397" s="311"/>
      <c r="AD397" s="168">
        <f t="shared" ref="AD397:AF398" si="140">AD398</f>
        <v>20157.100000000002</v>
      </c>
      <c r="AE397" s="168">
        <f t="shared" si="140"/>
        <v>20157.100000000002</v>
      </c>
      <c r="AF397" s="168">
        <f t="shared" si="140"/>
        <v>20157.099999999999</v>
      </c>
      <c r="AG397" s="575">
        <f t="shared" si="136"/>
        <v>0.99999999999999978</v>
      </c>
      <c r="AH397" s="194"/>
      <c r="AI397" s="156"/>
    </row>
    <row r="398" spans="1:35" s="110" customFormat="1" ht="31.5" x14ac:dyDescent="0.25">
      <c r="A398" s="54"/>
      <c r="B398" s="85"/>
      <c r="C398" s="86"/>
      <c r="D398" s="86"/>
      <c r="E398" s="87"/>
      <c r="F398" s="87"/>
      <c r="G398" s="88"/>
      <c r="H398" s="88"/>
      <c r="I398" s="88"/>
      <c r="J398" s="88"/>
      <c r="K398" s="88"/>
      <c r="L398" s="80"/>
      <c r="M398" s="88"/>
      <c r="N398" s="80"/>
      <c r="O398" s="99"/>
      <c r="P398" s="88"/>
      <c r="Q398" s="90"/>
      <c r="R398" s="94"/>
      <c r="S398" s="94"/>
      <c r="T398" s="94"/>
      <c r="U398" s="94"/>
      <c r="V398" s="94"/>
      <c r="W398" s="94"/>
      <c r="X398" s="278" t="s">
        <v>62</v>
      </c>
      <c r="Y398" s="11" t="s">
        <v>65</v>
      </c>
      <c r="Z398" s="1" t="s">
        <v>17</v>
      </c>
      <c r="AA398" s="529" t="s">
        <v>31</v>
      </c>
      <c r="AB398" s="163" t="s">
        <v>267</v>
      </c>
      <c r="AC398" s="309">
        <v>600</v>
      </c>
      <c r="AD398" s="168">
        <f t="shared" si="140"/>
        <v>20157.100000000002</v>
      </c>
      <c r="AE398" s="168">
        <f t="shared" si="140"/>
        <v>20157.100000000002</v>
      </c>
      <c r="AF398" s="168">
        <f t="shared" si="140"/>
        <v>20157.099999999999</v>
      </c>
      <c r="AG398" s="575">
        <f t="shared" si="136"/>
        <v>0.99999999999999978</v>
      </c>
      <c r="AH398" s="194"/>
      <c r="AI398" s="156"/>
    </row>
    <row r="399" spans="1:35" s="110" customFormat="1" x14ac:dyDescent="0.25">
      <c r="A399" s="54"/>
      <c r="B399" s="85"/>
      <c r="C399" s="86"/>
      <c r="D399" s="86"/>
      <c r="E399" s="87"/>
      <c r="F399" s="87"/>
      <c r="G399" s="88"/>
      <c r="H399" s="88"/>
      <c r="I399" s="88"/>
      <c r="J399" s="88"/>
      <c r="K399" s="88"/>
      <c r="L399" s="80"/>
      <c r="M399" s="88"/>
      <c r="N399" s="80"/>
      <c r="O399" s="99"/>
      <c r="P399" s="88"/>
      <c r="Q399" s="90"/>
      <c r="R399" s="94"/>
      <c r="S399" s="94"/>
      <c r="T399" s="94"/>
      <c r="U399" s="94"/>
      <c r="V399" s="94"/>
      <c r="W399" s="94"/>
      <c r="X399" s="278" t="s">
        <v>63</v>
      </c>
      <c r="Y399" s="11" t="s">
        <v>65</v>
      </c>
      <c r="Z399" s="1" t="s">
        <v>17</v>
      </c>
      <c r="AA399" s="529" t="s">
        <v>31</v>
      </c>
      <c r="AB399" s="163" t="s">
        <v>267</v>
      </c>
      <c r="AC399" s="309">
        <v>610</v>
      </c>
      <c r="AD399" s="173">
        <f>19286-824.8+1695.9</f>
        <v>20157.100000000002</v>
      </c>
      <c r="AE399" s="173">
        <f>19286-824.8+1695.9</f>
        <v>20157.100000000002</v>
      </c>
      <c r="AF399" s="173">
        <v>20157.099999999999</v>
      </c>
      <c r="AG399" s="575">
        <f t="shared" si="136"/>
        <v>0.99999999999999978</v>
      </c>
      <c r="AH399" s="223"/>
      <c r="AI399" s="156"/>
    </row>
    <row r="400" spans="1:35" s="110" customFormat="1" ht="34.9" customHeight="1" x14ac:dyDescent="0.25">
      <c r="A400" s="54"/>
      <c r="B400" s="85"/>
      <c r="C400" s="86"/>
      <c r="D400" s="86"/>
      <c r="E400" s="87"/>
      <c r="F400" s="87"/>
      <c r="G400" s="88"/>
      <c r="H400" s="88"/>
      <c r="I400" s="88"/>
      <c r="J400" s="88"/>
      <c r="K400" s="88"/>
      <c r="L400" s="80"/>
      <c r="M400" s="88"/>
      <c r="N400" s="80"/>
      <c r="O400" s="99"/>
      <c r="P400" s="88"/>
      <c r="Q400" s="90"/>
      <c r="R400" s="94"/>
      <c r="S400" s="94"/>
      <c r="T400" s="94"/>
      <c r="U400" s="94"/>
      <c r="V400" s="94"/>
      <c r="W400" s="94"/>
      <c r="X400" s="278" t="s">
        <v>763</v>
      </c>
      <c r="Y400" s="11" t="s">
        <v>65</v>
      </c>
      <c r="Z400" s="1" t="s">
        <v>17</v>
      </c>
      <c r="AA400" s="529" t="s">
        <v>31</v>
      </c>
      <c r="AB400" s="163" t="s">
        <v>779</v>
      </c>
      <c r="AC400" s="309"/>
      <c r="AD400" s="173">
        <f>AD401</f>
        <v>1623</v>
      </c>
      <c r="AE400" s="173">
        <f>AE401</f>
        <v>1623</v>
      </c>
      <c r="AF400" s="173">
        <f t="shared" ref="AF400:AF401" si="141">AF401</f>
        <v>1623</v>
      </c>
      <c r="AG400" s="575">
        <f t="shared" si="136"/>
        <v>1</v>
      </c>
      <c r="AH400" s="223"/>
      <c r="AI400" s="156"/>
    </row>
    <row r="401" spans="1:35" s="110" customFormat="1" ht="31.5" x14ac:dyDescent="0.25">
      <c r="A401" s="54"/>
      <c r="B401" s="85"/>
      <c r="C401" s="86"/>
      <c r="D401" s="86"/>
      <c r="E401" s="87"/>
      <c r="F401" s="87"/>
      <c r="G401" s="88"/>
      <c r="H401" s="88"/>
      <c r="I401" s="88"/>
      <c r="J401" s="88"/>
      <c r="K401" s="88"/>
      <c r="L401" s="80"/>
      <c r="M401" s="88"/>
      <c r="N401" s="80"/>
      <c r="O401" s="99"/>
      <c r="P401" s="88"/>
      <c r="Q401" s="90"/>
      <c r="R401" s="94"/>
      <c r="S401" s="94"/>
      <c r="T401" s="94"/>
      <c r="U401" s="94"/>
      <c r="V401" s="94"/>
      <c r="W401" s="94"/>
      <c r="X401" s="278" t="s">
        <v>62</v>
      </c>
      <c r="Y401" s="11" t="s">
        <v>65</v>
      </c>
      <c r="Z401" s="1" t="s">
        <v>17</v>
      </c>
      <c r="AA401" s="529" t="s">
        <v>31</v>
      </c>
      <c r="AB401" s="163" t="s">
        <v>779</v>
      </c>
      <c r="AC401" s="309">
        <v>600</v>
      </c>
      <c r="AD401" s="173">
        <f>AD402</f>
        <v>1623</v>
      </c>
      <c r="AE401" s="173">
        <f>AE402</f>
        <v>1623</v>
      </c>
      <c r="AF401" s="173">
        <f t="shared" si="141"/>
        <v>1623</v>
      </c>
      <c r="AG401" s="575">
        <f t="shared" si="136"/>
        <v>1</v>
      </c>
      <c r="AH401" s="223"/>
      <c r="AI401" s="156"/>
    </row>
    <row r="402" spans="1:35" s="110" customFormat="1" x14ac:dyDescent="0.25">
      <c r="A402" s="54"/>
      <c r="B402" s="85"/>
      <c r="C402" s="86"/>
      <c r="D402" s="86"/>
      <c r="E402" s="87"/>
      <c r="F402" s="87"/>
      <c r="G402" s="88"/>
      <c r="H402" s="88"/>
      <c r="I402" s="88"/>
      <c r="J402" s="88"/>
      <c r="K402" s="88"/>
      <c r="L402" s="80"/>
      <c r="M402" s="88"/>
      <c r="N402" s="80"/>
      <c r="O402" s="99"/>
      <c r="P402" s="88"/>
      <c r="Q402" s="90"/>
      <c r="R402" s="94"/>
      <c r="S402" s="94"/>
      <c r="T402" s="94"/>
      <c r="U402" s="94"/>
      <c r="V402" s="94"/>
      <c r="W402" s="94"/>
      <c r="X402" s="278" t="s">
        <v>63</v>
      </c>
      <c r="Y402" s="11" t="s">
        <v>65</v>
      </c>
      <c r="Z402" s="1" t="s">
        <v>17</v>
      </c>
      <c r="AA402" s="529" t="s">
        <v>31</v>
      </c>
      <c r="AB402" s="163" t="s">
        <v>779</v>
      </c>
      <c r="AC402" s="309">
        <v>610</v>
      </c>
      <c r="AD402" s="173">
        <f>961+662</f>
        <v>1623</v>
      </c>
      <c r="AE402" s="173">
        <f>961+662</f>
        <v>1623</v>
      </c>
      <c r="AF402" s="173">
        <v>1623</v>
      </c>
      <c r="AG402" s="575">
        <f t="shared" si="136"/>
        <v>1</v>
      </c>
      <c r="AH402" s="223"/>
      <c r="AI402" s="156"/>
    </row>
    <row r="403" spans="1:35" s="110" customFormat="1" x14ac:dyDescent="0.25">
      <c r="A403" s="54"/>
      <c r="B403" s="85"/>
      <c r="C403" s="86"/>
      <c r="D403" s="86"/>
      <c r="E403" s="87"/>
      <c r="F403" s="87"/>
      <c r="G403" s="88"/>
      <c r="H403" s="88"/>
      <c r="I403" s="88"/>
      <c r="J403" s="88"/>
      <c r="K403" s="88"/>
      <c r="L403" s="80"/>
      <c r="M403" s="88"/>
      <c r="N403" s="80"/>
      <c r="O403" s="99"/>
      <c r="P403" s="88"/>
      <c r="Q403" s="90"/>
      <c r="R403" s="94"/>
      <c r="S403" s="94"/>
      <c r="T403" s="94"/>
      <c r="U403" s="94"/>
      <c r="V403" s="94"/>
      <c r="W403" s="94"/>
      <c r="X403" s="280" t="s">
        <v>563</v>
      </c>
      <c r="Y403" s="11" t="s">
        <v>65</v>
      </c>
      <c r="Z403" s="1" t="s">
        <v>17</v>
      </c>
      <c r="AA403" s="529" t="s">
        <v>31</v>
      </c>
      <c r="AB403" s="163" t="s">
        <v>143</v>
      </c>
      <c r="AC403" s="324"/>
      <c r="AD403" s="173">
        <f>AD404</f>
        <v>32488.799999999999</v>
      </c>
      <c r="AE403" s="173">
        <f>AE404</f>
        <v>32488.799999999999</v>
      </c>
      <c r="AF403" s="173">
        <f>AF404</f>
        <v>32488.799999999999</v>
      </c>
      <c r="AG403" s="575">
        <f t="shared" si="136"/>
        <v>1</v>
      </c>
      <c r="AH403" s="223"/>
      <c r="AI403" s="156"/>
    </row>
    <row r="404" spans="1:35" s="110" customFormat="1" ht="31.5" x14ac:dyDescent="0.25">
      <c r="A404" s="54"/>
      <c r="B404" s="85"/>
      <c r="C404" s="86"/>
      <c r="D404" s="86"/>
      <c r="E404" s="87"/>
      <c r="F404" s="87"/>
      <c r="G404" s="88"/>
      <c r="H404" s="88"/>
      <c r="I404" s="88"/>
      <c r="J404" s="88"/>
      <c r="K404" s="88"/>
      <c r="L404" s="80"/>
      <c r="M404" s="88"/>
      <c r="N404" s="80"/>
      <c r="O404" s="99"/>
      <c r="P404" s="88"/>
      <c r="Q404" s="90"/>
      <c r="R404" s="94"/>
      <c r="S404" s="94"/>
      <c r="T404" s="94"/>
      <c r="U404" s="94"/>
      <c r="V404" s="94"/>
      <c r="W404" s="94"/>
      <c r="X404" s="280" t="s">
        <v>268</v>
      </c>
      <c r="Y404" s="11" t="s">
        <v>65</v>
      </c>
      <c r="Z404" s="1" t="s">
        <v>17</v>
      </c>
      <c r="AA404" s="529" t="s">
        <v>31</v>
      </c>
      <c r="AB404" s="163" t="s">
        <v>144</v>
      </c>
      <c r="AC404" s="309"/>
      <c r="AD404" s="168">
        <f>AD405+AD408+AD414+AD411</f>
        <v>32488.799999999999</v>
      </c>
      <c r="AE404" s="168">
        <f>AE405+AE408+AE414+AE411</f>
        <v>32488.799999999999</v>
      </c>
      <c r="AF404" s="168">
        <f t="shared" ref="AF404" si="142">AF405+AF408+AF414+AF411</f>
        <v>32488.799999999999</v>
      </c>
      <c r="AG404" s="575">
        <f t="shared" si="136"/>
        <v>1</v>
      </c>
      <c r="AH404" s="194"/>
      <c r="AI404" s="156"/>
    </row>
    <row r="405" spans="1:35" s="110" customFormat="1" ht="31.5" x14ac:dyDescent="0.25">
      <c r="A405" s="54"/>
      <c r="B405" s="85"/>
      <c r="C405" s="86"/>
      <c r="D405" s="86"/>
      <c r="E405" s="87"/>
      <c r="F405" s="87"/>
      <c r="G405" s="88"/>
      <c r="H405" s="88"/>
      <c r="I405" s="88"/>
      <c r="J405" s="88"/>
      <c r="K405" s="88"/>
      <c r="L405" s="80"/>
      <c r="M405" s="88"/>
      <c r="N405" s="80"/>
      <c r="O405" s="99"/>
      <c r="P405" s="88"/>
      <c r="Q405" s="90"/>
      <c r="R405" s="94"/>
      <c r="S405" s="94"/>
      <c r="T405" s="94"/>
      <c r="U405" s="94"/>
      <c r="V405" s="94"/>
      <c r="W405" s="94"/>
      <c r="X405" s="404" t="s">
        <v>269</v>
      </c>
      <c r="Y405" s="11" t="s">
        <v>65</v>
      </c>
      <c r="Z405" s="1" t="s">
        <v>17</v>
      </c>
      <c r="AA405" s="529" t="s">
        <v>31</v>
      </c>
      <c r="AB405" s="163" t="s">
        <v>270</v>
      </c>
      <c r="AC405" s="309"/>
      <c r="AD405" s="168">
        <f t="shared" ref="AD405:AF406" si="143">AD406</f>
        <v>1000</v>
      </c>
      <c r="AE405" s="168">
        <f t="shared" si="143"/>
        <v>1000</v>
      </c>
      <c r="AF405" s="168">
        <f t="shared" si="143"/>
        <v>1000</v>
      </c>
      <c r="AG405" s="575">
        <f t="shared" si="136"/>
        <v>1</v>
      </c>
      <c r="AH405" s="194"/>
      <c r="AI405" s="156"/>
    </row>
    <row r="406" spans="1:35" s="110" customFormat="1" ht="31.5" x14ac:dyDescent="0.25">
      <c r="A406" s="54"/>
      <c r="B406" s="85"/>
      <c r="C406" s="86"/>
      <c r="D406" s="86"/>
      <c r="E406" s="87"/>
      <c r="F406" s="87"/>
      <c r="G406" s="88"/>
      <c r="H406" s="88"/>
      <c r="I406" s="88"/>
      <c r="J406" s="88"/>
      <c r="K406" s="88"/>
      <c r="L406" s="80"/>
      <c r="M406" s="88"/>
      <c r="N406" s="80"/>
      <c r="O406" s="99"/>
      <c r="P406" s="88"/>
      <c r="Q406" s="90"/>
      <c r="R406" s="94"/>
      <c r="S406" s="94"/>
      <c r="T406" s="94"/>
      <c r="U406" s="94"/>
      <c r="V406" s="94"/>
      <c r="W406" s="94"/>
      <c r="X406" s="278" t="s">
        <v>62</v>
      </c>
      <c r="Y406" s="11" t="s">
        <v>65</v>
      </c>
      <c r="Z406" s="1" t="s">
        <v>17</v>
      </c>
      <c r="AA406" s="529" t="s">
        <v>31</v>
      </c>
      <c r="AB406" s="163" t="s">
        <v>270</v>
      </c>
      <c r="AC406" s="309">
        <v>600</v>
      </c>
      <c r="AD406" s="168">
        <f t="shared" si="143"/>
        <v>1000</v>
      </c>
      <c r="AE406" s="168">
        <f t="shared" si="143"/>
        <v>1000</v>
      </c>
      <c r="AF406" s="168">
        <f t="shared" si="143"/>
        <v>1000</v>
      </c>
      <c r="AG406" s="575">
        <f t="shared" si="136"/>
        <v>1</v>
      </c>
      <c r="AH406" s="194"/>
      <c r="AI406" s="156"/>
    </row>
    <row r="407" spans="1:35" s="110" customFormat="1" x14ac:dyDescent="0.25">
      <c r="A407" s="54"/>
      <c r="B407" s="85"/>
      <c r="C407" s="86"/>
      <c r="D407" s="86"/>
      <c r="E407" s="87"/>
      <c r="F407" s="87"/>
      <c r="G407" s="88"/>
      <c r="H407" s="88"/>
      <c r="I407" s="88"/>
      <c r="J407" s="88"/>
      <c r="K407" s="88"/>
      <c r="L407" s="80"/>
      <c r="M407" s="88"/>
      <c r="N407" s="80"/>
      <c r="O407" s="99"/>
      <c r="P407" s="88"/>
      <c r="Q407" s="90"/>
      <c r="R407" s="94"/>
      <c r="S407" s="94"/>
      <c r="T407" s="94"/>
      <c r="U407" s="94"/>
      <c r="V407" s="94"/>
      <c r="W407" s="94"/>
      <c r="X407" s="278" t="s">
        <v>63</v>
      </c>
      <c r="Y407" s="11" t="s">
        <v>65</v>
      </c>
      <c r="Z407" s="1" t="s">
        <v>17</v>
      </c>
      <c r="AA407" s="529" t="s">
        <v>31</v>
      </c>
      <c r="AB407" s="163" t="s">
        <v>270</v>
      </c>
      <c r="AC407" s="309">
        <v>610</v>
      </c>
      <c r="AD407" s="168">
        <v>1000</v>
      </c>
      <c r="AE407" s="168">
        <v>1000</v>
      </c>
      <c r="AF407" s="168">
        <v>1000</v>
      </c>
      <c r="AG407" s="575">
        <f t="shared" si="136"/>
        <v>1</v>
      </c>
      <c r="AH407" s="194"/>
      <c r="AI407" s="156"/>
    </row>
    <row r="408" spans="1:35" s="110" customFormat="1" ht="31.5" x14ac:dyDescent="0.25">
      <c r="A408" s="54"/>
      <c r="B408" s="85"/>
      <c r="C408" s="86"/>
      <c r="D408" s="86"/>
      <c r="E408" s="87"/>
      <c r="F408" s="87"/>
      <c r="G408" s="88"/>
      <c r="H408" s="88"/>
      <c r="I408" s="88"/>
      <c r="J408" s="88"/>
      <c r="K408" s="88"/>
      <c r="L408" s="80"/>
      <c r="M408" s="88"/>
      <c r="N408" s="80"/>
      <c r="O408" s="99"/>
      <c r="P408" s="88"/>
      <c r="Q408" s="90"/>
      <c r="R408" s="94"/>
      <c r="S408" s="94"/>
      <c r="T408" s="94"/>
      <c r="U408" s="94"/>
      <c r="V408" s="94"/>
      <c r="W408" s="94"/>
      <c r="X408" s="278" t="s">
        <v>271</v>
      </c>
      <c r="Y408" s="11" t="s">
        <v>65</v>
      </c>
      <c r="Z408" s="1" t="s">
        <v>17</v>
      </c>
      <c r="AA408" s="529" t="s">
        <v>31</v>
      </c>
      <c r="AB408" s="163" t="s">
        <v>272</v>
      </c>
      <c r="AC408" s="309"/>
      <c r="AD408" s="168">
        <f t="shared" ref="AD408:AF409" si="144">AD409</f>
        <v>28565.599999999999</v>
      </c>
      <c r="AE408" s="168">
        <f t="shared" si="144"/>
        <v>28565.599999999999</v>
      </c>
      <c r="AF408" s="168">
        <f t="shared" si="144"/>
        <v>28565.599999999999</v>
      </c>
      <c r="AG408" s="575">
        <f t="shared" si="136"/>
        <v>1</v>
      </c>
      <c r="AH408" s="194"/>
      <c r="AI408" s="156"/>
    </row>
    <row r="409" spans="1:35" s="110" customFormat="1" ht="31.5" x14ac:dyDescent="0.25">
      <c r="A409" s="54"/>
      <c r="B409" s="85"/>
      <c r="C409" s="86"/>
      <c r="D409" s="86"/>
      <c r="E409" s="87"/>
      <c r="F409" s="87"/>
      <c r="G409" s="88"/>
      <c r="H409" s="88"/>
      <c r="I409" s="88"/>
      <c r="J409" s="88"/>
      <c r="K409" s="88"/>
      <c r="L409" s="80"/>
      <c r="M409" s="88"/>
      <c r="N409" s="80"/>
      <c r="O409" s="99"/>
      <c r="P409" s="88"/>
      <c r="Q409" s="90"/>
      <c r="R409" s="94"/>
      <c r="S409" s="94"/>
      <c r="T409" s="94"/>
      <c r="U409" s="94"/>
      <c r="V409" s="94"/>
      <c r="W409" s="94"/>
      <c r="X409" s="278" t="s">
        <v>62</v>
      </c>
      <c r="Y409" s="11" t="s">
        <v>65</v>
      </c>
      <c r="Z409" s="1" t="s">
        <v>17</v>
      </c>
      <c r="AA409" s="529" t="s">
        <v>31</v>
      </c>
      <c r="AB409" s="163" t="s">
        <v>272</v>
      </c>
      <c r="AC409" s="309">
        <v>600</v>
      </c>
      <c r="AD409" s="168">
        <f t="shared" si="144"/>
        <v>28565.599999999999</v>
      </c>
      <c r="AE409" s="168">
        <f t="shared" si="144"/>
        <v>28565.599999999999</v>
      </c>
      <c r="AF409" s="168">
        <f t="shared" si="144"/>
        <v>28565.599999999999</v>
      </c>
      <c r="AG409" s="575">
        <f t="shared" si="136"/>
        <v>1</v>
      </c>
      <c r="AH409" s="194"/>
      <c r="AI409" s="156"/>
    </row>
    <row r="410" spans="1:35" s="110" customFormat="1" x14ac:dyDescent="0.25">
      <c r="A410" s="54"/>
      <c r="B410" s="85"/>
      <c r="C410" s="86"/>
      <c r="D410" s="86"/>
      <c r="E410" s="87"/>
      <c r="F410" s="87"/>
      <c r="G410" s="88"/>
      <c r="H410" s="88"/>
      <c r="I410" s="88"/>
      <c r="J410" s="88"/>
      <c r="K410" s="88"/>
      <c r="L410" s="80"/>
      <c r="M410" s="88"/>
      <c r="N410" s="80"/>
      <c r="O410" s="99"/>
      <c r="P410" s="88"/>
      <c r="Q410" s="90"/>
      <c r="R410" s="94"/>
      <c r="S410" s="94"/>
      <c r="T410" s="94"/>
      <c r="U410" s="94"/>
      <c r="V410" s="94"/>
      <c r="W410" s="94"/>
      <c r="X410" s="278" t="s">
        <v>63</v>
      </c>
      <c r="Y410" s="11" t="s">
        <v>65</v>
      </c>
      <c r="Z410" s="1" t="s">
        <v>17</v>
      </c>
      <c r="AA410" s="529" t="s">
        <v>31</v>
      </c>
      <c r="AB410" s="163" t="s">
        <v>272</v>
      </c>
      <c r="AC410" s="309">
        <v>610</v>
      </c>
      <c r="AD410" s="168">
        <f>28318+247.6</f>
        <v>28565.599999999999</v>
      </c>
      <c r="AE410" s="168">
        <f>28318+247.6</f>
        <v>28565.599999999999</v>
      </c>
      <c r="AF410" s="168">
        <v>28565.599999999999</v>
      </c>
      <c r="AG410" s="575">
        <f t="shared" si="136"/>
        <v>1</v>
      </c>
      <c r="AH410" s="194"/>
      <c r="AI410" s="156"/>
    </row>
    <row r="411" spans="1:35" s="110" customFormat="1" ht="31.5" x14ac:dyDescent="0.25">
      <c r="A411" s="54"/>
      <c r="B411" s="85"/>
      <c r="C411" s="86"/>
      <c r="D411" s="86"/>
      <c r="E411" s="87"/>
      <c r="F411" s="87"/>
      <c r="G411" s="88"/>
      <c r="H411" s="88"/>
      <c r="I411" s="88"/>
      <c r="J411" s="88"/>
      <c r="K411" s="88"/>
      <c r="L411" s="80"/>
      <c r="M411" s="88"/>
      <c r="N411" s="80"/>
      <c r="O411" s="99"/>
      <c r="P411" s="88"/>
      <c r="Q411" s="90"/>
      <c r="R411" s="94"/>
      <c r="S411" s="94"/>
      <c r="T411" s="94"/>
      <c r="U411" s="94"/>
      <c r="V411" s="94"/>
      <c r="W411" s="94"/>
      <c r="X411" s="278" t="s">
        <v>763</v>
      </c>
      <c r="Y411" s="11" t="s">
        <v>65</v>
      </c>
      <c r="Z411" s="1" t="s">
        <v>17</v>
      </c>
      <c r="AA411" s="529" t="s">
        <v>31</v>
      </c>
      <c r="AB411" s="163" t="s">
        <v>780</v>
      </c>
      <c r="AC411" s="309"/>
      <c r="AD411" s="168">
        <f>AD412</f>
        <v>2556</v>
      </c>
      <c r="AE411" s="168">
        <f>AE412</f>
        <v>2556</v>
      </c>
      <c r="AF411" s="168">
        <f t="shared" ref="AF411" si="145">AF412</f>
        <v>2556</v>
      </c>
      <c r="AG411" s="575">
        <f t="shared" si="136"/>
        <v>1</v>
      </c>
      <c r="AH411" s="194"/>
      <c r="AI411" s="156"/>
    </row>
    <row r="412" spans="1:35" s="110" customFormat="1" ht="31.5" x14ac:dyDescent="0.25">
      <c r="A412" s="54"/>
      <c r="B412" s="85"/>
      <c r="C412" s="86"/>
      <c r="D412" s="86"/>
      <c r="E412" s="87"/>
      <c r="F412" s="87"/>
      <c r="G412" s="88"/>
      <c r="H412" s="88"/>
      <c r="I412" s="88"/>
      <c r="J412" s="88"/>
      <c r="K412" s="88"/>
      <c r="L412" s="80"/>
      <c r="M412" s="88"/>
      <c r="N412" s="80"/>
      <c r="O412" s="99"/>
      <c r="P412" s="88"/>
      <c r="Q412" s="90"/>
      <c r="R412" s="94"/>
      <c r="S412" s="94"/>
      <c r="T412" s="94"/>
      <c r="U412" s="94"/>
      <c r="V412" s="94"/>
      <c r="W412" s="94"/>
      <c r="X412" s="278" t="s">
        <v>62</v>
      </c>
      <c r="Y412" s="11" t="s">
        <v>65</v>
      </c>
      <c r="Z412" s="1" t="s">
        <v>17</v>
      </c>
      <c r="AA412" s="529" t="s">
        <v>31</v>
      </c>
      <c r="AB412" s="163" t="s">
        <v>780</v>
      </c>
      <c r="AC412" s="309">
        <v>600</v>
      </c>
      <c r="AD412" s="168">
        <f>AD413</f>
        <v>2556</v>
      </c>
      <c r="AE412" s="168">
        <f>AE413</f>
        <v>2556</v>
      </c>
      <c r="AF412" s="168">
        <f t="shared" ref="AF412" si="146">AF413</f>
        <v>2556</v>
      </c>
      <c r="AG412" s="575">
        <f t="shared" si="136"/>
        <v>1</v>
      </c>
      <c r="AH412" s="194"/>
      <c r="AI412" s="156"/>
    </row>
    <row r="413" spans="1:35" s="110" customFormat="1" x14ac:dyDescent="0.25">
      <c r="A413" s="54"/>
      <c r="B413" s="85"/>
      <c r="C413" s="86"/>
      <c r="D413" s="86"/>
      <c r="E413" s="87"/>
      <c r="F413" s="87"/>
      <c r="G413" s="88"/>
      <c r="H413" s="88"/>
      <c r="I413" s="88"/>
      <c r="J413" s="88"/>
      <c r="K413" s="88"/>
      <c r="L413" s="80"/>
      <c r="M413" s="88"/>
      <c r="N413" s="80"/>
      <c r="O413" s="99"/>
      <c r="P413" s="88"/>
      <c r="Q413" s="90"/>
      <c r="R413" s="94"/>
      <c r="S413" s="94"/>
      <c r="T413" s="94"/>
      <c r="U413" s="94"/>
      <c r="V413" s="94"/>
      <c r="W413" s="94"/>
      <c r="X413" s="278" t="s">
        <v>63</v>
      </c>
      <c r="Y413" s="11" t="s">
        <v>65</v>
      </c>
      <c r="Z413" s="1" t="s">
        <v>17</v>
      </c>
      <c r="AA413" s="529" t="s">
        <v>31</v>
      </c>
      <c r="AB413" s="163" t="s">
        <v>780</v>
      </c>
      <c r="AC413" s="309">
        <v>610</v>
      </c>
      <c r="AD413" s="168">
        <f>1510+1046</f>
        <v>2556</v>
      </c>
      <c r="AE413" s="168">
        <f>1510+1046</f>
        <v>2556</v>
      </c>
      <c r="AF413" s="168">
        <v>2556</v>
      </c>
      <c r="AG413" s="575">
        <f t="shared" si="136"/>
        <v>1</v>
      </c>
      <c r="AH413" s="194"/>
      <c r="AI413" s="156"/>
    </row>
    <row r="414" spans="1:35" s="110" customFormat="1" ht="37.15" customHeight="1" x14ac:dyDescent="0.25">
      <c r="A414" s="54"/>
      <c r="B414" s="85"/>
      <c r="C414" s="86"/>
      <c r="D414" s="86"/>
      <c r="E414" s="87"/>
      <c r="F414" s="87"/>
      <c r="G414" s="88"/>
      <c r="H414" s="88"/>
      <c r="I414" s="88"/>
      <c r="J414" s="88"/>
      <c r="K414" s="88"/>
      <c r="L414" s="80"/>
      <c r="M414" s="88"/>
      <c r="N414" s="80"/>
      <c r="O414" s="99"/>
      <c r="P414" s="88"/>
      <c r="Q414" s="90"/>
      <c r="R414" s="94"/>
      <c r="S414" s="94"/>
      <c r="T414" s="94"/>
      <c r="U414" s="94"/>
      <c r="V414" s="94"/>
      <c r="W414" s="94"/>
      <c r="X414" s="401" t="s">
        <v>573</v>
      </c>
      <c r="Y414" s="11" t="s">
        <v>65</v>
      </c>
      <c r="Z414" s="209" t="s">
        <v>17</v>
      </c>
      <c r="AA414" s="529" t="s">
        <v>31</v>
      </c>
      <c r="AB414" s="163" t="s">
        <v>441</v>
      </c>
      <c r="AC414" s="309"/>
      <c r="AD414" s="168">
        <f>AD415</f>
        <v>367.2</v>
      </c>
      <c r="AE414" s="168">
        <f>AE415</f>
        <v>367.2</v>
      </c>
      <c r="AF414" s="168">
        <f t="shared" ref="AF414" si="147">AF415</f>
        <v>367.2</v>
      </c>
      <c r="AG414" s="575">
        <f t="shared" si="136"/>
        <v>1</v>
      </c>
      <c r="AH414" s="194"/>
      <c r="AI414" s="156"/>
    </row>
    <row r="415" spans="1:35" s="110" customFormat="1" ht="31.5" x14ac:dyDescent="0.25">
      <c r="A415" s="54"/>
      <c r="B415" s="85"/>
      <c r="C415" s="86"/>
      <c r="D415" s="86"/>
      <c r="E415" s="87"/>
      <c r="F415" s="87"/>
      <c r="G415" s="88"/>
      <c r="H415" s="88"/>
      <c r="I415" s="88"/>
      <c r="J415" s="88"/>
      <c r="K415" s="88"/>
      <c r="L415" s="80"/>
      <c r="M415" s="88"/>
      <c r="N415" s="80"/>
      <c r="O415" s="99"/>
      <c r="P415" s="88"/>
      <c r="Q415" s="90"/>
      <c r="R415" s="94"/>
      <c r="S415" s="94"/>
      <c r="T415" s="94"/>
      <c r="U415" s="94"/>
      <c r="V415" s="94"/>
      <c r="W415" s="94"/>
      <c r="X415" s="401" t="s">
        <v>62</v>
      </c>
      <c r="Y415" s="11" t="s">
        <v>65</v>
      </c>
      <c r="Z415" s="209" t="s">
        <v>17</v>
      </c>
      <c r="AA415" s="529" t="s">
        <v>31</v>
      </c>
      <c r="AB415" s="163" t="s">
        <v>441</v>
      </c>
      <c r="AC415" s="309">
        <v>600</v>
      </c>
      <c r="AD415" s="168">
        <f>AD416</f>
        <v>367.2</v>
      </c>
      <c r="AE415" s="168">
        <f>AE416</f>
        <v>367.2</v>
      </c>
      <c r="AF415" s="168">
        <f t="shared" ref="AF415" si="148">AF416</f>
        <v>367.2</v>
      </c>
      <c r="AG415" s="575">
        <f t="shared" si="136"/>
        <v>1</v>
      </c>
      <c r="AH415" s="194"/>
      <c r="AI415" s="156"/>
    </row>
    <row r="416" spans="1:35" s="110" customFormat="1" x14ac:dyDescent="0.25">
      <c r="A416" s="54"/>
      <c r="B416" s="85"/>
      <c r="C416" s="86"/>
      <c r="D416" s="86"/>
      <c r="E416" s="87"/>
      <c r="F416" s="87"/>
      <c r="G416" s="88"/>
      <c r="H416" s="88"/>
      <c r="I416" s="88"/>
      <c r="J416" s="88"/>
      <c r="K416" s="88"/>
      <c r="L416" s="80"/>
      <c r="M416" s="88"/>
      <c r="N416" s="80"/>
      <c r="O416" s="99"/>
      <c r="P416" s="88"/>
      <c r="Q416" s="90"/>
      <c r="R416" s="94"/>
      <c r="S416" s="94"/>
      <c r="T416" s="94"/>
      <c r="U416" s="94"/>
      <c r="V416" s="94"/>
      <c r="W416" s="94"/>
      <c r="X416" s="401" t="s">
        <v>63</v>
      </c>
      <c r="Y416" s="11" t="s">
        <v>65</v>
      </c>
      <c r="Z416" s="209" t="s">
        <v>17</v>
      </c>
      <c r="AA416" s="529" t="s">
        <v>31</v>
      </c>
      <c r="AB416" s="163" t="s">
        <v>441</v>
      </c>
      <c r="AC416" s="309">
        <v>610</v>
      </c>
      <c r="AD416" s="168">
        <f>305.5+61.7</f>
        <v>367.2</v>
      </c>
      <c r="AE416" s="168">
        <f>305.5+61.7</f>
        <v>367.2</v>
      </c>
      <c r="AF416" s="168">
        <v>367.2</v>
      </c>
      <c r="AG416" s="575">
        <f t="shared" si="136"/>
        <v>1</v>
      </c>
      <c r="AH416" s="194"/>
      <c r="AI416" s="156"/>
    </row>
    <row r="417" spans="1:35" s="110" customFormat="1" ht="31.5" x14ac:dyDescent="0.25">
      <c r="A417" s="54"/>
      <c r="B417" s="85"/>
      <c r="C417" s="86"/>
      <c r="D417" s="86"/>
      <c r="E417" s="87"/>
      <c r="F417" s="87"/>
      <c r="G417" s="88"/>
      <c r="H417" s="88"/>
      <c r="I417" s="88"/>
      <c r="J417" s="88"/>
      <c r="K417" s="88"/>
      <c r="L417" s="80"/>
      <c r="M417" s="88"/>
      <c r="N417" s="80"/>
      <c r="O417" s="99"/>
      <c r="P417" s="88"/>
      <c r="Q417" s="90"/>
      <c r="R417" s="94"/>
      <c r="S417" s="94"/>
      <c r="T417" s="94"/>
      <c r="U417" s="94"/>
      <c r="V417" s="94"/>
      <c r="W417" s="94"/>
      <c r="X417" s="280" t="s">
        <v>564</v>
      </c>
      <c r="Y417" s="11" t="s">
        <v>65</v>
      </c>
      <c r="Z417" s="1" t="s">
        <v>17</v>
      </c>
      <c r="AA417" s="529" t="s">
        <v>31</v>
      </c>
      <c r="AB417" s="163" t="s">
        <v>273</v>
      </c>
      <c r="AC417" s="309"/>
      <c r="AD417" s="168">
        <f>AD418+AD435+AD439</f>
        <v>75957.399999999994</v>
      </c>
      <c r="AE417" s="168">
        <f>AE418+AE435+AE439</f>
        <v>75957.399999999994</v>
      </c>
      <c r="AF417" s="168">
        <f t="shared" ref="AF417" si="149">AF418+AF435+AF439</f>
        <v>75713.3</v>
      </c>
      <c r="AG417" s="575">
        <f t="shared" si="136"/>
        <v>0.99678635656302095</v>
      </c>
      <c r="AH417" s="194"/>
      <c r="AI417" s="156"/>
    </row>
    <row r="418" spans="1:35" s="110" customFormat="1" x14ac:dyDescent="0.25">
      <c r="A418" s="54"/>
      <c r="B418" s="85"/>
      <c r="C418" s="86"/>
      <c r="D418" s="86"/>
      <c r="E418" s="87"/>
      <c r="F418" s="87"/>
      <c r="G418" s="88"/>
      <c r="H418" s="88"/>
      <c r="I418" s="88"/>
      <c r="J418" s="88"/>
      <c r="K418" s="88"/>
      <c r="L418" s="80"/>
      <c r="M418" s="88"/>
      <c r="N418" s="80"/>
      <c r="O418" s="99"/>
      <c r="P418" s="88"/>
      <c r="Q418" s="90"/>
      <c r="R418" s="94"/>
      <c r="S418" s="94"/>
      <c r="T418" s="94"/>
      <c r="U418" s="94"/>
      <c r="V418" s="94"/>
      <c r="W418" s="94"/>
      <c r="X418" s="280" t="s">
        <v>380</v>
      </c>
      <c r="Y418" s="11" t="s">
        <v>65</v>
      </c>
      <c r="Z418" s="1" t="s">
        <v>17</v>
      </c>
      <c r="AA418" s="529" t="s">
        <v>31</v>
      </c>
      <c r="AB418" s="163" t="s">
        <v>565</v>
      </c>
      <c r="AC418" s="309"/>
      <c r="AD418" s="168">
        <f>AD428+AD419</f>
        <v>69965.899999999994</v>
      </c>
      <c r="AE418" s="168">
        <f>AE428+AE419</f>
        <v>69965.899999999994</v>
      </c>
      <c r="AF418" s="168">
        <f t="shared" ref="AF418" si="150">AF428+AF419</f>
        <v>69721.8</v>
      </c>
      <c r="AG418" s="575">
        <f t="shared" si="136"/>
        <v>0.99651115757819175</v>
      </c>
      <c r="AH418" s="194"/>
      <c r="AI418" s="156"/>
    </row>
    <row r="419" spans="1:35" s="110" customFormat="1" x14ac:dyDescent="0.25">
      <c r="A419" s="54"/>
      <c r="B419" s="85"/>
      <c r="C419" s="86"/>
      <c r="D419" s="86"/>
      <c r="E419" s="87"/>
      <c r="F419" s="87"/>
      <c r="G419" s="88"/>
      <c r="H419" s="88"/>
      <c r="I419" s="88"/>
      <c r="J419" s="88"/>
      <c r="K419" s="88"/>
      <c r="L419" s="80"/>
      <c r="M419" s="88"/>
      <c r="N419" s="80"/>
      <c r="O419" s="99"/>
      <c r="P419" s="88"/>
      <c r="Q419" s="90"/>
      <c r="R419" s="94"/>
      <c r="S419" s="94"/>
      <c r="T419" s="94"/>
      <c r="U419" s="94"/>
      <c r="V419" s="94"/>
      <c r="W419" s="94"/>
      <c r="X419" s="404" t="s">
        <v>274</v>
      </c>
      <c r="Y419" s="11" t="s">
        <v>65</v>
      </c>
      <c r="Z419" s="1" t="s">
        <v>17</v>
      </c>
      <c r="AA419" s="529" t="s">
        <v>31</v>
      </c>
      <c r="AB419" s="163" t="s">
        <v>646</v>
      </c>
      <c r="AC419" s="309"/>
      <c r="AD419" s="168">
        <f>AD420+AD425</f>
        <v>9328</v>
      </c>
      <c r="AE419" s="168">
        <f>AE420+AE425</f>
        <v>9328</v>
      </c>
      <c r="AF419" s="168">
        <f>AF420+AF425</f>
        <v>9083.9</v>
      </c>
      <c r="AG419" s="575">
        <f t="shared" si="136"/>
        <v>0.97383147512864487</v>
      </c>
      <c r="AH419" s="194"/>
      <c r="AI419" s="156"/>
    </row>
    <row r="420" spans="1:35" s="110" customFormat="1" ht="31.5" x14ac:dyDescent="0.25">
      <c r="A420" s="54"/>
      <c r="B420" s="85"/>
      <c r="C420" s="86"/>
      <c r="D420" s="86"/>
      <c r="E420" s="87"/>
      <c r="F420" s="87"/>
      <c r="G420" s="88"/>
      <c r="H420" s="88"/>
      <c r="I420" s="88"/>
      <c r="J420" s="88"/>
      <c r="K420" s="88"/>
      <c r="L420" s="80"/>
      <c r="M420" s="88"/>
      <c r="N420" s="80"/>
      <c r="O420" s="99"/>
      <c r="P420" s="88"/>
      <c r="Q420" s="90"/>
      <c r="R420" s="94"/>
      <c r="S420" s="94"/>
      <c r="T420" s="94"/>
      <c r="U420" s="94"/>
      <c r="V420" s="94"/>
      <c r="W420" s="94"/>
      <c r="X420" s="278" t="s">
        <v>275</v>
      </c>
      <c r="Y420" s="11" t="s">
        <v>65</v>
      </c>
      <c r="Z420" s="1" t="s">
        <v>17</v>
      </c>
      <c r="AA420" s="529" t="s">
        <v>31</v>
      </c>
      <c r="AB420" s="163" t="s">
        <v>647</v>
      </c>
      <c r="AC420" s="309"/>
      <c r="AD420" s="168">
        <f>AD423+AD421</f>
        <v>8893</v>
      </c>
      <c r="AE420" s="168">
        <f>AE423+AE421</f>
        <v>8893</v>
      </c>
      <c r="AF420" s="168">
        <f>AF423+AF421</f>
        <v>8650.9</v>
      </c>
      <c r="AG420" s="575">
        <f t="shared" si="136"/>
        <v>0.97277634094231413</v>
      </c>
      <c r="AH420" s="194"/>
      <c r="AI420" s="156"/>
    </row>
    <row r="421" spans="1:35" s="110" customFormat="1" x14ac:dyDescent="0.25">
      <c r="A421" s="54"/>
      <c r="B421" s="85"/>
      <c r="C421" s="86"/>
      <c r="D421" s="86"/>
      <c r="E421" s="87"/>
      <c r="F421" s="87"/>
      <c r="G421" s="88"/>
      <c r="H421" s="88"/>
      <c r="I421" s="88"/>
      <c r="J421" s="88"/>
      <c r="K421" s="88"/>
      <c r="L421" s="80"/>
      <c r="M421" s="88"/>
      <c r="N421" s="80"/>
      <c r="O421" s="99"/>
      <c r="P421" s="88"/>
      <c r="Q421" s="90"/>
      <c r="R421" s="94"/>
      <c r="S421" s="94"/>
      <c r="T421" s="94"/>
      <c r="U421" s="94"/>
      <c r="V421" s="94"/>
      <c r="W421" s="94"/>
      <c r="X421" s="401" t="s">
        <v>123</v>
      </c>
      <c r="Y421" s="11" t="s">
        <v>65</v>
      </c>
      <c r="Z421" s="1" t="s">
        <v>17</v>
      </c>
      <c r="AA421" s="529" t="s">
        <v>31</v>
      </c>
      <c r="AB421" s="163" t="s">
        <v>647</v>
      </c>
      <c r="AC421" s="309">
        <v>200</v>
      </c>
      <c r="AD421" s="168">
        <f>AD422</f>
        <v>1100</v>
      </c>
      <c r="AE421" s="168">
        <f>AE422</f>
        <v>1100</v>
      </c>
      <c r="AF421" s="168">
        <f>AF422</f>
        <v>1100</v>
      </c>
      <c r="AG421" s="575">
        <f t="shared" si="136"/>
        <v>1</v>
      </c>
      <c r="AH421" s="194"/>
      <c r="AI421" s="156"/>
    </row>
    <row r="422" spans="1:35" s="110" customFormat="1" ht="31.5" x14ac:dyDescent="0.25">
      <c r="A422" s="54"/>
      <c r="B422" s="85"/>
      <c r="C422" s="86"/>
      <c r="D422" s="86"/>
      <c r="E422" s="87"/>
      <c r="F422" s="87"/>
      <c r="G422" s="88"/>
      <c r="H422" s="88"/>
      <c r="I422" s="88"/>
      <c r="J422" s="88"/>
      <c r="K422" s="88"/>
      <c r="L422" s="80"/>
      <c r="M422" s="88"/>
      <c r="N422" s="80"/>
      <c r="O422" s="99"/>
      <c r="P422" s="88"/>
      <c r="Q422" s="90"/>
      <c r="R422" s="94"/>
      <c r="S422" s="94"/>
      <c r="T422" s="94"/>
      <c r="U422" s="94"/>
      <c r="V422" s="94"/>
      <c r="W422" s="94"/>
      <c r="X422" s="401" t="s">
        <v>54</v>
      </c>
      <c r="Y422" s="11" t="s">
        <v>65</v>
      </c>
      <c r="Z422" s="1" t="s">
        <v>17</v>
      </c>
      <c r="AA422" s="529" t="s">
        <v>31</v>
      </c>
      <c r="AB422" s="163" t="s">
        <v>647</v>
      </c>
      <c r="AC422" s="309">
        <v>240</v>
      </c>
      <c r="AD422" s="168">
        <f>850+400-150</f>
        <v>1100</v>
      </c>
      <c r="AE422" s="168">
        <f>850+400-150</f>
        <v>1100</v>
      </c>
      <c r="AF422" s="168">
        <v>1100</v>
      </c>
      <c r="AG422" s="575">
        <f t="shared" si="136"/>
        <v>1</v>
      </c>
      <c r="AH422" s="194"/>
      <c r="AI422" s="156"/>
    </row>
    <row r="423" spans="1:35" s="110" customFormat="1" ht="31.5" x14ac:dyDescent="0.25">
      <c r="A423" s="54"/>
      <c r="B423" s="85"/>
      <c r="C423" s="86"/>
      <c r="D423" s="86"/>
      <c r="E423" s="87"/>
      <c r="F423" s="87"/>
      <c r="G423" s="88"/>
      <c r="H423" s="88"/>
      <c r="I423" s="88"/>
      <c r="J423" s="88"/>
      <c r="K423" s="88"/>
      <c r="L423" s="80"/>
      <c r="M423" s="88"/>
      <c r="N423" s="80"/>
      <c r="O423" s="99"/>
      <c r="P423" s="88"/>
      <c r="Q423" s="90"/>
      <c r="R423" s="94"/>
      <c r="S423" s="94"/>
      <c r="T423" s="94"/>
      <c r="U423" s="94"/>
      <c r="V423" s="94"/>
      <c r="W423" s="94"/>
      <c r="X423" s="278" t="s">
        <v>62</v>
      </c>
      <c r="Y423" s="11" t="s">
        <v>65</v>
      </c>
      <c r="Z423" s="1" t="s">
        <v>17</v>
      </c>
      <c r="AA423" s="529" t="s">
        <v>31</v>
      </c>
      <c r="AB423" s="163" t="s">
        <v>647</v>
      </c>
      <c r="AC423" s="309">
        <v>600</v>
      </c>
      <c r="AD423" s="168">
        <f>AD424</f>
        <v>7793</v>
      </c>
      <c r="AE423" s="168">
        <f>AE424</f>
        <v>7793</v>
      </c>
      <c r="AF423" s="168">
        <f>AF424</f>
        <v>7550.9</v>
      </c>
      <c r="AG423" s="575">
        <f t="shared" si="136"/>
        <v>0.96893365841139478</v>
      </c>
      <c r="AH423" s="194"/>
      <c r="AI423" s="156"/>
    </row>
    <row r="424" spans="1:35" s="110" customFormat="1" x14ac:dyDescent="0.25">
      <c r="A424" s="54"/>
      <c r="B424" s="85"/>
      <c r="C424" s="86"/>
      <c r="D424" s="86"/>
      <c r="E424" s="87"/>
      <c r="F424" s="87"/>
      <c r="G424" s="88"/>
      <c r="H424" s="88"/>
      <c r="I424" s="88"/>
      <c r="J424" s="88"/>
      <c r="K424" s="88"/>
      <c r="L424" s="80"/>
      <c r="M424" s="88"/>
      <c r="N424" s="80"/>
      <c r="O424" s="99"/>
      <c r="P424" s="88"/>
      <c r="Q424" s="90"/>
      <c r="R424" s="94"/>
      <c r="S424" s="94"/>
      <c r="T424" s="94"/>
      <c r="U424" s="94"/>
      <c r="V424" s="94"/>
      <c r="W424" s="94"/>
      <c r="X424" s="278" t="s">
        <v>63</v>
      </c>
      <c r="Y424" s="11" t="s">
        <v>65</v>
      </c>
      <c r="Z424" s="1" t="s">
        <v>17</v>
      </c>
      <c r="AA424" s="529" t="s">
        <v>31</v>
      </c>
      <c r="AB424" s="163" t="s">
        <v>647</v>
      </c>
      <c r="AC424" s="309">
        <v>610</v>
      </c>
      <c r="AD424" s="168">
        <f>2215+375+301.3+400+565+1800+2000+150-13.3</f>
        <v>7793</v>
      </c>
      <c r="AE424" s="168">
        <f>2215+375+301.3+400+565+1800+2000+150-13.3</f>
        <v>7793</v>
      </c>
      <c r="AF424" s="168">
        <v>7550.9</v>
      </c>
      <c r="AG424" s="575">
        <f t="shared" si="136"/>
        <v>0.96893365841139478</v>
      </c>
      <c r="AH424" s="194"/>
      <c r="AI424" s="156"/>
    </row>
    <row r="425" spans="1:35" s="110" customFormat="1" ht="31.5" x14ac:dyDescent="0.25">
      <c r="A425" s="54"/>
      <c r="B425" s="85"/>
      <c r="C425" s="86"/>
      <c r="D425" s="86"/>
      <c r="E425" s="87"/>
      <c r="F425" s="87"/>
      <c r="G425" s="88"/>
      <c r="H425" s="88"/>
      <c r="I425" s="88"/>
      <c r="J425" s="88"/>
      <c r="K425" s="88"/>
      <c r="L425" s="80"/>
      <c r="M425" s="88"/>
      <c r="N425" s="80"/>
      <c r="O425" s="99"/>
      <c r="P425" s="88"/>
      <c r="Q425" s="90"/>
      <c r="R425" s="94"/>
      <c r="S425" s="94"/>
      <c r="T425" s="94"/>
      <c r="U425" s="94"/>
      <c r="V425" s="94"/>
      <c r="W425" s="94"/>
      <c r="X425" s="278" t="s">
        <v>276</v>
      </c>
      <c r="Y425" s="11" t="s">
        <v>65</v>
      </c>
      <c r="Z425" s="1" t="s">
        <v>17</v>
      </c>
      <c r="AA425" s="529" t="s">
        <v>31</v>
      </c>
      <c r="AB425" s="163" t="s">
        <v>648</v>
      </c>
      <c r="AC425" s="309"/>
      <c r="AD425" s="168">
        <f t="shared" ref="AD425:AF426" si="151">AD426</f>
        <v>435</v>
      </c>
      <c r="AE425" s="168">
        <f t="shared" si="151"/>
        <v>435</v>
      </c>
      <c r="AF425" s="168">
        <f t="shared" si="151"/>
        <v>433</v>
      </c>
      <c r="AG425" s="575">
        <f t="shared" si="136"/>
        <v>0.99540229885057474</v>
      </c>
      <c r="AH425" s="194"/>
      <c r="AI425" s="156"/>
    </row>
    <row r="426" spans="1:35" s="110" customFormat="1" ht="31.5" x14ac:dyDescent="0.25">
      <c r="A426" s="54"/>
      <c r="B426" s="85"/>
      <c r="C426" s="86"/>
      <c r="D426" s="86"/>
      <c r="E426" s="87"/>
      <c r="F426" s="87"/>
      <c r="G426" s="88"/>
      <c r="H426" s="88"/>
      <c r="I426" s="88"/>
      <c r="J426" s="88"/>
      <c r="K426" s="88"/>
      <c r="L426" s="80"/>
      <c r="M426" s="88"/>
      <c r="N426" s="80"/>
      <c r="O426" s="99"/>
      <c r="P426" s="88"/>
      <c r="Q426" s="90"/>
      <c r="R426" s="94"/>
      <c r="S426" s="94"/>
      <c r="T426" s="94"/>
      <c r="U426" s="94"/>
      <c r="V426" s="94"/>
      <c r="W426" s="94"/>
      <c r="X426" s="278" t="s">
        <v>62</v>
      </c>
      <c r="Y426" s="11" t="s">
        <v>65</v>
      </c>
      <c r="Z426" s="1" t="s">
        <v>17</v>
      </c>
      <c r="AA426" s="529" t="s">
        <v>31</v>
      </c>
      <c r="AB426" s="163" t="s">
        <v>648</v>
      </c>
      <c r="AC426" s="309">
        <v>600</v>
      </c>
      <c r="AD426" s="168">
        <f t="shared" si="151"/>
        <v>435</v>
      </c>
      <c r="AE426" s="168">
        <f t="shared" si="151"/>
        <v>435</v>
      </c>
      <c r="AF426" s="168">
        <f t="shared" si="151"/>
        <v>433</v>
      </c>
      <c r="AG426" s="575">
        <f t="shared" si="136"/>
        <v>0.99540229885057474</v>
      </c>
      <c r="AH426" s="194"/>
      <c r="AI426" s="156"/>
    </row>
    <row r="427" spans="1:35" s="110" customFormat="1" x14ac:dyDescent="0.25">
      <c r="A427" s="54"/>
      <c r="B427" s="85"/>
      <c r="C427" s="86"/>
      <c r="D427" s="86"/>
      <c r="E427" s="87"/>
      <c r="F427" s="87"/>
      <c r="G427" s="88"/>
      <c r="H427" s="88"/>
      <c r="I427" s="88"/>
      <c r="J427" s="88"/>
      <c r="K427" s="88"/>
      <c r="L427" s="80"/>
      <c r="M427" s="88"/>
      <c r="N427" s="80"/>
      <c r="O427" s="99"/>
      <c r="P427" s="88"/>
      <c r="Q427" s="90"/>
      <c r="R427" s="94"/>
      <c r="S427" s="94"/>
      <c r="T427" s="94"/>
      <c r="U427" s="94"/>
      <c r="V427" s="94"/>
      <c r="W427" s="94"/>
      <c r="X427" s="278" t="s">
        <v>63</v>
      </c>
      <c r="Y427" s="11" t="s">
        <v>65</v>
      </c>
      <c r="Z427" s="1" t="s">
        <v>17</v>
      </c>
      <c r="AA427" s="529" t="s">
        <v>31</v>
      </c>
      <c r="AB427" s="163" t="s">
        <v>648</v>
      </c>
      <c r="AC427" s="309">
        <v>610</v>
      </c>
      <c r="AD427" s="168">
        <v>435</v>
      </c>
      <c r="AE427" s="168">
        <v>435</v>
      </c>
      <c r="AF427" s="168">
        <v>433</v>
      </c>
      <c r="AG427" s="575">
        <f t="shared" si="136"/>
        <v>0.99540229885057474</v>
      </c>
      <c r="AH427" s="194"/>
      <c r="AI427" s="156"/>
    </row>
    <row r="428" spans="1:35" s="110" customFormat="1" ht="31.5" x14ac:dyDescent="0.25">
      <c r="A428" s="54"/>
      <c r="B428" s="85"/>
      <c r="C428" s="86"/>
      <c r="D428" s="86"/>
      <c r="E428" s="87"/>
      <c r="F428" s="87"/>
      <c r="G428" s="88"/>
      <c r="H428" s="88"/>
      <c r="I428" s="88"/>
      <c r="J428" s="88"/>
      <c r="K428" s="88"/>
      <c r="L428" s="80"/>
      <c r="M428" s="88"/>
      <c r="N428" s="80"/>
      <c r="O428" s="99"/>
      <c r="P428" s="88"/>
      <c r="Q428" s="90"/>
      <c r="R428" s="94"/>
      <c r="S428" s="94"/>
      <c r="T428" s="94"/>
      <c r="U428" s="94"/>
      <c r="V428" s="94"/>
      <c r="W428" s="94"/>
      <c r="X428" s="281" t="s">
        <v>381</v>
      </c>
      <c r="Y428" s="11" t="s">
        <v>65</v>
      </c>
      <c r="Z428" s="1" t="s">
        <v>17</v>
      </c>
      <c r="AA428" s="529" t="s">
        <v>31</v>
      </c>
      <c r="AB428" s="163" t="s">
        <v>566</v>
      </c>
      <c r="AC428" s="309"/>
      <c r="AD428" s="168">
        <f>AD429+AD432</f>
        <v>60637.9</v>
      </c>
      <c r="AE428" s="168">
        <f>AE429+AE432</f>
        <v>60637.9</v>
      </c>
      <c r="AF428" s="168">
        <f>AF429+AF432</f>
        <v>60637.9</v>
      </c>
      <c r="AG428" s="575">
        <f t="shared" si="136"/>
        <v>1</v>
      </c>
      <c r="AH428" s="194"/>
      <c r="AI428" s="156"/>
    </row>
    <row r="429" spans="1:35" s="110" customFormat="1" ht="47.25" x14ac:dyDescent="0.25">
      <c r="A429" s="54"/>
      <c r="B429" s="85"/>
      <c r="C429" s="86"/>
      <c r="D429" s="86"/>
      <c r="E429" s="87"/>
      <c r="F429" s="87"/>
      <c r="G429" s="88"/>
      <c r="H429" s="88"/>
      <c r="I429" s="88"/>
      <c r="J429" s="88"/>
      <c r="K429" s="88"/>
      <c r="L429" s="80"/>
      <c r="M429" s="88"/>
      <c r="N429" s="80"/>
      <c r="O429" s="99"/>
      <c r="P429" s="88"/>
      <c r="Q429" s="90"/>
      <c r="R429" s="94"/>
      <c r="S429" s="94"/>
      <c r="T429" s="94"/>
      <c r="U429" s="94"/>
      <c r="V429" s="94"/>
      <c r="W429" s="94"/>
      <c r="X429" s="405" t="s">
        <v>392</v>
      </c>
      <c r="Y429" s="11" t="s">
        <v>65</v>
      </c>
      <c r="Z429" s="1" t="s">
        <v>17</v>
      </c>
      <c r="AA429" s="529" t="s">
        <v>31</v>
      </c>
      <c r="AB429" s="163" t="s">
        <v>567</v>
      </c>
      <c r="AC429" s="309"/>
      <c r="AD429" s="168">
        <f t="shared" ref="AD429:AF430" si="152">AD430</f>
        <v>30309.4</v>
      </c>
      <c r="AE429" s="168">
        <f t="shared" si="152"/>
        <v>30309.4</v>
      </c>
      <c r="AF429" s="168">
        <f t="shared" si="152"/>
        <v>30309.4</v>
      </c>
      <c r="AG429" s="575">
        <f t="shared" si="136"/>
        <v>1</v>
      </c>
      <c r="AH429" s="194"/>
      <c r="AI429" s="156"/>
    </row>
    <row r="430" spans="1:35" s="110" customFormat="1" ht="31.5" x14ac:dyDescent="0.25">
      <c r="A430" s="54"/>
      <c r="B430" s="85"/>
      <c r="C430" s="86"/>
      <c r="D430" s="86"/>
      <c r="E430" s="87"/>
      <c r="F430" s="87"/>
      <c r="G430" s="88"/>
      <c r="H430" s="88"/>
      <c r="I430" s="88"/>
      <c r="J430" s="88"/>
      <c r="K430" s="88"/>
      <c r="L430" s="80"/>
      <c r="M430" s="88"/>
      <c r="N430" s="80"/>
      <c r="O430" s="99"/>
      <c r="P430" s="88"/>
      <c r="Q430" s="90"/>
      <c r="R430" s="94"/>
      <c r="S430" s="94"/>
      <c r="T430" s="94"/>
      <c r="U430" s="94"/>
      <c r="V430" s="94"/>
      <c r="W430" s="94"/>
      <c r="X430" s="278" t="s">
        <v>62</v>
      </c>
      <c r="Y430" s="11" t="s">
        <v>65</v>
      </c>
      <c r="Z430" s="1" t="s">
        <v>17</v>
      </c>
      <c r="AA430" s="529" t="s">
        <v>31</v>
      </c>
      <c r="AB430" s="163" t="s">
        <v>567</v>
      </c>
      <c r="AC430" s="309">
        <v>600</v>
      </c>
      <c r="AD430" s="168">
        <f t="shared" si="152"/>
        <v>30309.4</v>
      </c>
      <c r="AE430" s="168">
        <f t="shared" si="152"/>
        <v>30309.4</v>
      </c>
      <c r="AF430" s="168">
        <f t="shared" si="152"/>
        <v>30309.4</v>
      </c>
      <c r="AG430" s="575">
        <f t="shared" si="136"/>
        <v>1</v>
      </c>
      <c r="AH430" s="194"/>
      <c r="AI430" s="156"/>
    </row>
    <row r="431" spans="1:35" s="110" customFormat="1" x14ac:dyDescent="0.25">
      <c r="A431" s="54"/>
      <c r="B431" s="85"/>
      <c r="C431" s="86"/>
      <c r="D431" s="86"/>
      <c r="E431" s="87"/>
      <c r="F431" s="87"/>
      <c r="G431" s="88"/>
      <c r="H431" s="88"/>
      <c r="I431" s="88"/>
      <c r="J431" s="88"/>
      <c r="K431" s="88"/>
      <c r="L431" s="80"/>
      <c r="M431" s="88"/>
      <c r="N431" s="80"/>
      <c r="O431" s="99"/>
      <c r="P431" s="88"/>
      <c r="Q431" s="90"/>
      <c r="R431" s="94"/>
      <c r="S431" s="94"/>
      <c r="T431" s="94"/>
      <c r="U431" s="94"/>
      <c r="V431" s="94"/>
      <c r="W431" s="94"/>
      <c r="X431" s="278" t="s">
        <v>63</v>
      </c>
      <c r="Y431" s="11" t="s">
        <v>65</v>
      </c>
      <c r="Z431" s="1" t="s">
        <v>17</v>
      </c>
      <c r="AA431" s="529" t="s">
        <v>31</v>
      </c>
      <c r="AB431" s="163" t="s">
        <v>567</v>
      </c>
      <c r="AC431" s="309">
        <v>610</v>
      </c>
      <c r="AD431" s="168">
        <f>32186-6157.6+4281</f>
        <v>30309.4</v>
      </c>
      <c r="AE431" s="168">
        <f>32186-6157.6+4281</f>
        <v>30309.4</v>
      </c>
      <c r="AF431" s="168">
        <v>30309.4</v>
      </c>
      <c r="AG431" s="575">
        <f t="shared" si="136"/>
        <v>1</v>
      </c>
      <c r="AH431" s="194"/>
      <c r="AI431" s="156"/>
    </row>
    <row r="432" spans="1:35" s="110" customFormat="1" ht="47.25" x14ac:dyDescent="0.25">
      <c r="A432" s="54"/>
      <c r="B432" s="85"/>
      <c r="C432" s="86"/>
      <c r="D432" s="86"/>
      <c r="E432" s="87"/>
      <c r="F432" s="87"/>
      <c r="G432" s="88"/>
      <c r="H432" s="88"/>
      <c r="I432" s="88"/>
      <c r="J432" s="88"/>
      <c r="K432" s="88"/>
      <c r="L432" s="80"/>
      <c r="M432" s="88"/>
      <c r="N432" s="80"/>
      <c r="O432" s="99"/>
      <c r="P432" s="88"/>
      <c r="Q432" s="90"/>
      <c r="R432" s="94"/>
      <c r="S432" s="94"/>
      <c r="T432" s="94"/>
      <c r="U432" s="94"/>
      <c r="V432" s="94"/>
      <c r="W432" s="94"/>
      <c r="X432" s="405" t="s">
        <v>393</v>
      </c>
      <c r="Y432" s="11" t="s">
        <v>65</v>
      </c>
      <c r="Z432" s="1" t="s">
        <v>17</v>
      </c>
      <c r="AA432" s="529" t="s">
        <v>31</v>
      </c>
      <c r="AB432" s="163" t="s">
        <v>568</v>
      </c>
      <c r="AC432" s="309"/>
      <c r="AD432" s="168">
        <f t="shared" ref="AD432:AF433" si="153">AD433</f>
        <v>30328.5</v>
      </c>
      <c r="AE432" s="168">
        <f t="shared" si="153"/>
        <v>30328.5</v>
      </c>
      <c r="AF432" s="168">
        <f t="shared" si="153"/>
        <v>30328.5</v>
      </c>
      <c r="AG432" s="575">
        <f t="shared" si="136"/>
        <v>1</v>
      </c>
      <c r="AH432" s="194"/>
      <c r="AI432" s="156"/>
    </row>
    <row r="433" spans="1:35" s="110" customFormat="1" ht="31.5" x14ac:dyDescent="0.25">
      <c r="A433" s="54"/>
      <c r="B433" s="85"/>
      <c r="C433" s="86"/>
      <c r="D433" s="86"/>
      <c r="E433" s="87"/>
      <c r="F433" s="87"/>
      <c r="G433" s="88"/>
      <c r="H433" s="88"/>
      <c r="I433" s="88"/>
      <c r="J433" s="88"/>
      <c r="K433" s="88"/>
      <c r="L433" s="80"/>
      <c r="M433" s="88"/>
      <c r="N433" s="80"/>
      <c r="O433" s="99"/>
      <c r="P433" s="88"/>
      <c r="Q433" s="90"/>
      <c r="R433" s="94"/>
      <c r="S433" s="94"/>
      <c r="T433" s="94"/>
      <c r="U433" s="94"/>
      <c r="V433" s="94"/>
      <c r="W433" s="94"/>
      <c r="X433" s="278" t="s">
        <v>62</v>
      </c>
      <c r="Y433" s="11" t="s">
        <v>65</v>
      </c>
      <c r="Z433" s="1" t="s">
        <v>17</v>
      </c>
      <c r="AA433" s="529" t="s">
        <v>31</v>
      </c>
      <c r="AB433" s="163" t="s">
        <v>568</v>
      </c>
      <c r="AC433" s="309">
        <v>600</v>
      </c>
      <c r="AD433" s="168">
        <f t="shared" si="153"/>
        <v>30328.5</v>
      </c>
      <c r="AE433" s="168">
        <f t="shared" si="153"/>
        <v>30328.5</v>
      </c>
      <c r="AF433" s="168">
        <f t="shared" si="153"/>
        <v>30328.5</v>
      </c>
      <c r="AG433" s="575">
        <f t="shared" si="136"/>
        <v>1</v>
      </c>
      <c r="AH433" s="194"/>
      <c r="AI433" s="156"/>
    </row>
    <row r="434" spans="1:35" s="110" customFormat="1" x14ac:dyDescent="0.25">
      <c r="A434" s="54"/>
      <c r="B434" s="85"/>
      <c r="C434" s="86"/>
      <c r="D434" s="86"/>
      <c r="E434" s="87"/>
      <c r="F434" s="87"/>
      <c r="G434" s="88"/>
      <c r="H434" s="88"/>
      <c r="I434" s="88"/>
      <c r="J434" s="88"/>
      <c r="K434" s="88"/>
      <c r="L434" s="80"/>
      <c r="M434" s="88"/>
      <c r="N434" s="80"/>
      <c r="O434" s="99"/>
      <c r="P434" s="88"/>
      <c r="Q434" s="90"/>
      <c r="R434" s="94"/>
      <c r="S434" s="94"/>
      <c r="T434" s="94"/>
      <c r="U434" s="94"/>
      <c r="V434" s="94"/>
      <c r="W434" s="94"/>
      <c r="X434" s="278" t="s">
        <v>63</v>
      </c>
      <c r="Y434" s="11" t="s">
        <v>65</v>
      </c>
      <c r="Z434" s="1" t="s">
        <v>17</v>
      </c>
      <c r="AA434" s="529" t="s">
        <v>31</v>
      </c>
      <c r="AB434" s="163" t="s">
        <v>568</v>
      </c>
      <c r="AC434" s="309">
        <v>610</v>
      </c>
      <c r="AD434" s="168">
        <f>28528+1800.5</f>
        <v>30328.5</v>
      </c>
      <c r="AE434" s="168">
        <f>28528+1800.5</f>
        <v>30328.5</v>
      </c>
      <c r="AF434" s="168">
        <v>30328.5</v>
      </c>
      <c r="AG434" s="575">
        <f t="shared" si="136"/>
        <v>1</v>
      </c>
      <c r="AH434" s="194"/>
      <c r="AI434" s="156"/>
    </row>
    <row r="435" spans="1:35" s="110" customFormat="1" ht="47.25" x14ac:dyDescent="0.25">
      <c r="A435" s="54"/>
      <c r="B435" s="85"/>
      <c r="C435" s="86"/>
      <c r="D435" s="86"/>
      <c r="E435" s="87"/>
      <c r="F435" s="87"/>
      <c r="G435" s="88"/>
      <c r="H435" s="88"/>
      <c r="I435" s="88"/>
      <c r="J435" s="88"/>
      <c r="K435" s="88"/>
      <c r="L435" s="80"/>
      <c r="M435" s="88"/>
      <c r="N435" s="80"/>
      <c r="O435" s="99"/>
      <c r="P435" s="88"/>
      <c r="Q435" s="90"/>
      <c r="R435" s="94"/>
      <c r="S435" s="94"/>
      <c r="T435" s="94"/>
      <c r="U435" s="94"/>
      <c r="V435" s="94"/>
      <c r="W435" s="94"/>
      <c r="X435" s="278" t="s">
        <v>752</v>
      </c>
      <c r="Y435" s="11" t="s">
        <v>65</v>
      </c>
      <c r="Z435" s="1" t="s">
        <v>17</v>
      </c>
      <c r="AA435" s="529" t="s">
        <v>31</v>
      </c>
      <c r="AB435" s="163" t="s">
        <v>754</v>
      </c>
      <c r="AC435" s="309"/>
      <c r="AD435" s="168">
        <f t="shared" ref="AD435:AE437" si="154">AD436</f>
        <v>1722.5</v>
      </c>
      <c r="AE435" s="168">
        <f t="shared" si="154"/>
        <v>1722.5</v>
      </c>
      <c r="AF435" s="168">
        <f t="shared" ref="AF435:AF437" si="155">AF436</f>
        <v>1722.5</v>
      </c>
      <c r="AG435" s="575">
        <f t="shared" si="136"/>
        <v>1</v>
      </c>
      <c r="AH435" s="194"/>
      <c r="AI435" s="156"/>
    </row>
    <row r="436" spans="1:35" s="110" customFormat="1" ht="37.15" customHeight="1" x14ac:dyDescent="0.25">
      <c r="A436" s="54"/>
      <c r="B436" s="85"/>
      <c r="C436" s="86"/>
      <c r="D436" s="86"/>
      <c r="E436" s="87"/>
      <c r="F436" s="87"/>
      <c r="G436" s="88"/>
      <c r="H436" s="88"/>
      <c r="I436" s="88"/>
      <c r="J436" s="88"/>
      <c r="K436" s="88"/>
      <c r="L436" s="80"/>
      <c r="M436" s="88"/>
      <c r="N436" s="80"/>
      <c r="O436" s="99"/>
      <c r="P436" s="88"/>
      <c r="Q436" s="90"/>
      <c r="R436" s="94"/>
      <c r="S436" s="94"/>
      <c r="T436" s="94"/>
      <c r="U436" s="94"/>
      <c r="V436" s="94"/>
      <c r="W436" s="94"/>
      <c r="X436" s="278" t="s">
        <v>753</v>
      </c>
      <c r="Y436" s="11" t="s">
        <v>65</v>
      </c>
      <c r="Z436" s="1" t="s">
        <v>17</v>
      </c>
      <c r="AA436" s="529" t="s">
        <v>31</v>
      </c>
      <c r="AB436" s="163" t="s">
        <v>755</v>
      </c>
      <c r="AC436" s="309"/>
      <c r="AD436" s="168">
        <f t="shared" si="154"/>
        <v>1722.5</v>
      </c>
      <c r="AE436" s="168">
        <f t="shared" si="154"/>
        <v>1722.5</v>
      </c>
      <c r="AF436" s="168">
        <f t="shared" si="155"/>
        <v>1722.5</v>
      </c>
      <c r="AG436" s="575">
        <f t="shared" si="136"/>
        <v>1</v>
      </c>
      <c r="AH436" s="194"/>
      <c r="AI436" s="156"/>
    </row>
    <row r="437" spans="1:35" s="110" customFormat="1" ht="31.5" x14ac:dyDescent="0.25">
      <c r="A437" s="54"/>
      <c r="B437" s="85"/>
      <c r="C437" s="86"/>
      <c r="D437" s="86"/>
      <c r="E437" s="87"/>
      <c r="F437" s="87"/>
      <c r="G437" s="88"/>
      <c r="H437" s="88"/>
      <c r="I437" s="88"/>
      <c r="J437" s="88"/>
      <c r="K437" s="88"/>
      <c r="L437" s="80"/>
      <c r="M437" s="88"/>
      <c r="N437" s="80"/>
      <c r="O437" s="99"/>
      <c r="P437" s="88"/>
      <c r="Q437" s="90"/>
      <c r="R437" s="94"/>
      <c r="S437" s="94"/>
      <c r="T437" s="94"/>
      <c r="U437" s="94"/>
      <c r="V437" s="94"/>
      <c r="W437" s="94"/>
      <c r="X437" s="278" t="s">
        <v>62</v>
      </c>
      <c r="Y437" s="11" t="s">
        <v>65</v>
      </c>
      <c r="Z437" s="1" t="s">
        <v>17</v>
      </c>
      <c r="AA437" s="529" t="s">
        <v>31</v>
      </c>
      <c r="AB437" s="163" t="s">
        <v>755</v>
      </c>
      <c r="AC437" s="309">
        <v>600</v>
      </c>
      <c r="AD437" s="168">
        <f t="shared" si="154"/>
        <v>1722.5</v>
      </c>
      <c r="AE437" s="168">
        <f t="shared" si="154"/>
        <v>1722.5</v>
      </c>
      <c r="AF437" s="168">
        <f t="shared" si="155"/>
        <v>1722.5</v>
      </c>
      <c r="AG437" s="575">
        <f t="shared" si="136"/>
        <v>1</v>
      </c>
      <c r="AH437" s="194"/>
      <c r="AI437" s="156"/>
    </row>
    <row r="438" spans="1:35" s="110" customFormat="1" x14ac:dyDescent="0.25">
      <c r="A438" s="54"/>
      <c r="B438" s="85"/>
      <c r="C438" s="86"/>
      <c r="D438" s="86"/>
      <c r="E438" s="87"/>
      <c r="F438" s="87"/>
      <c r="G438" s="88"/>
      <c r="H438" s="88"/>
      <c r="I438" s="88"/>
      <c r="J438" s="88"/>
      <c r="K438" s="88"/>
      <c r="L438" s="80"/>
      <c r="M438" s="88"/>
      <c r="N438" s="80"/>
      <c r="O438" s="99"/>
      <c r="P438" s="88"/>
      <c r="Q438" s="90"/>
      <c r="R438" s="94"/>
      <c r="S438" s="94"/>
      <c r="T438" s="94"/>
      <c r="U438" s="94"/>
      <c r="V438" s="94"/>
      <c r="W438" s="94"/>
      <c r="X438" s="278" t="s">
        <v>63</v>
      </c>
      <c r="Y438" s="11" t="s">
        <v>65</v>
      </c>
      <c r="Z438" s="1" t="s">
        <v>17</v>
      </c>
      <c r="AA438" s="529" t="s">
        <v>31</v>
      </c>
      <c r="AB438" s="163" t="s">
        <v>755</v>
      </c>
      <c r="AC438" s="309">
        <v>610</v>
      </c>
      <c r="AD438" s="168">
        <f>1740-17.5</f>
        <v>1722.5</v>
      </c>
      <c r="AE438" s="168">
        <f>1740-17.5</f>
        <v>1722.5</v>
      </c>
      <c r="AF438" s="168">
        <v>1722.5</v>
      </c>
      <c r="AG438" s="575">
        <f t="shared" si="136"/>
        <v>1</v>
      </c>
      <c r="AH438" s="194"/>
      <c r="AI438" s="156"/>
    </row>
    <row r="439" spans="1:35" s="110" customFormat="1" ht="31.5" x14ac:dyDescent="0.25">
      <c r="A439" s="54"/>
      <c r="B439" s="85"/>
      <c r="C439" s="86"/>
      <c r="D439" s="86"/>
      <c r="E439" s="87"/>
      <c r="F439" s="87"/>
      <c r="G439" s="88"/>
      <c r="H439" s="88"/>
      <c r="I439" s="88"/>
      <c r="J439" s="88"/>
      <c r="K439" s="88"/>
      <c r="L439" s="80"/>
      <c r="M439" s="88"/>
      <c r="N439" s="80"/>
      <c r="O439" s="99"/>
      <c r="P439" s="88"/>
      <c r="Q439" s="90"/>
      <c r="R439" s="94"/>
      <c r="S439" s="94"/>
      <c r="T439" s="94"/>
      <c r="U439" s="94"/>
      <c r="V439" s="94"/>
      <c r="W439" s="94"/>
      <c r="X439" s="278" t="s">
        <v>758</v>
      </c>
      <c r="Y439" s="11" t="s">
        <v>65</v>
      </c>
      <c r="Z439" s="1" t="s">
        <v>17</v>
      </c>
      <c r="AA439" s="529" t="s">
        <v>31</v>
      </c>
      <c r="AB439" s="163" t="s">
        <v>759</v>
      </c>
      <c r="AC439" s="309"/>
      <c r="AD439" s="168">
        <f t="shared" ref="AD439:AE441" si="156">AD440</f>
        <v>4269</v>
      </c>
      <c r="AE439" s="168">
        <f t="shared" si="156"/>
        <v>4269</v>
      </c>
      <c r="AF439" s="168">
        <f t="shared" ref="AF439" si="157">AF440</f>
        <v>4269</v>
      </c>
      <c r="AG439" s="575">
        <f t="shared" si="136"/>
        <v>1</v>
      </c>
      <c r="AH439" s="194"/>
      <c r="AI439" s="156"/>
    </row>
    <row r="440" spans="1:35" s="110" customFormat="1" ht="33.6" customHeight="1" x14ac:dyDescent="0.25">
      <c r="A440" s="54"/>
      <c r="B440" s="85"/>
      <c r="C440" s="86"/>
      <c r="D440" s="86"/>
      <c r="E440" s="87"/>
      <c r="F440" s="87"/>
      <c r="G440" s="88"/>
      <c r="H440" s="88"/>
      <c r="I440" s="88"/>
      <c r="J440" s="88"/>
      <c r="K440" s="88"/>
      <c r="L440" s="80"/>
      <c r="M440" s="88"/>
      <c r="N440" s="80"/>
      <c r="O440" s="99"/>
      <c r="P440" s="88"/>
      <c r="Q440" s="90"/>
      <c r="R440" s="94"/>
      <c r="S440" s="94"/>
      <c r="T440" s="94"/>
      <c r="U440" s="94"/>
      <c r="V440" s="94"/>
      <c r="W440" s="94"/>
      <c r="X440" s="278" t="s">
        <v>763</v>
      </c>
      <c r="Y440" s="11" t="s">
        <v>65</v>
      </c>
      <c r="Z440" s="1" t="s">
        <v>17</v>
      </c>
      <c r="AA440" s="529" t="s">
        <v>31</v>
      </c>
      <c r="AB440" s="163" t="s">
        <v>760</v>
      </c>
      <c r="AC440" s="309"/>
      <c r="AD440" s="168">
        <f t="shared" si="156"/>
        <v>4269</v>
      </c>
      <c r="AE440" s="168">
        <f t="shared" si="156"/>
        <v>4269</v>
      </c>
      <c r="AF440" s="168">
        <f t="shared" ref="AF440" si="158">AF441</f>
        <v>4269</v>
      </c>
      <c r="AG440" s="575">
        <f t="shared" ref="AG440:AG498" si="159">AF440/AE440</f>
        <v>1</v>
      </c>
      <c r="AH440" s="194"/>
      <c r="AI440" s="156"/>
    </row>
    <row r="441" spans="1:35" s="110" customFormat="1" ht="31.5" x14ac:dyDescent="0.25">
      <c r="A441" s="54"/>
      <c r="B441" s="85"/>
      <c r="C441" s="86"/>
      <c r="D441" s="86"/>
      <c r="E441" s="87"/>
      <c r="F441" s="87"/>
      <c r="G441" s="88"/>
      <c r="H441" s="88"/>
      <c r="I441" s="88"/>
      <c r="J441" s="88"/>
      <c r="K441" s="88"/>
      <c r="L441" s="80"/>
      <c r="M441" s="88"/>
      <c r="N441" s="80"/>
      <c r="O441" s="99"/>
      <c r="P441" s="88"/>
      <c r="Q441" s="90"/>
      <c r="R441" s="94"/>
      <c r="S441" s="94"/>
      <c r="T441" s="94"/>
      <c r="U441" s="94"/>
      <c r="V441" s="94"/>
      <c r="W441" s="94"/>
      <c r="X441" s="278" t="s">
        <v>62</v>
      </c>
      <c r="Y441" s="11" t="s">
        <v>65</v>
      </c>
      <c r="Z441" s="1" t="s">
        <v>17</v>
      </c>
      <c r="AA441" s="529" t="s">
        <v>31</v>
      </c>
      <c r="AB441" s="163" t="s">
        <v>760</v>
      </c>
      <c r="AC441" s="309">
        <v>600</v>
      </c>
      <c r="AD441" s="168">
        <f t="shared" si="156"/>
        <v>4269</v>
      </c>
      <c r="AE441" s="168">
        <f t="shared" si="156"/>
        <v>4269</v>
      </c>
      <c r="AF441" s="168">
        <f t="shared" ref="AF441" si="160">AF442</f>
        <v>4269</v>
      </c>
      <c r="AG441" s="575">
        <f t="shared" si="159"/>
        <v>1</v>
      </c>
      <c r="AH441" s="194"/>
      <c r="AI441" s="156"/>
    </row>
    <row r="442" spans="1:35" s="110" customFormat="1" x14ac:dyDescent="0.25">
      <c r="A442" s="54"/>
      <c r="B442" s="85"/>
      <c r="C442" s="86"/>
      <c r="D442" s="86"/>
      <c r="E442" s="87"/>
      <c r="F442" s="87"/>
      <c r="G442" s="88"/>
      <c r="H442" s="88"/>
      <c r="I442" s="88"/>
      <c r="J442" s="88"/>
      <c r="K442" s="88"/>
      <c r="L442" s="80"/>
      <c r="M442" s="88"/>
      <c r="N442" s="80"/>
      <c r="O442" s="99"/>
      <c r="P442" s="88"/>
      <c r="Q442" s="90"/>
      <c r="R442" s="94"/>
      <c r="S442" s="94"/>
      <c r="T442" s="94"/>
      <c r="U442" s="94"/>
      <c r="V442" s="94"/>
      <c r="W442" s="94"/>
      <c r="X442" s="278" t="s">
        <v>63</v>
      </c>
      <c r="Y442" s="11" t="s">
        <v>65</v>
      </c>
      <c r="Z442" s="1" t="s">
        <v>17</v>
      </c>
      <c r="AA442" s="529" t="s">
        <v>31</v>
      </c>
      <c r="AB442" s="163" t="s">
        <v>760</v>
      </c>
      <c r="AC442" s="309">
        <v>610</v>
      </c>
      <c r="AD442" s="168">
        <f>4943-2471+1797</f>
        <v>4269</v>
      </c>
      <c r="AE442" s="168">
        <f>4943-2471+1797</f>
        <v>4269</v>
      </c>
      <c r="AF442" s="168">
        <v>4269</v>
      </c>
      <c r="AG442" s="575">
        <f t="shared" si="159"/>
        <v>1</v>
      </c>
      <c r="AH442" s="194"/>
      <c r="AI442" s="156"/>
    </row>
    <row r="443" spans="1:35" s="110" customFormat="1" ht="31.5" x14ac:dyDescent="0.25">
      <c r="A443" s="54"/>
      <c r="B443" s="85"/>
      <c r="C443" s="86"/>
      <c r="D443" s="86"/>
      <c r="E443" s="87"/>
      <c r="F443" s="87"/>
      <c r="G443" s="88"/>
      <c r="H443" s="88"/>
      <c r="I443" s="88"/>
      <c r="J443" s="88"/>
      <c r="K443" s="88"/>
      <c r="L443" s="80"/>
      <c r="M443" s="88"/>
      <c r="N443" s="80"/>
      <c r="O443" s="99"/>
      <c r="P443" s="88"/>
      <c r="Q443" s="90"/>
      <c r="R443" s="94"/>
      <c r="S443" s="94"/>
      <c r="T443" s="94"/>
      <c r="U443" s="94"/>
      <c r="V443" s="94"/>
      <c r="W443" s="94"/>
      <c r="X443" s="284" t="s">
        <v>168</v>
      </c>
      <c r="Y443" s="11" t="s">
        <v>65</v>
      </c>
      <c r="Z443" s="1" t="s">
        <v>17</v>
      </c>
      <c r="AA443" s="529" t="s">
        <v>31</v>
      </c>
      <c r="AB443" s="33" t="s">
        <v>105</v>
      </c>
      <c r="AC443" s="309"/>
      <c r="AD443" s="168">
        <f>AD444+AD449</f>
        <v>234.3</v>
      </c>
      <c r="AE443" s="168">
        <f>AE444+AE449</f>
        <v>234.3</v>
      </c>
      <c r="AF443" s="168">
        <f>AF444+AF449</f>
        <v>221.9</v>
      </c>
      <c r="AG443" s="575">
        <f t="shared" si="159"/>
        <v>0.94707639778062314</v>
      </c>
      <c r="AH443" s="194"/>
      <c r="AI443" s="156"/>
    </row>
    <row r="444" spans="1:35" s="110" customFormat="1" x14ac:dyDescent="0.25">
      <c r="A444" s="54"/>
      <c r="B444" s="85"/>
      <c r="C444" s="86"/>
      <c r="D444" s="86"/>
      <c r="E444" s="87"/>
      <c r="F444" s="87"/>
      <c r="G444" s="88"/>
      <c r="H444" s="88"/>
      <c r="I444" s="88"/>
      <c r="J444" s="88"/>
      <c r="K444" s="88"/>
      <c r="L444" s="80"/>
      <c r="M444" s="88"/>
      <c r="N444" s="80"/>
      <c r="O444" s="99"/>
      <c r="P444" s="88"/>
      <c r="Q444" s="90"/>
      <c r="R444" s="94"/>
      <c r="S444" s="94"/>
      <c r="T444" s="94"/>
      <c r="U444" s="94"/>
      <c r="V444" s="94"/>
      <c r="W444" s="94"/>
      <c r="X444" s="284" t="s">
        <v>169</v>
      </c>
      <c r="Y444" s="11" t="s">
        <v>65</v>
      </c>
      <c r="Z444" s="1" t="s">
        <v>17</v>
      </c>
      <c r="AA444" s="529" t="s">
        <v>31</v>
      </c>
      <c r="AB444" s="33" t="s">
        <v>109</v>
      </c>
      <c r="AC444" s="309"/>
      <c r="AD444" s="168">
        <f t="shared" ref="AD444:AE447" si="161">AD445</f>
        <v>198</v>
      </c>
      <c r="AE444" s="168">
        <f t="shared" si="161"/>
        <v>198</v>
      </c>
      <c r="AF444" s="168">
        <f t="shared" ref="AF444:AF447" si="162">AF445</f>
        <v>196</v>
      </c>
      <c r="AG444" s="575">
        <f t="shared" si="159"/>
        <v>0.98989898989898994</v>
      </c>
      <c r="AH444" s="194"/>
      <c r="AI444" s="156"/>
    </row>
    <row r="445" spans="1:35" s="110" customFormat="1" ht="50.45" customHeight="1" x14ac:dyDescent="0.25">
      <c r="A445" s="54"/>
      <c r="B445" s="85"/>
      <c r="C445" s="86"/>
      <c r="D445" s="86"/>
      <c r="E445" s="87"/>
      <c r="F445" s="87"/>
      <c r="G445" s="88"/>
      <c r="H445" s="88"/>
      <c r="I445" s="88"/>
      <c r="J445" s="88"/>
      <c r="K445" s="88"/>
      <c r="L445" s="80"/>
      <c r="M445" s="88"/>
      <c r="N445" s="80"/>
      <c r="O445" s="99"/>
      <c r="P445" s="88"/>
      <c r="Q445" s="90"/>
      <c r="R445" s="94"/>
      <c r="S445" s="94"/>
      <c r="T445" s="94"/>
      <c r="U445" s="94"/>
      <c r="V445" s="94"/>
      <c r="W445" s="94"/>
      <c r="X445" s="278" t="s">
        <v>781</v>
      </c>
      <c r="Y445" s="11" t="s">
        <v>65</v>
      </c>
      <c r="Z445" s="1" t="s">
        <v>17</v>
      </c>
      <c r="AA445" s="529" t="s">
        <v>31</v>
      </c>
      <c r="AB445" s="33" t="s">
        <v>782</v>
      </c>
      <c r="AC445" s="309"/>
      <c r="AD445" s="168">
        <f t="shared" si="161"/>
        <v>198</v>
      </c>
      <c r="AE445" s="168">
        <f t="shared" si="161"/>
        <v>198</v>
      </c>
      <c r="AF445" s="168">
        <f t="shared" si="162"/>
        <v>196</v>
      </c>
      <c r="AG445" s="575">
        <f t="shared" si="159"/>
        <v>0.98989898989898994</v>
      </c>
      <c r="AH445" s="194"/>
      <c r="AI445" s="156"/>
    </row>
    <row r="446" spans="1:35" s="110" customFormat="1" ht="78.75" x14ac:dyDescent="0.25">
      <c r="A446" s="54"/>
      <c r="B446" s="85"/>
      <c r="C446" s="86"/>
      <c r="D446" s="86"/>
      <c r="E446" s="87"/>
      <c r="F446" s="87"/>
      <c r="G446" s="88"/>
      <c r="H446" s="88"/>
      <c r="I446" s="88"/>
      <c r="J446" s="88"/>
      <c r="K446" s="88"/>
      <c r="L446" s="80"/>
      <c r="M446" s="88"/>
      <c r="N446" s="80"/>
      <c r="O446" s="99"/>
      <c r="P446" s="88"/>
      <c r="Q446" s="90"/>
      <c r="R446" s="94"/>
      <c r="S446" s="94"/>
      <c r="T446" s="94"/>
      <c r="U446" s="94"/>
      <c r="V446" s="94"/>
      <c r="W446" s="94"/>
      <c r="X446" s="278" t="s">
        <v>783</v>
      </c>
      <c r="Y446" s="11" t="s">
        <v>65</v>
      </c>
      <c r="Z446" s="1" t="s">
        <v>17</v>
      </c>
      <c r="AA446" s="529" t="s">
        <v>31</v>
      </c>
      <c r="AB446" s="33" t="s">
        <v>784</v>
      </c>
      <c r="AC446" s="309"/>
      <c r="AD446" s="168">
        <f t="shared" si="161"/>
        <v>198</v>
      </c>
      <c r="AE446" s="168">
        <f t="shared" si="161"/>
        <v>198</v>
      </c>
      <c r="AF446" s="168">
        <f t="shared" si="162"/>
        <v>196</v>
      </c>
      <c r="AG446" s="575">
        <f t="shared" si="159"/>
        <v>0.98989898989898994</v>
      </c>
      <c r="AH446" s="194"/>
      <c r="AI446" s="156"/>
    </row>
    <row r="447" spans="1:35" s="110" customFormat="1" ht="31.5" x14ac:dyDescent="0.25">
      <c r="A447" s="54"/>
      <c r="B447" s="85"/>
      <c r="C447" s="86"/>
      <c r="D447" s="86"/>
      <c r="E447" s="87"/>
      <c r="F447" s="87"/>
      <c r="G447" s="88"/>
      <c r="H447" s="88"/>
      <c r="I447" s="88"/>
      <c r="J447" s="88"/>
      <c r="K447" s="88"/>
      <c r="L447" s="80"/>
      <c r="M447" s="88"/>
      <c r="N447" s="80"/>
      <c r="O447" s="99"/>
      <c r="P447" s="88"/>
      <c r="Q447" s="90"/>
      <c r="R447" s="94"/>
      <c r="S447" s="94"/>
      <c r="T447" s="94"/>
      <c r="U447" s="94"/>
      <c r="V447" s="94"/>
      <c r="W447" s="94"/>
      <c r="X447" s="278" t="s">
        <v>62</v>
      </c>
      <c r="Y447" s="11" t="s">
        <v>65</v>
      </c>
      <c r="Z447" s="1" t="s">
        <v>17</v>
      </c>
      <c r="AA447" s="529" t="s">
        <v>31</v>
      </c>
      <c r="AB447" s="33" t="s">
        <v>784</v>
      </c>
      <c r="AC447" s="309">
        <v>600</v>
      </c>
      <c r="AD447" s="168">
        <f t="shared" si="161"/>
        <v>198</v>
      </c>
      <c r="AE447" s="168">
        <f t="shared" si="161"/>
        <v>198</v>
      </c>
      <c r="AF447" s="168">
        <f t="shared" si="162"/>
        <v>196</v>
      </c>
      <c r="AG447" s="575">
        <f t="shared" si="159"/>
        <v>0.98989898989898994</v>
      </c>
      <c r="AH447" s="194"/>
      <c r="AI447" s="156"/>
    </row>
    <row r="448" spans="1:35" s="110" customFormat="1" x14ac:dyDescent="0.25">
      <c r="A448" s="54"/>
      <c r="B448" s="85"/>
      <c r="C448" s="86"/>
      <c r="D448" s="86"/>
      <c r="E448" s="87"/>
      <c r="F448" s="87"/>
      <c r="G448" s="88"/>
      <c r="H448" s="88"/>
      <c r="I448" s="88"/>
      <c r="J448" s="88"/>
      <c r="K448" s="88"/>
      <c r="L448" s="80"/>
      <c r="M448" s="88"/>
      <c r="N448" s="80"/>
      <c r="O448" s="99"/>
      <c r="P448" s="88"/>
      <c r="Q448" s="90"/>
      <c r="R448" s="94"/>
      <c r="S448" s="94"/>
      <c r="T448" s="94"/>
      <c r="U448" s="94"/>
      <c r="V448" s="94"/>
      <c r="W448" s="94"/>
      <c r="X448" s="278" t="s">
        <v>63</v>
      </c>
      <c r="Y448" s="11" t="s">
        <v>65</v>
      </c>
      <c r="Z448" s="1" t="s">
        <v>17</v>
      </c>
      <c r="AA448" s="529" t="s">
        <v>31</v>
      </c>
      <c r="AB448" s="33" t="s">
        <v>784</v>
      </c>
      <c r="AC448" s="309">
        <v>610</v>
      </c>
      <c r="AD448" s="168">
        <v>198</v>
      </c>
      <c r="AE448" s="168">
        <v>198</v>
      </c>
      <c r="AF448" s="168">
        <v>196</v>
      </c>
      <c r="AG448" s="575">
        <f t="shared" si="159"/>
        <v>0.98989898989898994</v>
      </c>
      <c r="AH448" s="194"/>
      <c r="AI448" s="156"/>
    </row>
    <row r="449" spans="1:35" s="110" customFormat="1" ht="31.5" x14ac:dyDescent="0.25">
      <c r="A449" s="54"/>
      <c r="B449" s="85"/>
      <c r="C449" s="86"/>
      <c r="D449" s="86"/>
      <c r="E449" s="87"/>
      <c r="F449" s="87"/>
      <c r="G449" s="88"/>
      <c r="H449" s="88"/>
      <c r="I449" s="88"/>
      <c r="J449" s="88"/>
      <c r="K449" s="88"/>
      <c r="L449" s="80"/>
      <c r="M449" s="88"/>
      <c r="N449" s="80"/>
      <c r="O449" s="99"/>
      <c r="P449" s="88"/>
      <c r="Q449" s="90"/>
      <c r="R449" s="94"/>
      <c r="S449" s="94"/>
      <c r="T449" s="94"/>
      <c r="U449" s="94"/>
      <c r="V449" s="94"/>
      <c r="W449" s="94"/>
      <c r="X449" s="284" t="s">
        <v>385</v>
      </c>
      <c r="Y449" s="11" t="s">
        <v>65</v>
      </c>
      <c r="Z449" s="1" t="s">
        <v>17</v>
      </c>
      <c r="AA449" s="529" t="s">
        <v>31</v>
      </c>
      <c r="AB449" s="163" t="s">
        <v>107</v>
      </c>
      <c r="AC449" s="309"/>
      <c r="AD449" s="168">
        <f t="shared" ref="AD449:AE452" si="163">AD450</f>
        <v>36.299999999999997</v>
      </c>
      <c r="AE449" s="168">
        <f t="shared" si="163"/>
        <v>36.299999999999997</v>
      </c>
      <c r="AF449" s="168">
        <f t="shared" ref="AF449:AF452" si="164">AF450</f>
        <v>25.9</v>
      </c>
      <c r="AG449" s="575">
        <f t="shared" si="159"/>
        <v>0.71349862258953167</v>
      </c>
      <c r="AH449" s="194"/>
      <c r="AI449" s="156"/>
    </row>
    <row r="450" spans="1:35" s="110" customFormat="1" ht="31.5" x14ac:dyDescent="0.25">
      <c r="A450" s="54"/>
      <c r="B450" s="85"/>
      <c r="C450" s="86"/>
      <c r="D450" s="86"/>
      <c r="E450" s="87"/>
      <c r="F450" s="87"/>
      <c r="G450" s="88"/>
      <c r="H450" s="88"/>
      <c r="I450" s="88"/>
      <c r="J450" s="88"/>
      <c r="K450" s="88"/>
      <c r="L450" s="80"/>
      <c r="M450" s="88"/>
      <c r="N450" s="80"/>
      <c r="O450" s="99"/>
      <c r="P450" s="88"/>
      <c r="Q450" s="90"/>
      <c r="R450" s="94"/>
      <c r="S450" s="94"/>
      <c r="T450" s="94"/>
      <c r="U450" s="94"/>
      <c r="V450" s="94"/>
      <c r="W450" s="94"/>
      <c r="X450" s="282" t="s">
        <v>656</v>
      </c>
      <c r="Y450" s="11" t="s">
        <v>65</v>
      </c>
      <c r="Z450" s="1" t="s">
        <v>17</v>
      </c>
      <c r="AA450" s="529" t="s">
        <v>31</v>
      </c>
      <c r="AB450" s="163" t="s">
        <v>127</v>
      </c>
      <c r="AC450" s="317"/>
      <c r="AD450" s="168">
        <f t="shared" si="163"/>
        <v>36.299999999999997</v>
      </c>
      <c r="AE450" s="168">
        <f t="shared" si="163"/>
        <v>36.299999999999997</v>
      </c>
      <c r="AF450" s="168">
        <f t="shared" si="164"/>
        <v>25.9</v>
      </c>
      <c r="AG450" s="575">
        <f t="shared" si="159"/>
        <v>0.71349862258953167</v>
      </c>
      <c r="AH450" s="194"/>
      <c r="AI450" s="156"/>
    </row>
    <row r="451" spans="1:35" s="110" customFormat="1" x14ac:dyDescent="0.25">
      <c r="A451" s="54"/>
      <c r="B451" s="85"/>
      <c r="C451" s="86"/>
      <c r="D451" s="86"/>
      <c r="E451" s="87"/>
      <c r="F451" s="87"/>
      <c r="G451" s="88"/>
      <c r="H451" s="88"/>
      <c r="I451" s="88"/>
      <c r="J451" s="88"/>
      <c r="K451" s="88"/>
      <c r="L451" s="80"/>
      <c r="M451" s="88"/>
      <c r="N451" s="80"/>
      <c r="O451" s="99"/>
      <c r="P451" s="88"/>
      <c r="Q451" s="90"/>
      <c r="R451" s="94"/>
      <c r="S451" s="94"/>
      <c r="T451" s="94"/>
      <c r="U451" s="94"/>
      <c r="V451" s="94"/>
      <c r="W451" s="94"/>
      <c r="X451" s="278" t="s">
        <v>178</v>
      </c>
      <c r="Y451" s="11" t="s">
        <v>65</v>
      </c>
      <c r="Z451" s="1" t="s">
        <v>17</v>
      </c>
      <c r="AA451" s="529" t="s">
        <v>31</v>
      </c>
      <c r="AB451" s="163" t="s">
        <v>179</v>
      </c>
      <c r="AC451" s="309"/>
      <c r="AD451" s="168">
        <f t="shared" si="163"/>
        <v>36.299999999999997</v>
      </c>
      <c r="AE451" s="168">
        <f t="shared" si="163"/>
        <v>36.299999999999997</v>
      </c>
      <c r="AF451" s="168">
        <f t="shared" si="164"/>
        <v>25.9</v>
      </c>
      <c r="AG451" s="575">
        <f t="shared" si="159"/>
        <v>0.71349862258953167</v>
      </c>
      <c r="AH451" s="194"/>
      <c r="AI451" s="156"/>
    </row>
    <row r="452" spans="1:35" s="110" customFormat="1" ht="31.5" x14ac:dyDescent="0.25">
      <c r="A452" s="54"/>
      <c r="B452" s="85"/>
      <c r="C452" s="86"/>
      <c r="D452" s="86"/>
      <c r="E452" s="87"/>
      <c r="F452" s="87"/>
      <c r="G452" s="88"/>
      <c r="H452" s="88"/>
      <c r="I452" s="88"/>
      <c r="J452" s="88"/>
      <c r="K452" s="88"/>
      <c r="L452" s="80"/>
      <c r="M452" s="88"/>
      <c r="N452" s="80"/>
      <c r="O452" s="99"/>
      <c r="P452" s="88"/>
      <c r="Q452" s="90"/>
      <c r="R452" s="94"/>
      <c r="S452" s="94"/>
      <c r="T452" s="94"/>
      <c r="U452" s="94"/>
      <c r="V452" s="94"/>
      <c r="W452" s="94"/>
      <c r="X452" s="278" t="s">
        <v>62</v>
      </c>
      <c r="Y452" s="11" t="s">
        <v>65</v>
      </c>
      <c r="Z452" s="1" t="s">
        <v>17</v>
      </c>
      <c r="AA452" s="529" t="s">
        <v>31</v>
      </c>
      <c r="AB452" s="163" t="s">
        <v>179</v>
      </c>
      <c r="AC452" s="309">
        <v>600</v>
      </c>
      <c r="AD452" s="168">
        <f t="shared" si="163"/>
        <v>36.299999999999997</v>
      </c>
      <c r="AE452" s="168">
        <f t="shared" si="163"/>
        <v>36.299999999999997</v>
      </c>
      <c r="AF452" s="168">
        <f t="shared" si="164"/>
        <v>25.9</v>
      </c>
      <c r="AG452" s="575">
        <f t="shared" si="159"/>
        <v>0.71349862258953167</v>
      </c>
      <c r="AH452" s="194"/>
      <c r="AI452" s="156"/>
    </row>
    <row r="453" spans="1:35" s="110" customFormat="1" x14ac:dyDescent="0.25">
      <c r="A453" s="54"/>
      <c r="B453" s="85"/>
      <c r="C453" s="86"/>
      <c r="D453" s="86"/>
      <c r="E453" s="87"/>
      <c r="F453" s="87"/>
      <c r="G453" s="88"/>
      <c r="H453" s="88"/>
      <c r="I453" s="88"/>
      <c r="J453" s="88"/>
      <c r="K453" s="88"/>
      <c r="L453" s="80"/>
      <c r="M453" s="88"/>
      <c r="N453" s="80"/>
      <c r="O453" s="99"/>
      <c r="P453" s="88"/>
      <c r="Q453" s="90"/>
      <c r="R453" s="94"/>
      <c r="S453" s="94"/>
      <c r="T453" s="94"/>
      <c r="U453" s="94"/>
      <c r="V453" s="94"/>
      <c r="W453" s="94"/>
      <c r="X453" s="278" t="s">
        <v>63</v>
      </c>
      <c r="Y453" s="11" t="s">
        <v>65</v>
      </c>
      <c r="Z453" s="1" t="s">
        <v>17</v>
      </c>
      <c r="AA453" s="529" t="s">
        <v>31</v>
      </c>
      <c r="AB453" s="163" t="s">
        <v>179</v>
      </c>
      <c r="AC453" s="309">
        <v>610</v>
      </c>
      <c r="AD453" s="168">
        <v>36.299999999999997</v>
      </c>
      <c r="AE453" s="168">
        <v>36.299999999999997</v>
      </c>
      <c r="AF453" s="168">
        <v>25.9</v>
      </c>
      <c r="AG453" s="575">
        <f t="shared" si="159"/>
        <v>0.71349862258953167</v>
      </c>
      <c r="AH453" s="194"/>
      <c r="AI453" s="156"/>
    </row>
    <row r="454" spans="1:35" s="110" customFormat="1" x14ac:dyDescent="0.25">
      <c r="A454" s="54"/>
      <c r="B454" s="85"/>
      <c r="C454" s="86"/>
      <c r="D454" s="86"/>
      <c r="E454" s="87"/>
      <c r="F454" s="87"/>
      <c r="G454" s="88"/>
      <c r="H454" s="88"/>
      <c r="I454" s="88"/>
      <c r="J454" s="88"/>
      <c r="K454" s="88"/>
      <c r="L454" s="80"/>
      <c r="M454" s="88"/>
      <c r="N454" s="80"/>
      <c r="O454" s="99"/>
      <c r="P454" s="88"/>
      <c r="Q454" s="90"/>
      <c r="R454" s="94"/>
      <c r="S454" s="94"/>
      <c r="T454" s="94"/>
      <c r="U454" s="94"/>
      <c r="V454" s="94"/>
      <c r="W454" s="94"/>
      <c r="X454" s="284" t="s">
        <v>255</v>
      </c>
      <c r="Y454" s="11" t="s">
        <v>65</v>
      </c>
      <c r="Z454" s="1" t="s">
        <v>17</v>
      </c>
      <c r="AA454" s="529" t="s">
        <v>31</v>
      </c>
      <c r="AB454" s="163" t="s">
        <v>256</v>
      </c>
      <c r="AC454" s="317"/>
      <c r="AD454" s="168">
        <f>AD455</f>
        <v>10482.4</v>
      </c>
      <c r="AE454" s="168">
        <f>AE455</f>
        <v>10482.4</v>
      </c>
      <c r="AF454" s="168">
        <f t="shared" ref="AF454" si="165">AF455</f>
        <v>10482.4</v>
      </c>
      <c r="AG454" s="575">
        <f t="shared" si="159"/>
        <v>1</v>
      </c>
      <c r="AH454" s="194"/>
      <c r="AI454" s="156"/>
    </row>
    <row r="455" spans="1:35" s="110" customFormat="1" ht="31.5" x14ac:dyDescent="0.25">
      <c r="A455" s="54"/>
      <c r="B455" s="85"/>
      <c r="C455" s="86"/>
      <c r="D455" s="86"/>
      <c r="E455" s="87"/>
      <c r="F455" s="87"/>
      <c r="G455" s="88"/>
      <c r="H455" s="88"/>
      <c r="I455" s="88"/>
      <c r="J455" s="88"/>
      <c r="K455" s="88"/>
      <c r="L455" s="80"/>
      <c r="M455" s="88"/>
      <c r="N455" s="80"/>
      <c r="O455" s="99"/>
      <c r="P455" s="88"/>
      <c r="Q455" s="90"/>
      <c r="R455" s="94"/>
      <c r="S455" s="94"/>
      <c r="T455" s="94"/>
      <c r="U455" s="94"/>
      <c r="V455" s="94"/>
      <c r="W455" s="94"/>
      <c r="X455" s="299" t="s">
        <v>626</v>
      </c>
      <c r="Y455" s="11" t="s">
        <v>65</v>
      </c>
      <c r="Z455" s="1" t="s">
        <v>17</v>
      </c>
      <c r="AA455" s="529" t="s">
        <v>31</v>
      </c>
      <c r="AB455" s="163" t="s">
        <v>257</v>
      </c>
      <c r="AC455" s="317"/>
      <c r="AD455" s="168">
        <f t="shared" ref="AD455:AF456" si="166">AD456</f>
        <v>10482.4</v>
      </c>
      <c r="AE455" s="168">
        <f t="shared" si="166"/>
        <v>10482.4</v>
      </c>
      <c r="AF455" s="168">
        <f t="shared" si="166"/>
        <v>10482.4</v>
      </c>
      <c r="AG455" s="575">
        <f t="shared" si="159"/>
        <v>1</v>
      </c>
      <c r="AH455" s="194"/>
      <c r="AI455" s="156"/>
    </row>
    <row r="456" spans="1:35" s="110" customFormat="1" ht="31.5" x14ac:dyDescent="0.25">
      <c r="A456" s="54"/>
      <c r="B456" s="85"/>
      <c r="C456" s="86"/>
      <c r="D456" s="86"/>
      <c r="E456" s="87"/>
      <c r="F456" s="87"/>
      <c r="G456" s="88"/>
      <c r="H456" s="88"/>
      <c r="I456" s="88"/>
      <c r="J456" s="88"/>
      <c r="K456" s="88"/>
      <c r="L456" s="80"/>
      <c r="M456" s="88"/>
      <c r="N456" s="80"/>
      <c r="O456" s="99"/>
      <c r="P456" s="88"/>
      <c r="Q456" s="90"/>
      <c r="R456" s="94"/>
      <c r="S456" s="94"/>
      <c r="T456" s="94"/>
      <c r="U456" s="94"/>
      <c r="V456" s="94"/>
      <c r="W456" s="94"/>
      <c r="X456" s="282" t="s">
        <v>627</v>
      </c>
      <c r="Y456" s="11" t="s">
        <v>65</v>
      </c>
      <c r="Z456" s="1" t="s">
        <v>17</v>
      </c>
      <c r="AA456" s="529" t="s">
        <v>31</v>
      </c>
      <c r="AB456" s="163" t="s">
        <v>258</v>
      </c>
      <c r="AC456" s="309"/>
      <c r="AD456" s="168">
        <f>AD457</f>
        <v>10482.4</v>
      </c>
      <c r="AE456" s="168">
        <f>AE457</f>
        <v>10482.4</v>
      </c>
      <c r="AF456" s="168">
        <f t="shared" si="166"/>
        <v>10482.4</v>
      </c>
      <c r="AG456" s="575">
        <f t="shared" si="159"/>
        <v>1</v>
      </c>
      <c r="AH456" s="194"/>
      <c r="AI456" s="156"/>
    </row>
    <row r="457" spans="1:35" s="110" customFormat="1" x14ac:dyDescent="0.25">
      <c r="A457" s="54"/>
      <c r="B457" s="85"/>
      <c r="C457" s="86"/>
      <c r="D457" s="86"/>
      <c r="E457" s="87"/>
      <c r="F457" s="87"/>
      <c r="G457" s="88"/>
      <c r="H457" s="88"/>
      <c r="I457" s="88"/>
      <c r="J457" s="88"/>
      <c r="K457" s="88"/>
      <c r="L457" s="80"/>
      <c r="M457" s="88"/>
      <c r="N457" s="80"/>
      <c r="O457" s="99"/>
      <c r="P457" s="88"/>
      <c r="Q457" s="90"/>
      <c r="R457" s="94"/>
      <c r="S457" s="94"/>
      <c r="T457" s="94"/>
      <c r="U457" s="94"/>
      <c r="V457" s="94"/>
      <c r="W457" s="94"/>
      <c r="X457" s="282" t="s">
        <v>671</v>
      </c>
      <c r="Y457" s="11" t="s">
        <v>65</v>
      </c>
      <c r="Z457" s="1" t="s">
        <v>17</v>
      </c>
      <c r="AA457" s="529" t="s">
        <v>31</v>
      </c>
      <c r="AB457" s="163" t="s">
        <v>259</v>
      </c>
      <c r="AC457" s="309"/>
      <c r="AD457" s="168">
        <f>AD458+AD461</f>
        <v>10482.4</v>
      </c>
      <c r="AE457" s="168">
        <f>AE458+AE461</f>
        <v>10482.4</v>
      </c>
      <c r="AF457" s="168">
        <f t="shared" ref="AF457" si="167">AF458+AF461</f>
        <v>10482.4</v>
      </c>
      <c r="AG457" s="575">
        <f t="shared" si="159"/>
        <v>1</v>
      </c>
      <c r="AH457" s="194"/>
      <c r="AI457" s="156"/>
    </row>
    <row r="458" spans="1:35" s="110" customFormat="1" ht="31.5" x14ac:dyDescent="0.25">
      <c r="A458" s="54"/>
      <c r="B458" s="85"/>
      <c r="C458" s="86"/>
      <c r="D458" s="86"/>
      <c r="E458" s="87"/>
      <c r="F458" s="87"/>
      <c r="G458" s="88"/>
      <c r="H458" s="88"/>
      <c r="I458" s="88"/>
      <c r="J458" s="88"/>
      <c r="K458" s="88"/>
      <c r="L458" s="80"/>
      <c r="M458" s="88"/>
      <c r="N458" s="80"/>
      <c r="O458" s="99"/>
      <c r="P458" s="88"/>
      <c r="Q458" s="90"/>
      <c r="R458" s="94"/>
      <c r="S458" s="94"/>
      <c r="T458" s="94"/>
      <c r="U458" s="94"/>
      <c r="V458" s="94"/>
      <c r="W458" s="94"/>
      <c r="X458" s="282" t="s">
        <v>701</v>
      </c>
      <c r="Y458" s="11" t="s">
        <v>65</v>
      </c>
      <c r="Z458" s="1" t="s">
        <v>17</v>
      </c>
      <c r="AA458" s="529" t="s">
        <v>31</v>
      </c>
      <c r="AB458" s="163" t="s">
        <v>700</v>
      </c>
      <c r="AC458" s="309"/>
      <c r="AD458" s="168">
        <f>AD459</f>
        <v>824.8</v>
      </c>
      <c r="AE458" s="168">
        <f>AE459</f>
        <v>824.8</v>
      </c>
      <c r="AF458" s="168">
        <f t="shared" ref="AF458" si="168">AF459</f>
        <v>824.8</v>
      </c>
      <c r="AG458" s="575">
        <f t="shared" si="159"/>
        <v>1</v>
      </c>
      <c r="AH458" s="194"/>
      <c r="AI458" s="156"/>
    </row>
    <row r="459" spans="1:35" s="110" customFormat="1" ht="31.5" x14ac:dyDescent="0.25">
      <c r="A459" s="54"/>
      <c r="B459" s="85"/>
      <c r="C459" s="86"/>
      <c r="D459" s="86"/>
      <c r="E459" s="87"/>
      <c r="F459" s="87"/>
      <c r="G459" s="88"/>
      <c r="H459" s="88"/>
      <c r="I459" s="88"/>
      <c r="J459" s="88"/>
      <c r="K459" s="88"/>
      <c r="L459" s="80"/>
      <c r="M459" s="88"/>
      <c r="N459" s="80"/>
      <c r="O459" s="99"/>
      <c r="P459" s="88"/>
      <c r="Q459" s="90"/>
      <c r="R459" s="94"/>
      <c r="S459" s="94"/>
      <c r="T459" s="94"/>
      <c r="U459" s="94"/>
      <c r="V459" s="94"/>
      <c r="W459" s="94"/>
      <c r="X459" s="278" t="s">
        <v>62</v>
      </c>
      <c r="Y459" s="11" t="s">
        <v>65</v>
      </c>
      <c r="Z459" s="1" t="s">
        <v>17</v>
      </c>
      <c r="AA459" s="529" t="s">
        <v>31</v>
      </c>
      <c r="AB459" s="163" t="s">
        <v>700</v>
      </c>
      <c r="AC459" s="309">
        <v>600</v>
      </c>
      <c r="AD459" s="168">
        <f>AD460</f>
        <v>824.8</v>
      </c>
      <c r="AE459" s="168">
        <f>AE460</f>
        <v>824.8</v>
      </c>
      <c r="AF459" s="168">
        <f t="shared" ref="AF459" si="169">AF460</f>
        <v>824.8</v>
      </c>
      <c r="AG459" s="575">
        <f t="shared" si="159"/>
        <v>1</v>
      </c>
      <c r="AH459" s="194"/>
      <c r="AI459" s="156"/>
    </row>
    <row r="460" spans="1:35" s="110" customFormat="1" x14ac:dyDescent="0.25">
      <c r="A460" s="54"/>
      <c r="B460" s="85"/>
      <c r="C460" s="86"/>
      <c r="D460" s="86"/>
      <c r="E460" s="87"/>
      <c r="F460" s="87"/>
      <c r="G460" s="88"/>
      <c r="H460" s="88"/>
      <c r="I460" s="88"/>
      <c r="J460" s="88"/>
      <c r="K460" s="88"/>
      <c r="L460" s="80"/>
      <c r="M460" s="88"/>
      <c r="N460" s="80"/>
      <c r="O460" s="99"/>
      <c r="P460" s="88"/>
      <c r="Q460" s="90"/>
      <c r="R460" s="94"/>
      <c r="S460" s="94"/>
      <c r="T460" s="94"/>
      <c r="U460" s="94"/>
      <c r="V460" s="94"/>
      <c r="W460" s="94"/>
      <c r="X460" s="278" t="s">
        <v>63</v>
      </c>
      <c r="Y460" s="11" t="s">
        <v>65</v>
      </c>
      <c r="Z460" s="1" t="s">
        <v>17</v>
      </c>
      <c r="AA460" s="529" t="s">
        <v>31</v>
      </c>
      <c r="AB460" s="163" t="s">
        <v>700</v>
      </c>
      <c r="AC460" s="309">
        <v>610</v>
      </c>
      <c r="AD460" s="168">
        <v>824.8</v>
      </c>
      <c r="AE460" s="168">
        <v>824.8</v>
      </c>
      <c r="AF460" s="168">
        <v>824.8</v>
      </c>
      <c r="AG460" s="575">
        <f t="shared" si="159"/>
        <v>1</v>
      </c>
      <c r="AH460" s="194"/>
      <c r="AI460" s="156"/>
    </row>
    <row r="461" spans="1:35" s="110" customFormat="1" x14ac:dyDescent="0.25">
      <c r="A461" s="54"/>
      <c r="B461" s="85"/>
      <c r="C461" s="86"/>
      <c r="D461" s="86"/>
      <c r="E461" s="87"/>
      <c r="F461" s="87"/>
      <c r="G461" s="88"/>
      <c r="H461" s="88"/>
      <c r="I461" s="88"/>
      <c r="J461" s="88"/>
      <c r="K461" s="88"/>
      <c r="L461" s="80"/>
      <c r="M461" s="88"/>
      <c r="N461" s="80"/>
      <c r="O461" s="99"/>
      <c r="P461" s="88"/>
      <c r="Q461" s="90"/>
      <c r="R461" s="94"/>
      <c r="S461" s="94"/>
      <c r="T461" s="94"/>
      <c r="U461" s="94"/>
      <c r="V461" s="94"/>
      <c r="W461" s="94"/>
      <c r="X461" s="282" t="s">
        <v>702</v>
      </c>
      <c r="Y461" s="11" t="s">
        <v>65</v>
      </c>
      <c r="Z461" s="1" t="s">
        <v>17</v>
      </c>
      <c r="AA461" s="529" t="s">
        <v>31</v>
      </c>
      <c r="AB461" s="163" t="s">
        <v>703</v>
      </c>
      <c r="AC461" s="309"/>
      <c r="AD461" s="168">
        <f>AD462</f>
        <v>9657.6</v>
      </c>
      <c r="AE461" s="168">
        <f>AE462</f>
        <v>9657.6</v>
      </c>
      <c r="AF461" s="168">
        <f t="shared" ref="AF461" si="170">AF462</f>
        <v>9657.6</v>
      </c>
      <c r="AG461" s="575">
        <f t="shared" si="159"/>
        <v>1</v>
      </c>
      <c r="AH461" s="194"/>
      <c r="AI461" s="156"/>
    </row>
    <row r="462" spans="1:35" s="110" customFormat="1" ht="31.5" x14ac:dyDescent="0.25">
      <c r="A462" s="54"/>
      <c r="B462" s="85"/>
      <c r="C462" s="86"/>
      <c r="D462" s="86"/>
      <c r="E462" s="87"/>
      <c r="F462" s="87"/>
      <c r="G462" s="88"/>
      <c r="H462" s="88"/>
      <c r="I462" s="88"/>
      <c r="J462" s="88"/>
      <c r="K462" s="88"/>
      <c r="L462" s="80"/>
      <c r="M462" s="88"/>
      <c r="N462" s="80"/>
      <c r="O462" s="99"/>
      <c r="P462" s="88"/>
      <c r="Q462" s="90"/>
      <c r="R462" s="94"/>
      <c r="S462" s="94"/>
      <c r="T462" s="94"/>
      <c r="U462" s="94"/>
      <c r="V462" s="94"/>
      <c r="W462" s="94"/>
      <c r="X462" s="278" t="s">
        <v>62</v>
      </c>
      <c r="Y462" s="11" t="s">
        <v>65</v>
      </c>
      <c r="Z462" s="1" t="s">
        <v>17</v>
      </c>
      <c r="AA462" s="529" t="s">
        <v>31</v>
      </c>
      <c r="AB462" s="163" t="s">
        <v>703</v>
      </c>
      <c r="AC462" s="309">
        <v>600</v>
      </c>
      <c r="AD462" s="168">
        <f>AD463</f>
        <v>9657.6</v>
      </c>
      <c r="AE462" s="168">
        <f>AE463</f>
        <v>9657.6</v>
      </c>
      <c r="AF462" s="168">
        <f t="shared" ref="AF462" si="171">AF463</f>
        <v>9657.6</v>
      </c>
      <c r="AG462" s="575">
        <f t="shared" si="159"/>
        <v>1</v>
      </c>
      <c r="AH462" s="194"/>
      <c r="AI462" s="156"/>
    </row>
    <row r="463" spans="1:35" s="110" customFormat="1" x14ac:dyDescent="0.25">
      <c r="A463" s="54"/>
      <c r="B463" s="85"/>
      <c r="C463" s="86"/>
      <c r="D463" s="86"/>
      <c r="E463" s="87"/>
      <c r="F463" s="87"/>
      <c r="G463" s="88"/>
      <c r="H463" s="88"/>
      <c r="I463" s="88"/>
      <c r="J463" s="88"/>
      <c r="K463" s="88"/>
      <c r="L463" s="80"/>
      <c r="M463" s="88"/>
      <c r="N463" s="80"/>
      <c r="O463" s="99"/>
      <c r="P463" s="88"/>
      <c r="Q463" s="90"/>
      <c r="R463" s="94"/>
      <c r="S463" s="94"/>
      <c r="T463" s="94"/>
      <c r="U463" s="94"/>
      <c r="V463" s="94"/>
      <c r="W463" s="94"/>
      <c r="X463" s="278" t="s">
        <v>63</v>
      </c>
      <c r="Y463" s="11" t="s">
        <v>65</v>
      </c>
      <c r="Z463" s="1" t="s">
        <v>17</v>
      </c>
      <c r="AA463" s="529" t="s">
        <v>31</v>
      </c>
      <c r="AB463" s="163" t="s">
        <v>703</v>
      </c>
      <c r="AC463" s="309">
        <v>610</v>
      </c>
      <c r="AD463" s="168">
        <f>6157.6+3500</f>
        <v>9657.6</v>
      </c>
      <c r="AE463" s="168">
        <f>6157.6+3500</f>
        <v>9657.6</v>
      </c>
      <c r="AF463" s="168">
        <v>9657.6</v>
      </c>
      <c r="AG463" s="575">
        <f t="shared" si="159"/>
        <v>1</v>
      </c>
      <c r="AH463" s="194"/>
      <c r="AI463" s="156"/>
    </row>
    <row r="464" spans="1:35" s="84" customFormat="1" x14ac:dyDescent="0.25">
      <c r="A464" s="75"/>
      <c r="B464" s="76"/>
      <c r="C464" s="78"/>
      <c r="D464" s="79"/>
      <c r="E464" s="79"/>
      <c r="F464" s="79"/>
      <c r="G464" s="80"/>
      <c r="H464" s="80"/>
      <c r="I464" s="80"/>
      <c r="J464" s="80"/>
      <c r="K464" s="80"/>
      <c r="L464" s="80"/>
      <c r="M464" s="80"/>
      <c r="N464" s="80"/>
      <c r="O464" s="81"/>
      <c r="P464" s="80"/>
      <c r="Q464" s="82"/>
      <c r="R464" s="102"/>
      <c r="S464" s="102"/>
      <c r="T464" s="102"/>
      <c r="U464" s="102"/>
      <c r="V464" s="102"/>
      <c r="W464" s="102"/>
      <c r="X464" s="279" t="s">
        <v>97</v>
      </c>
      <c r="Y464" s="199" t="s">
        <v>65</v>
      </c>
      <c r="Z464" s="12" t="s">
        <v>38</v>
      </c>
      <c r="AA464" s="561"/>
      <c r="AB464" s="305"/>
      <c r="AC464" s="310"/>
      <c r="AD464" s="170">
        <f>AD465+AD472</f>
        <v>3603.6</v>
      </c>
      <c r="AE464" s="170">
        <f>AE465+AE472</f>
        <v>3603.6</v>
      </c>
      <c r="AF464" s="170">
        <f>AF465+AF472</f>
        <v>3509.8</v>
      </c>
      <c r="AG464" s="574">
        <f t="shared" si="159"/>
        <v>0.97397047397047409</v>
      </c>
      <c r="AH464" s="222"/>
      <c r="AI464" s="156"/>
    </row>
    <row r="465" spans="1:35" s="110" customFormat="1" x14ac:dyDescent="0.25">
      <c r="A465" s="54"/>
      <c r="B465" s="85"/>
      <c r="C465" s="86"/>
      <c r="D465" s="86"/>
      <c r="E465" s="87"/>
      <c r="F465" s="86"/>
      <c r="G465" s="88"/>
      <c r="H465" s="88"/>
      <c r="I465" s="88"/>
      <c r="J465" s="88"/>
      <c r="K465" s="88"/>
      <c r="L465" s="80"/>
      <c r="M465" s="88"/>
      <c r="N465" s="80"/>
      <c r="O465" s="89"/>
      <c r="P465" s="88"/>
      <c r="Q465" s="90"/>
      <c r="R465" s="94"/>
      <c r="S465" s="94"/>
      <c r="T465" s="94"/>
      <c r="U465" s="94"/>
      <c r="V465" s="94"/>
      <c r="W465" s="94"/>
      <c r="X465" s="278" t="s">
        <v>58</v>
      </c>
      <c r="Y465" s="11" t="s">
        <v>65</v>
      </c>
      <c r="Z465" s="1">
        <v>10</v>
      </c>
      <c r="AA465" s="529" t="s">
        <v>31</v>
      </c>
      <c r="AB465" s="33"/>
      <c r="AC465" s="314"/>
      <c r="AD465" s="168">
        <f>AD466</f>
        <v>3463.6</v>
      </c>
      <c r="AE465" s="168">
        <f>AE466</f>
        <v>3463.6</v>
      </c>
      <c r="AF465" s="168">
        <f>AF466</f>
        <v>3369.8</v>
      </c>
      <c r="AG465" s="575">
        <f t="shared" si="159"/>
        <v>0.97291835084882794</v>
      </c>
      <c r="AH465" s="194"/>
      <c r="AI465" s="156"/>
    </row>
    <row r="466" spans="1:35" s="110" customFormat="1" x14ac:dyDescent="0.25">
      <c r="A466" s="96"/>
      <c r="B466" s="85"/>
      <c r="C466" s="86"/>
      <c r="D466" s="86"/>
      <c r="E466" s="87"/>
      <c r="F466" s="86"/>
      <c r="G466" s="88"/>
      <c r="H466" s="88"/>
      <c r="I466" s="88"/>
      <c r="J466" s="88"/>
      <c r="K466" s="88"/>
      <c r="L466" s="80"/>
      <c r="M466" s="88"/>
      <c r="N466" s="80"/>
      <c r="O466" s="89"/>
      <c r="P466" s="88"/>
      <c r="Q466" s="90"/>
      <c r="R466" s="94"/>
      <c r="S466" s="94"/>
      <c r="T466" s="94"/>
      <c r="U466" s="94"/>
      <c r="V466" s="94"/>
      <c r="W466" s="94"/>
      <c r="X466" s="284" t="s">
        <v>309</v>
      </c>
      <c r="Y466" s="11" t="s">
        <v>65</v>
      </c>
      <c r="Z466" s="1">
        <v>10</v>
      </c>
      <c r="AA466" s="529" t="s">
        <v>31</v>
      </c>
      <c r="AB466" s="163" t="s">
        <v>112</v>
      </c>
      <c r="AC466" s="314"/>
      <c r="AD466" s="168">
        <f>AD468</f>
        <v>3463.6</v>
      </c>
      <c r="AE466" s="168">
        <f>AE468</f>
        <v>3463.6</v>
      </c>
      <c r="AF466" s="168">
        <f>AF468</f>
        <v>3369.8</v>
      </c>
      <c r="AG466" s="575">
        <f t="shared" si="159"/>
        <v>0.97291835084882794</v>
      </c>
      <c r="AH466" s="194"/>
      <c r="AI466" s="156"/>
    </row>
    <row r="467" spans="1:35" s="110" customFormat="1" x14ac:dyDescent="0.25">
      <c r="A467" s="96"/>
      <c r="B467" s="85"/>
      <c r="C467" s="86"/>
      <c r="D467" s="86"/>
      <c r="E467" s="87"/>
      <c r="F467" s="86"/>
      <c r="G467" s="88"/>
      <c r="H467" s="88"/>
      <c r="I467" s="88"/>
      <c r="J467" s="88"/>
      <c r="K467" s="88"/>
      <c r="L467" s="80"/>
      <c r="M467" s="88"/>
      <c r="N467" s="80"/>
      <c r="O467" s="89"/>
      <c r="P467" s="88"/>
      <c r="Q467" s="90"/>
      <c r="R467" s="94"/>
      <c r="S467" s="94"/>
      <c r="T467" s="94"/>
      <c r="U467" s="94"/>
      <c r="V467" s="94"/>
      <c r="W467" s="94"/>
      <c r="X467" s="284" t="s">
        <v>310</v>
      </c>
      <c r="Y467" s="11" t="s">
        <v>65</v>
      </c>
      <c r="Z467" s="1">
        <v>10</v>
      </c>
      <c r="AA467" s="529" t="s">
        <v>31</v>
      </c>
      <c r="AB467" s="163" t="s">
        <v>121</v>
      </c>
      <c r="AC467" s="314"/>
      <c r="AD467" s="168">
        <f>AD468</f>
        <v>3463.6</v>
      </c>
      <c r="AE467" s="168">
        <f>AE468</f>
        <v>3463.6</v>
      </c>
      <c r="AF467" s="168">
        <f>AF468</f>
        <v>3369.8</v>
      </c>
      <c r="AG467" s="575">
        <f t="shared" si="159"/>
        <v>0.97291835084882794</v>
      </c>
      <c r="AH467" s="194"/>
      <c r="AI467" s="156"/>
    </row>
    <row r="468" spans="1:35" s="110" customFormat="1" ht="33.6" customHeight="1" x14ac:dyDescent="0.25">
      <c r="A468" s="96"/>
      <c r="B468" s="85"/>
      <c r="C468" s="86"/>
      <c r="D468" s="86"/>
      <c r="E468" s="87"/>
      <c r="F468" s="86"/>
      <c r="G468" s="88"/>
      <c r="H468" s="88"/>
      <c r="I468" s="88"/>
      <c r="J468" s="88"/>
      <c r="K468" s="88"/>
      <c r="L468" s="80"/>
      <c r="M468" s="88"/>
      <c r="N468" s="80"/>
      <c r="O468" s="89"/>
      <c r="P468" s="88"/>
      <c r="Q468" s="90"/>
      <c r="R468" s="94"/>
      <c r="S468" s="94"/>
      <c r="T468" s="94"/>
      <c r="U468" s="94"/>
      <c r="V468" s="94"/>
      <c r="W468" s="94"/>
      <c r="X468" s="284" t="s">
        <v>527</v>
      </c>
      <c r="Y468" s="11" t="s">
        <v>65</v>
      </c>
      <c r="Z468" s="1">
        <v>10</v>
      </c>
      <c r="AA468" s="529" t="s">
        <v>31</v>
      </c>
      <c r="AB468" s="163" t="s">
        <v>526</v>
      </c>
      <c r="AC468" s="314"/>
      <c r="AD468" s="168">
        <f t="shared" ref="AD468:AF470" si="172">AD469</f>
        <v>3463.6</v>
      </c>
      <c r="AE468" s="168">
        <f t="shared" si="172"/>
        <v>3463.6</v>
      </c>
      <c r="AF468" s="168">
        <f t="shared" si="172"/>
        <v>3369.8</v>
      </c>
      <c r="AG468" s="575">
        <f t="shared" si="159"/>
        <v>0.97291835084882794</v>
      </c>
      <c r="AH468" s="194"/>
      <c r="AI468" s="156"/>
    </row>
    <row r="469" spans="1:35" s="110" customFormat="1" ht="31.5" x14ac:dyDescent="0.25">
      <c r="A469" s="96"/>
      <c r="B469" s="85"/>
      <c r="C469" s="86"/>
      <c r="D469" s="86"/>
      <c r="E469" s="87"/>
      <c r="F469" s="86"/>
      <c r="G469" s="88"/>
      <c r="H469" s="88"/>
      <c r="I469" s="88"/>
      <c r="J469" s="88"/>
      <c r="K469" s="88"/>
      <c r="L469" s="80"/>
      <c r="M469" s="88"/>
      <c r="N469" s="80"/>
      <c r="O469" s="89"/>
      <c r="P469" s="88"/>
      <c r="Q469" s="90"/>
      <c r="R469" s="94"/>
      <c r="S469" s="94"/>
      <c r="T469" s="94"/>
      <c r="U469" s="94"/>
      <c r="V469" s="94"/>
      <c r="W469" s="94"/>
      <c r="X469" s="282" t="s">
        <v>312</v>
      </c>
      <c r="Y469" s="11" t="s">
        <v>65</v>
      </c>
      <c r="Z469" s="1">
        <v>10</v>
      </c>
      <c r="AA469" s="529" t="s">
        <v>31</v>
      </c>
      <c r="AB469" s="163" t="s">
        <v>525</v>
      </c>
      <c r="AC469" s="314"/>
      <c r="AD469" s="168">
        <f t="shared" si="172"/>
        <v>3463.6</v>
      </c>
      <c r="AE469" s="168">
        <f t="shared" si="172"/>
        <v>3463.6</v>
      </c>
      <c r="AF469" s="168">
        <f t="shared" si="172"/>
        <v>3369.8</v>
      </c>
      <c r="AG469" s="575">
        <f t="shared" si="159"/>
        <v>0.97291835084882794</v>
      </c>
      <c r="AH469" s="194"/>
      <c r="AI469" s="156"/>
    </row>
    <row r="470" spans="1:35" s="110" customFormat="1" x14ac:dyDescent="0.25">
      <c r="A470" s="97"/>
      <c r="B470" s="85"/>
      <c r="C470" s="86"/>
      <c r="D470" s="86"/>
      <c r="E470" s="87"/>
      <c r="F470" s="86"/>
      <c r="G470" s="88"/>
      <c r="H470" s="112"/>
      <c r="I470" s="56"/>
      <c r="J470" s="56"/>
      <c r="K470" s="56"/>
      <c r="L470" s="80"/>
      <c r="M470" s="56"/>
      <c r="N470" s="80"/>
      <c r="O470" s="89"/>
      <c r="P470" s="88"/>
      <c r="Q470" s="90"/>
      <c r="R470" s="94"/>
      <c r="S470" s="94"/>
      <c r="T470" s="94"/>
      <c r="U470" s="94"/>
      <c r="V470" s="94"/>
      <c r="W470" s="112"/>
      <c r="X470" s="278" t="s">
        <v>100</v>
      </c>
      <c r="Y470" s="11" t="s">
        <v>65</v>
      </c>
      <c r="Z470" s="1">
        <v>10</v>
      </c>
      <c r="AA470" s="529" t="s">
        <v>31</v>
      </c>
      <c r="AB470" s="163" t="s">
        <v>525</v>
      </c>
      <c r="AC470" s="309">
        <v>300</v>
      </c>
      <c r="AD470" s="168">
        <f t="shared" si="172"/>
        <v>3463.6</v>
      </c>
      <c r="AE470" s="168">
        <f t="shared" si="172"/>
        <v>3463.6</v>
      </c>
      <c r="AF470" s="168">
        <f t="shared" si="172"/>
        <v>3369.8</v>
      </c>
      <c r="AG470" s="575">
        <f t="shared" si="159"/>
        <v>0.97291835084882794</v>
      </c>
      <c r="AH470" s="194"/>
      <c r="AI470" s="156"/>
    </row>
    <row r="471" spans="1:35" x14ac:dyDescent="0.25">
      <c r="A471" s="54"/>
      <c r="B471" s="85"/>
      <c r="C471" s="86"/>
      <c r="D471" s="86"/>
      <c r="E471" s="87"/>
      <c r="F471" s="87"/>
      <c r="G471" s="88"/>
      <c r="H471" s="88"/>
      <c r="I471" s="88"/>
      <c r="J471" s="88"/>
      <c r="K471" s="88"/>
      <c r="L471" s="80"/>
      <c r="M471" s="88"/>
      <c r="N471" s="80"/>
      <c r="O471" s="88"/>
      <c r="P471" s="88"/>
      <c r="Q471" s="90"/>
      <c r="R471" s="94"/>
      <c r="S471" s="94"/>
      <c r="T471" s="94"/>
      <c r="U471" s="94"/>
      <c r="V471" s="94"/>
      <c r="W471" s="94"/>
      <c r="X471" s="278" t="s">
        <v>42</v>
      </c>
      <c r="Y471" s="11" t="s">
        <v>65</v>
      </c>
      <c r="Z471" s="1">
        <v>10</v>
      </c>
      <c r="AA471" s="529" t="s">
        <v>31</v>
      </c>
      <c r="AB471" s="163" t="s">
        <v>525</v>
      </c>
      <c r="AC471" s="309">
        <v>320</v>
      </c>
      <c r="AD471" s="168">
        <v>3463.6</v>
      </c>
      <c r="AE471" s="168">
        <v>3463.6</v>
      </c>
      <c r="AF471" s="168">
        <v>3369.8</v>
      </c>
      <c r="AG471" s="575">
        <f t="shared" si="159"/>
        <v>0.97291835084882794</v>
      </c>
      <c r="AH471" s="194"/>
      <c r="AI471" s="156"/>
    </row>
    <row r="472" spans="1:35" x14ac:dyDescent="0.25">
      <c r="A472" s="95"/>
      <c r="B472" s="85"/>
      <c r="C472" s="86"/>
      <c r="D472" s="86"/>
      <c r="E472" s="87"/>
      <c r="F472" s="87"/>
      <c r="G472" s="88"/>
      <c r="H472" s="88"/>
      <c r="I472" s="88"/>
      <c r="J472" s="88"/>
      <c r="K472" s="88"/>
      <c r="L472" s="80"/>
      <c r="M472" s="88"/>
      <c r="N472" s="80"/>
      <c r="O472" s="99"/>
      <c r="P472" s="88"/>
      <c r="Q472" s="90"/>
      <c r="R472" s="133"/>
      <c r="S472" s="90"/>
      <c r="T472" s="90"/>
      <c r="U472" s="90"/>
      <c r="V472" s="90"/>
      <c r="W472" s="90"/>
      <c r="X472" s="278" t="s">
        <v>35</v>
      </c>
      <c r="Y472" s="11" t="s">
        <v>65</v>
      </c>
      <c r="Z472" s="1">
        <v>10</v>
      </c>
      <c r="AA472" s="529" t="s">
        <v>98</v>
      </c>
      <c r="AB472" s="33"/>
      <c r="AC472" s="311"/>
      <c r="AD472" s="168">
        <f t="shared" ref="AD472:AF473" si="173">AD473</f>
        <v>140</v>
      </c>
      <c r="AE472" s="168">
        <f t="shared" si="173"/>
        <v>140</v>
      </c>
      <c r="AF472" s="168">
        <f t="shared" si="173"/>
        <v>140</v>
      </c>
      <c r="AG472" s="575">
        <f t="shared" si="159"/>
        <v>1</v>
      </c>
      <c r="AH472" s="194"/>
      <c r="AI472" s="156"/>
    </row>
    <row r="473" spans="1:35" x14ac:dyDescent="0.25">
      <c r="A473" s="54"/>
      <c r="B473" s="85"/>
      <c r="C473" s="86"/>
      <c r="D473" s="86"/>
      <c r="E473" s="87"/>
      <c r="F473" s="87"/>
      <c r="G473" s="88"/>
      <c r="H473" s="88"/>
      <c r="I473" s="88"/>
      <c r="J473" s="88"/>
      <c r="K473" s="88"/>
      <c r="L473" s="88"/>
      <c r="M473" s="88"/>
      <c r="N473" s="88"/>
      <c r="O473" s="99"/>
      <c r="P473" s="88"/>
      <c r="Q473" s="90"/>
      <c r="R473" s="133"/>
      <c r="S473" s="90"/>
      <c r="T473" s="90"/>
      <c r="U473" s="90"/>
      <c r="V473" s="90"/>
      <c r="W473" s="90"/>
      <c r="X473" s="284" t="s">
        <v>309</v>
      </c>
      <c r="Y473" s="11" t="s">
        <v>65</v>
      </c>
      <c r="Z473" s="1">
        <v>10</v>
      </c>
      <c r="AA473" s="529" t="s">
        <v>98</v>
      </c>
      <c r="AB473" s="163" t="s">
        <v>112</v>
      </c>
      <c r="AC473" s="311"/>
      <c r="AD473" s="168">
        <f>AD474</f>
        <v>140</v>
      </c>
      <c r="AE473" s="168">
        <f>AE474</f>
        <v>140</v>
      </c>
      <c r="AF473" s="168">
        <f t="shared" si="173"/>
        <v>140</v>
      </c>
      <c r="AG473" s="575">
        <f t="shared" si="159"/>
        <v>1</v>
      </c>
      <c r="AH473" s="194"/>
      <c r="AI473" s="156"/>
    </row>
    <row r="474" spans="1:35" ht="31.5" x14ac:dyDescent="0.25">
      <c r="A474" s="54"/>
      <c r="B474" s="85"/>
      <c r="C474" s="86"/>
      <c r="D474" s="86"/>
      <c r="E474" s="87"/>
      <c r="F474" s="87"/>
      <c r="G474" s="88"/>
      <c r="H474" s="88"/>
      <c r="I474" s="88"/>
      <c r="J474" s="88"/>
      <c r="K474" s="88"/>
      <c r="L474" s="88"/>
      <c r="M474" s="88"/>
      <c r="N474" s="88"/>
      <c r="O474" s="99"/>
      <c r="P474" s="88"/>
      <c r="Q474" s="90"/>
      <c r="R474" s="133"/>
      <c r="S474" s="90"/>
      <c r="T474" s="90"/>
      <c r="U474" s="90"/>
      <c r="V474" s="90"/>
      <c r="W474" s="90"/>
      <c r="X474" s="284" t="s">
        <v>369</v>
      </c>
      <c r="Y474" s="11" t="s">
        <v>65</v>
      </c>
      <c r="Z474" s="1">
        <v>10</v>
      </c>
      <c r="AA474" s="529" t="s">
        <v>98</v>
      </c>
      <c r="AB474" s="163" t="s">
        <v>600</v>
      </c>
      <c r="AC474" s="311"/>
      <c r="AD474" s="168">
        <f>AD475</f>
        <v>140</v>
      </c>
      <c r="AE474" s="168">
        <f>AE475</f>
        <v>140</v>
      </c>
      <c r="AF474" s="168">
        <f>AF475</f>
        <v>140</v>
      </c>
      <c r="AG474" s="575">
        <f t="shared" si="159"/>
        <v>1</v>
      </c>
      <c r="AH474" s="194"/>
      <c r="AI474" s="156"/>
    </row>
    <row r="475" spans="1:35" x14ac:dyDescent="0.25">
      <c r="A475" s="54"/>
      <c r="B475" s="85"/>
      <c r="C475" s="86"/>
      <c r="D475" s="86"/>
      <c r="E475" s="87"/>
      <c r="F475" s="87"/>
      <c r="G475" s="88"/>
      <c r="H475" s="88"/>
      <c r="I475" s="88"/>
      <c r="J475" s="88"/>
      <c r="K475" s="88"/>
      <c r="L475" s="88"/>
      <c r="M475" s="88"/>
      <c r="N475" s="88"/>
      <c r="O475" s="99"/>
      <c r="P475" s="88"/>
      <c r="Q475" s="90"/>
      <c r="R475" s="133"/>
      <c r="S475" s="90"/>
      <c r="T475" s="90"/>
      <c r="U475" s="90"/>
      <c r="V475" s="90"/>
      <c r="W475" s="90"/>
      <c r="X475" s="300" t="s">
        <v>602</v>
      </c>
      <c r="Y475" s="11" t="s">
        <v>65</v>
      </c>
      <c r="Z475" s="1">
        <v>10</v>
      </c>
      <c r="AA475" s="529" t="s">
        <v>98</v>
      </c>
      <c r="AB475" s="163" t="s">
        <v>601</v>
      </c>
      <c r="AC475" s="311"/>
      <c r="AD475" s="168">
        <f>AD479+AD476</f>
        <v>140</v>
      </c>
      <c r="AE475" s="168">
        <f>AE479+AE476</f>
        <v>140</v>
      </c>
      <c r="AF475" s="168">
        <f t="shared" ref="AF475" si="174">AF479+AF476</f>
        <v>140</v>
      </c>
      <c r="AG475" s="575">
        <f t="shared" si="159"/>
        <v>1</v>
      </c>
      <c r="AH475" s="194"/>
      <c r="AI475" s="156"/>
    </row>
    <row r="476" spans="1:35" x14ac:dyDescent="0.25">
      <c r="A476" s="54"/>
      <c r="B476" s="85"/>
      <c r="C476" s="86"/>
      <c r="D476" s="86"/>
      <c r="E476" s="87"/>
      <c r="F476" s="87"/>
      <c r="G476" s="88"/>
      <c r="H476" s="88"/>
      <c r="I476" s="88"/>
      <c r="J476" s="88"/>
      <c r="K476" s="88"/>
      <c r="L476" s="88"/>
      <c r="M476" s="88"/>
      <c r="N476" s="88"/>
      <c r="O476" s="99"/>
      <c r="P476" s="88"/>
      <c r="Q476" s="90"/>
      <c r="R476" s="133"/>
      <c r="S476" s="90"/>
      <c r="T476" s="90"/>
      <c r="U476" s="90"/>
      <c r="V476" s="90"/>
      <c r="W476" s="90"/>
      <c r="X476" s="478" t="s">
        <v>719</v>
      </c>
      <c r="Y476" s="11" t="s">
        <v>65</v>
      </c>
      <c r="Z476" s="1">
        <v>10</v>
      </c>
      <c r="AA476" s="529" t="s">
        <v>98</v>
      </c>
      <c r="AB476" s="163" t="s">
        <v>720</v>
      </c>
      <c r="AC476" s="332"/>
      <c r="AD476" s="174">
        <f t="shared" ref="AD476:AF477" si="175">AD477</f>
        <v>70</v>
      </c>
      <c r="AE476" s="174">
        <f t="shared" si="175"/>
        <v>70</v>
      </c>
      <c r="AF476" s="174">
        <f t="shared" si="175"/>
        <v>70</v>
      </c>
      <c r="AG476" s="575">
        <f t="shared" si="159"/>
        <v>1</v>
      </c>
      <c r="AH476" s="194"/>
      <c r="AI476" s="156"/>
    </row>
    <row r="477" spans="1:35" ht="31.5" x14ac:dyDescent="0.25">
      <c r="A477" s="54"/>
      <c r="B477" s="85"/>
      <c r="C477" s="86"/>
      <c r="D477" s="86"/>
      <c r="E477" s="87"/>
      <c r="F477" s="87"/>
      <c r="G477" s="88"/>
      <c r="H477" s="88"/>
      <c r="I477" s="88"/>
      <c r="J477" s="88"/>
      <c r="K477" s="88"/>
      <c r="L477" s="88"/>
      <c r="M477" s="88"/>
      <c r="N477" s="88"/>
      <c r="O477" s="99"/>
      <c r="P477" s="88"/>
      <c r="Q477" s="90"/>
      <c r="R477" s="133"/>
      <c r="S477" s="90"/>
      <c r="T477" s="90"/>
      <c r="U477" s="90"/>
      <c r="V477" s="90"/>
      <c r="W477" s="90"/>
      <c r="X477" s="480" t="s">
        <v>62</v>
      </c>
      <c r="Y477" s="11" t="s">
        <v>65</v>
      </c>
      <c r="Z477" s="1">
        <v>10</v>
      </c>
      <c r="AA477" s="529" t="s">
        <v>98</v>
      </c>
      <c r="AB477" s="163" t="s">
        <v>720</v>
      </c>
      <c r="AC477" s="332">
        <v>600</v>
      </c>
      <c r="AD477" s="174">
        <f t="shared" si="175"/>
        <v>70</v>
      </c>
      <c r="AE477" s="174">
        <f t="shared" si="175"/>
        <v>70</v>
      </c>
      <c r="AF477" s="174">
        <f t="shared" si="175"/>
        <v>70</v>
      </c>
      <c r="AG477" s="575">
        <f t="shared" si="159"/>
        <v>1</v>
      </c>
      <c r="AH477" s="194"/>
      <c r="AI477" s="156"/>
    </row>
    <row r="478" spans="1:35" ht="47.25" x14ac:dyDescent="0.25">
      <c r="A478" s="54"/>
      <c r="B478" s="85"/>
      <c r="C478" s="86"/>
      <c r="D478" s="86"/>
      <c r="E478" s="87"/>
      <c r="F478" s="87"/>
      <c r="G478" s="88"/>
      <c r="H478" s="88"/>
      <c r="I478" s="88"/>
      <c r="J478" s="88"/>
      <c r="K478" s="88"/>
      <c r="L478" s="88"/>
      <c r="M478" s="88"/>
      <c r="N478" s="88"/>
      <c r="O478" s="99"/>
      <c r="P478" s="88"/>
      <c r="Q478" s="90"/>
      <c r="R478" s="133"/>
      <c r="S478" s="90"/>
      <c r="T478" s="90"/>
      <c r="U478" s="90"/>
      <c r="V478" s="90"/>
      <c r="W478" s="90"/>
      <c r="X478" s="481" t="s">
        <v>451</v>
      </c>
      <c r="Y478" s="11" t="s">
        <v>65</v>
      </c>
      <c r="Z478" s="1">
        <v>10</v>
      </c>
      <c r="AA478" s="529" t="s">
        <v>98</v>
      </c>
      <c r="AB478" s="163" t="s">
        <v>720</v>
      </c>
      <c r="AC478" s="332">
        <v>630</v>
      </c>
      <c r="AD478" s="174">
        <v>70</v>
      </c>
      <c r="AE478" s="174">
        <v>70</v>
      </c>
      <c r="AF478" s="174">
        <v>70</v>
      </c>
      <c r="AG478" s="575">
        <f t="shared" si="159"/>
        <v>1</v>
      </c>
      <c r="AH478" s="194"/>
      <c r="AI478" s="156"/>
    </row>
    <row r="479" spans="1:35" ht="42" customHeight="1" x14ac:dyDescent="0.25">
      <c r="A479" s="54"/>
      <c r="B479" s="85"/>
      <c r="C479" s="86"/>
      <c r="D479" s="86"/>
      <c r="E479" s="87"/>
      <c r="F479" s="87"/>
      <c r="G479" s="88"/>
      <c r="H479" s="88"/>
      <c r="I479" s="88"/>
      <c r="J479" s="88"/>
      <c r="K479" s="88"/>
      <c r="L479" s="88"/>
      <c r="M479" s="88"/>
      <c r="N479" s="88"/>
      <c r="O479" s="99"/>
      <c r="P479" s="88"/>
      <c r="Q479" s="90"/>
      <c r="R479" s="133"/>
      <c r="S479" s="90"/>
      <c r="T479" s="90"/>
      <c r="U479" s="90"/>
      <c r="V479" s="90"/>
      <c r="W479" s="90"/>
      <c r="X479" s="281" t="s">
        <v>663</v>
      </c>
      <c r="Y479" s="11" t="s">
        <v>65</v>
      </c>
      <c r="Z479" s="1">
        <v>10</v>
      </c>
      <c r="AA479" s="529" t="s">
        <v>98</v>
      </c>
      <c r="AB479" s="163" t="s">
        <v>664</v>
      </c>
      <c r="AC479" s="332"/>
      <c r="AD479" s="174">
        <f t="shared" ref="AD479:AF480" si="176">AD480</f>
        <v>70</v>
      </c>
      <c r="AE479" s="174">
        <f t="shared" si="176"/>
        <v>70</v>
      </c>
      <c r="AF479" s="174">
        <f t="shared" si="176"/>
        <v>70</v>
      </c>
      <c r="AG479" s="575">
        <f t="shared" si="159"/>
        <v>1</v>
      </c>
      <c r="AH479" s="91"/>
      <c r="AI479" s="156"/>
    </row>
    <row r="480" spans="1:35" ht="31.5" x14ac:dyDescent="0.25">
      <c r="A480" s="54"/>
      <c r="B480" s="85"/>
      <c r="C480" s="86"/>
      <c r="D480" s="86"/>
      <c r="E480" s="87"/>
      <c r="F480" s="87"/>
      <c r="G480" s="88"/>
      <c r="H480" s="88"/>
      <c r="I480" s="88"/>
      <c r="J480" s="88"/>
      <c r="K480" s="88"/>
      <c r="L480" s="88"/>
      <c r="M480" s="88"/>
      <c r="N480" s="88"/>
      <c r="O480" s="99"/>
      <c r="P480" s="88"/>
      <c r="Q480" s="90"/>
      <c r="R480" s="133"/>
      <c r="S480" s="90"/>
      <c r="T480" s="90"/>
      <c r="U480" s="90"/>
      <c r="V480" s="90"/>
      <c r="W480" s="90"/>
      <c r="X480" s="401" t="s">
        <v>62</v>
      </c>
      <c r="Y480" s="11" t="s">
        <v>65</v>
      </c>
      <c r="Z480" s="1">
        <v>10</v>
      </c>
      <c r="AA480" s="529" t="s">
        <v>98</v>
      </c>
      <c r="AB480" s="163" t="s">
        <v>664</v>
      </c>
      <c r="AC480" s="332">
        <v>600</v>
      </c>
      <c r="AD480" s="174">
        <f t="shared" si="176"/>
        <v>70</v>
      </c>
      <c r="AE480" s="174">
        <f t="shared" si="176"/>
        <v>70</v>
      </c>
      <c r="AF480" s="174">
        <f t="shared" si="176"/>
        <v>70</v>
      </c>
      <c r="AG480" s="575">
        <f t="shared" si="159"/>
        <v>1</v>
      </c>
      <c r="AH480" s="91"/>
      <c r="AI480" s="156"/>
    </row>
    <row r="481" spans="1:35" ht="47.25" x14ac:dyDescent="0.25">
      <c r="A481" s="54"/>
      <c r="B481" s="85"/>
      <c r="C481" s="86"/>
      <c r="D481" s="86"/>
      <c r="E481" s="87"/>
      <c r="F481" s="87"/>
      <c r="G481" s="88"/>
      <c r="H481" s="88"/>
      <c r="I481" s="88"/>
      <c r="J481" s="88"/>
      <c r="K481" s="88"/>
      <c r="L481" s="88"/>
      <c r="M481" s="88"/>
      <c r="N481" s="88"/>
      <c r="O481" s="99"/>
      <c r="P481" s="88"/>
      <c r="Q481" s="90"/>
      <c r="R481" s="133"/>
      <c r="S481" s="90"/>
      <c r="T481" s="90"/>
      <c r="U481" s="90"/>
      <c r="V481" s="90"/>
      <c r="W481" s="90"/>
      <c r="X481" s="406" t="s">
        <v>451</v>
      </c>
      <c r="Y481" s="11" t="s">
        <v>65</v>
      </c>
      <c r="Z481" s="1">
        <v>10</v>
      </c>
      <c r="AA481" s="529" t="s">
        <v>98</v>
      </c>
      <c r="AB481" s="163" t="s">
        <v>664</v>
      </c>
      <c r="AC481" s="332">
        <v>630</v>
      </c>
      <c r="AD481" s="174">
        <v>70</v>
      </c>
      <c r="AE481" s="174">
        <v>70</v>
      </c>
      <c r="AF481" s="174">
        <v>70</v>
      </c>
      <c r="AG481" s="575">
        <f t="shared" si="159"/>
        <v>1</v>
      </c>
      <c r="AH481" s="91"/>
      <c r="AI481" s="156"/>
    </row>
    <row r="482" spans="1:35" s="103" customFormat="1" x14ac:dyDescent="0.25">
      <c r="A482" s="75"/>
      <c r="B482" s="76"/>
      <c r="C482" s="76"/>
      <c r="D482" s="78"/>
      <c r="E482" s="79"/>
      <c r="F482" s="79"/>
      <c r="G482" s="80"/>
      <c r="H482" s="80"/>
      <c r="I482" s="80"/>
      <c r="J482" s="80"/>
      <c r="K482" s="80"/>
      <c r="L482" s="80"/>
      <c r="M482" s="80"/>
      <c r="N482" s="80"/>
      <c r="O482" s="81"/>
      <c r="P482" s="80"/>
      <c r="Q482" s="82"/>
      <c r="R482" s="102"/>
      <c r="S482" s="102"/>
      <c r="T482" s="102"/>
      <c r="U482" s="102"/>
      <c r="V482" s="102"/>
      <c r="W482" s="102"/>
      <c r="X482" s="279" t="s">
        <v>13</v>
      </c>
      <c r="Y482" s="199" t="s">
        <v>65</v>
      </c>
      <c r="Z482" s="24">
        <v>11</v>
      </c>
      <c r="AA482" s="557"/>
      <c r="AB482" s="305"/>
      <c r="AC482" s="310"/>
      <c r="AD482" s="170">
        <f>AD483+AD490+AD500</f>
        <v>100180.4</v>
      </c>
      <c r="AE482" s="170">
        <f>AE483+AE490+AE500</f>
        <v>100180.4</v>
      </c>
      <c r="AF482" s="170">
        <f t="shared" ref="AF482" si="177">AF483+AF490+AF500</f>
        <v>99806.1</v>
      </c>
      <c r="AG482" s="574">
        <f t="shared" si="159"/>
        <v>0.99626374021265651</v>
      </c>
      <c r="AH482" s="222"/>
      <c r="AI482" s="156"/>
    </row>
    <row r="483" spans="1:35" s="103" customFormat="1" x14ac:dyDescent="0.25">
      <c r="A483" s="75"/>
      <c r="B483" s="76"/>
      <c r="C483" s="76"/>
      <c r="D483" s="78"/>
      <c r="E483" s="79"/>
      <c r="F483" s="79"/>
      <c r="G483" s="80"/>
      <c r="H483" s="80"/>
      <c r="I483" s="80"/>
      <c r="J483" s="80"/>
      <c r="K483" s="80"/>
      <c r="L483" s="80"/>
      <c r="M483" s="80"/>
      <c r="N483" s="80"/>
      <c r="O483" s="81"/>
      <c r="P483" s="80"/>
      <c r="Q483" s="82"/>
      <c r="R483" s="102"/>
      <c r="S483" s="102"/>
      <c r="T483" s="102"/>
      <c r="U483" s="102"/>
      <c r="V483" s="102"/>
      <c r="W483" s="102"/>
      <c r="X483" s="278" t="s">
        <v>14</v>
      </c>
      <c r="Y483" s="11" t="s">
        <v>65</v>
      </c>
      <c r="Z483" s="1">
        <v>11</v>
      </c>
      <c r="AA483" s="529" t="s">
        <v>31</v>
      </c>
      <c r="AB483" s="305"/>
      <c r="AC483" s="310"/>
      <c r="AD483" s="168">
        <f t="shared" ref="AD483:AF484" si="178">AD484</f>
        <v>31714.9</v>
      </c>
      <c r="AE483" s="168">
        <f t="shared" si="178"/>
        <v>31714.9</v>
      </c>
      <c r="AF483" s="168">
        <f t="shared" si="178"/>
        <v>31714.9</v>
      </c>
      <c r="AG483" s="575">
        <f t="shared" si="159"/>
        <v>1</v>
      </c>
      <c r="AH483" s="194"/>
      <c r="AI483" s="156"/>
    </row>
    <row r="484" spans="1:35" s="103" customFormat="1" x14ac:dyDescent="0.25">
      <c r="A484" s="75"/>
      <c r="B484" s="76"/>
      <c r="C484" s="76"/>
      <c r="D484" s="78"/>
      <c r="E484" s="79"/>
      <c r="F484" s="79"/>
      <c r="G484" s="80"/>
      <c r="H484" s="80"/>
      <c r="I484" s="80"/>
      <c r="J484" s="80"/>
      <c r="K484" s="80"/>
      <c r="L484" s="80"/>
      <c r="M484" s="80"/>
      <c r="N484" s="80"/>
      <c r="O484" s="81"/>
      <c r="P484" s="80"/>
      <c r="Q484" s="82"/>
      <c r="R484" s="102"/>
      <c r="S484" s="102"/>
      <c r="T484" s="102"/>
      <c r="U484" s="102"/>
      <c r="V484" s="102"/>
      <c r="W484" s="102"/>
      <c r="X484" s="280" t="s">
        <v>161</v>
      </c>
      <c r="Y484" s="202" t="s">
        <v>65</v>
      </c>
      <c r="Z484" s="1">
        <v>11</v>
      </c>
      <c r="AA484" s="529" t="s">
        <v>31</v>
      </c>
      <c r="AB484" s="163" t="s">
        <v>118</v>
      </c>
      <c r="AC484" s="310"/>
      <c r="AD484" s="168">
        <f t="shared" si="178"/>
        <v>31714.9</v>
      </c>
      <c r="AE484" s="168">
        <f t="shared" si="178"/>
        <v>31714.9</v>
      </c>
      <c r="AF484" s="168">
        <f t="shared" si="178"/>
        <v>31714.9</v>
      </c>
      <c r="AG484" s="575">
        <f t="shared" si="159"/>
        <v>1</v>
      </c>
      <c r="AH484" s="194"/>
      <c r="AI484" s="156"/>
    </row>
    <row r="485" spans="1:35" s="103" customFormat="1" x14ac:dyDescent="0.25">
      <c r="A485" s="75"/>
      <c r="B485" s="76"/>
      <c r="C485" s="76"/>
      <c r="D485" s="78"/>
      <c r="E485" s="79"/>
      <c r="F485" s="79"/>
      <c r="G485" s="80"/>
      <c r="H485" s="80"/>
      <c r="I485" s="80"/>
      <c r="J485" s="80"/>
      <c r="K485" s="80"/>
      <c r="L485" s="80"/>
      <c r="M485" s="80"/>
      <c r="N485" s="80"/>
      <c r="O485" s="81"/>
      <c r="P485" s="80"/>
      <c r="Q485" s="82"/>
      <c r="R485" s="102"/>
      <c r="S485" s="102"/>
      <c r="T485" s="102"/>
      <c r="U485" s="102"/>
      <c r="V485" s="102"/>
      <c r="W485" s="102"/>
      <c r="X485" s="280" t="s">
        <v>162</v>
      </c>
      <c r="Y485" s="202" t="s">
        <v>65</v>
      </c>
      <c r="Z485" s="1">
        <v>11</v>
      </c>
      <c r="AA485" s="529" t="s">
        <v>31</v>
      </c>
      <c r="AB485" s="163" t="s">
        <v>122</v>
      </c>
      <c r="AC485" s="310"/>
      <c r="AD485" s="168">
        <f t="shared" ref="AD485:AF487" si="179">AD486</f>
        <v>31714.9</v>
      </c>
      <c r="AE485" s="168">
        <f t="shared" si="179"/>
        <v>31714.9</v>
      </c>
      <c r="AF485" s="168">
        <f t="shared" si="179"/>
        <v>31714.9</v>
      </c>
      <c r="AG485" s="575">
        <f t="shared" si="159"/>
        <v>1</v>
      </c>
      <c r="AH485" s="194"/>
      <c r="AI485" s="156"/>
    </row>
    <row r="486" spans="1:35" s="103" customFormat="1" ht="31.5" x14ac:dyDescent="0.25">
      <c r="A486" s="75"/>
      <c r="B486" s="76"/>
      <c r="C486" s="76"/>
      <c r="D486" s="78"/>
      <c r="E486" s="79"/>
      <c r="F486" s="79"/>
      <c r="G486" s="80"/>
      <c r="H486" s="80"/>
      <c r="I486" s="80"/>
      <c r="J486" s="80"/>
      <c r="K486" s="80"/>
      <c r="L486" s="80"/>
      <c r="M486" s="80"/>
      <c r="N486" s="80"/>
      <c r="O486" s="81"/>
      <c r="P486" s="80"/>
      <c r="Q486" s="82"/>
      <c r="R486" s="102"/>
      <c r="S486" s="102"/>
      <c r="T486" s="102"/>
      <c r="U486" s="102"/>
      <c r="V486" s="102"/>
      <c r="W486" s="102"/>
      <c r="X486" s="280" t="s">
        <v>163</v>
      </c>
      <c r="Y486" s="202" t="s">
        <v>65</v>
      </c>
      <c r="Z486" s="1">
        <v>11</v>
      </c>
      <c r="AA486" s="529" t="s">
        <v>31</v>
      </c>
      <c r="AB486" s="163" t="s">
        <v>131</v>
      </c>
      <c r="AC486" s="310"/>
      <c r="AD486" s="168">
        <f t="shared" si="179"/>
        <v>31714.9</v>
      </c>
      <c r="AE486" s="168">
        <f t="shared" si="179"/>
        <v>31714.9</v>
      </c>
      <c r="AF486" s="168">
        <f t="shared" si="179"/>
        <v>31714.9</v>
      </c>
      <c r="AG486" s="575">
        <f t="shared" si="159"/>
        <v>1</v>
      </c>
      <c r="AH486" s="194"/>
      <c r="AI486" s="156"/>
    </row>
    <row r="487" spans="1:35" s="103" customFormat="1" ht="31.5" x14ac:dyDescent="0.25">
      <c r="A487" s="75"/>
      <c r="B487" s="76"/>
      <c r="C487" s="76"/>
      <c r="D487" s="78"/>
      <c r="E487" s="79"/>
      <c r="F487" s="79"/>
      <c r="G487" s="80"/>
      <c r="H487" s="80"/>
      <c r="I487" s="80"/>
      <c r="J487" s="80"/>
      <c r="K487" s="80"/>
      <c r="L487" s="80"/>
      <c r="M487" s="80"/>
      <c r="N487" s="80"/>
      <c r="O487" s="81"/>
      <c r="P487" s="80"/>
      <c r="Q487" s="82"/>
      <c r="R487" s="102"/>
      <c r="S487" s="102"/>
      <c r="T487" s="102"/>
      <c r="U487" s="102"/>
      <c r="V487" s="102"/>
      <c r="W487" s="102"/>
      <c r="X487" s="283" t="s">
        <v>164</v>
      </c>
      <c r="Y487" s="202" t="s">
        <v>65</v>
      </c>
      <c r="Z487" s="1">
        <v>11</v>
      </c>
      <c r="AA487" s="529" t="s">
        <v>31</v>
      </c>
      <c r="AB487" s="163" t="s">
        <v>165</v>
      </c>
      <c r="AC487" s="310"/>
      <c r="AD487" s="168">
        <f t="shared" si="179"/>
        <v>31714.9</v>
      </c>
      <c r="AE487" s="168">
        <f t="shared" si="179"/>
        <v>31714.9</v>
      </c>
      <c r="AF487" s="168">
        <f t="shared" si="179"/>
        <v>31714.9</v>
      </c>
      <c r="AG487" s="575">
        <f t="shared" si="159"/>
        <v>1</v>
      </c>
      <c r="AH487" s="194"/>
      <c r="AI487" s="156"/>
    </row>
    <row r="488" spans="1:35" s="103" customFormat="1" ht="31.5" x14ac:dyDescent="0.25">
      <c r="A488" s="75"/>
      <c r="B488" s="76"/>
      <c r="C488" s="76"/>
      <c r="D488" s="78"/>
      <c r="E488" s="79"/>
      <c r="F488" s="79"/>
      <c r="G488" s="80"/>
      <c r="H488" s="80"/>
      <c r="I488" s="80"/>
      <c r="J488" s="80"/>
      <c r="K488" s="80"/>
      <c r="L488" s="80"/>
      <c r="M488" s="80"/>
      <c r="N488" s="80"/>
      <c r="O488" s="81"/>
      <c r="P488" s="80"/>
      <c r="Q488" s="82"/>
      <c r="R488" s="102"/>
      <c r="S488" s="102"/>
      <c r="T488" s="102"/>
      <c r="U488" s="102"/>
      <c r="V488" s="102"/>
      <c r="W488" s="102"/>
      <c r="X488" s="278" t="s">
        <v>62</v>
      </c>
      <c r="Y488" s="202" t="s">
        <v>65</v>
      </c>
      <c r="Z488" s="1">
        <v>11</v>
      </c>
      <c r="AA488" s="529" t="s">
        <v>31</v>
      </c>
      <c r="AB488" s="163" t="s">
        <v>165</v>
      </c>
      <c r="AC488" s="315">
        <v>600</v>
      </c>
      <c r="AD488" s="168">
        <f>AD489</f>
        <v>31714.9</v>
      </c>
      <c r="AE488" s="168">
        <f>AE489</f>
        <v>31714.9</v>
      </c>
      <c r="AF488" s="168">
        <f>AF489</f>
        <v>31714.9</v>
      </c>
      <c r="AG488" s="575">
        <f t="shared" si="159"/>
        <v>1</v>
      </c>
      <c r="AH488" s="194"/>
      <c r="AI488" s="156"/>
    </row>
    <row r="489" spans="1:35" s="103" customFormat="1" x14ac:dyDescent="0.25">
      <c r="A489" s="75"/>
      <c r="B489" s="76"/>
      <c r="C489" s="76"/>
      <c r="D489" s="78"/>
      <c r="E489" s="79"/>
      <c r="F489" s="79"/>
      <c r="G489" s="80"/>
      <c r="H489" s="80"/>
      <c r="I489" s="80"/>
      <c r="J489" s="80"/>
      <c r="K489" s="80"/>
      <c r="L489" s="80"/>
      <c r="M489" s="80"/>
      <c r="N489" s="80"/>
      <c r="O489" s="81"/>
      <c r="P489" s="80"/>
      <c r="Q489" s="82"/>
      <c r="R489" s="102"/>
      <c r="S489" s="102"/>
      <c r="T489" s="102"/>
      <c r="U489" s="102"/>
      <c r="V489" s="102"/>
      <c r="W489" s="102"/>
      <c r="X489" s="278" t="s">
        <v>132</v>
      </c>
      <c r="Y489" s="202" t="s">
        <v>65</v>
      </c>
      <c r="Z489" s="1">
        <v>11</v>
      </c>
      <c r="AA489" s="529" t="s">
        <v>31</v>
      </c>
      <c r="AB489" s="163" t="s">
        <v>165</v>
      </c>
      <c r="AC489" s="315">
        <v>620</v>
      </c>
      <c r="AD489" s="168">
        <f>85501-3000-50786.1</f>
        <v>31714.9</v>
      </c>
      <c r="AE489" s="168">
        <f>85501-3000-50786.1</f>
        <v>31714.9</v>
      </c>
      <c r="AF489" s="168">
        <v>31714.9</v>
      </c>
      <c r="AG489" s="575">
        <f t="shared" si="159"/>
        <v>1</v>
      </c>
      <c r="AH489" s="194"/>
      <c r="AI489" s="156"/>
    </row>
    <row r="490" spans="1:35" s="103" customFormat="1" x14ac:dyDescent="0.25">
      <c r="A490" s="75"/>
      <c r="B490" s="76"/>
      <c r="C490" s="76"/>
      <c r="D490" s="78"/>
      <c r="E490" s="79"/>
      <c r="F490" s="79"/>
      <c r="G490" s="80"/>
      <c r="H490" s="80"/>
      <c r="I490" s="80"/>
      <c r="J490" s="80"/>
      <c r="K490" s="80"/>
      <c r="L490" s="80"/>
      <c r="M490" s="80"/>
      <c r="N490" s="80"/>
      <c r="O490" s="81"/>
      <c r="P490" s="80"/>
      <c r="Q490" s="82"/>
      <c r="R490" s="102"/>
      <c r="S490" s="102"/>
      <c r="T490" s="102"/>
      <c r="U490" s="102"/>
      <c r="V490" s="102"/>
      <c r="W490" s="102"/>
      <c r="X490" s="278" t="s">
        <v>37</v>
      </c>
      <c r="Y490" s="202" t="s">
        <v>65</v>
      </c>
      <c r="Z490" s="1">
        <v>11</v>
      </c>
      <c r="AA490" s="529" t="s">
        <v>32</v>
      </c>
      <c r="AB490" s="163"/>
      <c r="AC490" s="315"/>
      <c r="AD490" s="168">
        <f>AD491</f>
        <v>3294.4</v>
      </c>
      <c r="AE490" s="168">
        <f>AE491</f>
        <v>3294.4</v>
      </c>
      <c r="AF490" s="168">
        <f t="shared" ref="AF490" si="180">AF491</f>
        <v>2920.1</v>
      </c>
      <c r="AG490" s="575">
        <f t="shared" si="159"/>
        <v>0.88638295288975222</v>
      </c>
      <c r="AH490" s="194"/>
      <c r="AI490" s="156"/>
    </row>
    <row r="491" spans="1:35" s="103" customFormat="1" x14ac:dyDescent="0.25">
      <c r="A491" s="75"/>
      <c r="B491" s="76"/>
      <c r="C491" s="76"/>
      <c r="D491" s="78"/>
      <c r="E491" s="79"/>
      <c r="F491" s="79"/>
      <c r="G491" s="80"/>
      <c r="H491" s="80"/>
      <c r="I491" s="80"/>
      <c r="J491" s="80"/>
      <c r="K491" s="80"/>
      <c r="L491" s="80"/>
      <c r="M491" s="80"/>
      <c r="N491" s="80"/>
      <c r="O491" s="81"/>
      <c r="P491" s="80"/>
      <c r="Q491" s="82"/>
      <c r="R491" s="102"/>
      <c r="S491" s="102"/>
      <c r="T491" s="102"/>
      <c r="U491" s="102"/>
      <c r="V491" s="102"/>
      <c r="W491" s="102"/>
      <c r="X491" s="280" t="s">
        <v>161</v>
      </c>
      <c r="Y491" s="202" t="s">
        <v>65</v>
      </c>
      <c r="Z491" s="1">
        <v>11</v>
      </c>
      <c r="AA491" s="529" t="s">
        <v>32</v>
      </c>
      <c r="AB491" s="163" t="s">
        <v>118</v>
      </c>
      <c r="AC491" s="315"/>
      <c r="AD491" s="168">
        <f>AD492</f>
        <v>3294.4</v>
      </c>
      <c r="AE491" s="168">
        <f>AE492</f>
        <v>3294.4</v>
      </c>
      <c r="AF491" s="168">
        <f t="shared" ref="AF491" si="181">AF492</f>
        <v>2920.1</v>
      </c>
      <c r="AG491" s="575">
        <f t="shared" si="159"/>
        <v>0.88638295288975222</v>
      </c>
      <c r="AH491" s="194"/>
      <c r="AI491" s="156"/>
    </row>
    <row r="492" spans="1:35" s="103" customFormat="1" x14ac:dyDescent="0.25">
      <c r="A492" s="75"/>
      <c r="B492" s="76"/>
      <c r="C492" s="76"/>
      <c r="D492" s="78"/>
      <c r="E492" s="79"/>
      <c r="F492" s="79"/>
      <c r="G492" s="80"/>
      <c r="H492" s="80"/>
      <c r="I492" s="80"/>
      <c r="J492" s="80"/>
      <c r="K492" s="80"/>
      <c r="L492" s="80"/>
      <c r="M492" s="80"/>
      <c r="N492" s="80"/>
      <c r="O492" s="81"/>
      <c r="P492" s="80"/>
      <c r="Q492" s="82"/>
      <c r="R492" s="102"/>
      <c r="S492" s="102"/>
      <c r="T492" s="102"/>
      <c r="U492" s="102"/>
      <c r="V492" s="102"/>
      <c r="W492" s="102"/>
      <c r="X492" s="280" t="s">
        <v>162</v>
      </c>
      <c r="Y492" s="202" t="s">
        <v>65</v>
      </c>
      <c r="Z492" s="1">
        <v>11</v>
      </c>
      <c r="AA492" s="529" t="s">
        <v>32</v>
      </c>
      <c r="AB492" s="163" t="s">
        <v>122</v>
      </c>
      <c r="AC492" s="315"/>
      <c r="AD492" s="168">
        <f t="shared" ref="AD492:AF493" si="182">AD493</f>
        <v>3294.4</v>
      </c>
      <c r="AE492" s="168">
        <f t="shared" si="182"/>
        <v>3294.4</v>
      </c>
      <c r="AF492" s="168">
        <f t="shared" si="182"/>
        <v>2920.1</v>
      </c>
      <c r="AG492" s="575">
        <f t="shared" si="159"/>
        <v>0.88638295288975222</v>
      </c>
      <c r="AH492" s="194"/>
      <c r="AI492" s="156"/>
    </row>
    <row r="493" spans="1:35" s="103" customFormat="1" ht="31.5" x14ac:dyDescent="0.25">
      <c r="A493" s="75"/>
      <c r="B493" s="76"/>
      <c r="C493" s="76"/>
      <c r="D493" s="78"/>
      <c r="E493" s="79"/>
      <c r="F493" s="79"/>
      <c r="G493" s="80"/>
      <c r="H493" s="80"/>
      <c r="I493" s="80"/>
      <c r="J493" s="80"/>
      <c r="K493" s="80"/>
      <c r="L493" s="80"/>
      <c r="M493" s="80"/>
      <c r="N493" s="80"/>
      <c r="O493" s="81"/>
      <c r="P493" s="80"/>
      <c r="Q493" s="82"/>
      <c r="R493" s="102"/>
      <c r="S493" s="102"/>
      <c r="T493" s="102"/>
      <c r="U493" s="102"/>
      <c r="V493" s="102"/>
      <c r="W493" s="102"/>
      <c r="X493" s="280" t="s">
        <v>163</v>
      </c>
      <c r="Y493" s="202" t="s">
        <v>65</v>
      </c>
      <c r="Z493" s="1">
        <v>11</v>
      </c>
      <c r="AA493" s="529" t="s">
        <v>32</v>
      </c>
      <c r="AB493" s="163" t="s">
        <v>131</v>
      </c>
      <c r="AC493" s="315"/>
      <c r="AD493" s="168">
        <f t="shared" si="182"/>
        <v>3294.4</v>
      </c>
      <c r="AE493" s="168">
        <f t="shared" si="182"/>
        <v>3294.4</v>
      </c>
      <c r="AF493" s="168">
        <f t="shared" si="182"/>
        <v>2920.1</v>
      </c>
      <c r="AG493" s="575">
        <f t="shared" si="159"/>
        <v>0.88638295288975222</v>
      </c>
      <c r="AH493" s="194"/>
      <c r="AI493" s="156"/>
    </row>
    <row r="494" spans="1:35" s="103" customFormat="1" ht="31.5" x14ac:dyDescent="0.25">
      <c r="A494" s="75"/>
      <c r="B494" s="76"/>
      <c r="C494" s="76"/>
      <c r="D494" s="78"/>
      <c r="E494" s="79"/>
      <c r="F494" s="79"/>
      <c r="G494" s="80"/>
      <c r="H494" s="80"/>
      <c r="I494" s="80"/>
      <c r="J494" s="80"/>
      <c r="K494" s="80"/>
      <c r="L494" s="80"/>
      <c r="M494" s="80"/>
      <c r="N494" s="80"/>
      <c r="O494" s="81"/>
      <c r="P494" s="80"/>
      <c r="Q494" s="82"/>
      <c r="R494" s="102"/>
      <c r="S494" s="102"/>
      <c r="T494" s="102"/>
      <c r="U494" s="102"/>
      <c r="V494" s="102"/>
      <c r="W494" s="102"/>
      <c r="X494" s="302" t="s">
        <v>603</v>
      </c>
      <c r="Y494" s="11" t="s">
        <v>65</v>
      </c>
      <c r="Z494" s="1">
        <v>11</v>
      </c>
      <c r="AA494" s="529" t="s">
        <v>32</v>
      </c>
      <c r="AB494" s="163" t="s">
        <v>167</v>
      </c>
      <c r="AC494" s="310"/>
      <c r="AD494" s="168">
        <f>AD495+AD497</f>
        <v>3294.4</v>
      </c>
      <c r="AE494" s="168">
        <f>AE495+AE497</f>
        <v>3294.4</v>
      </c>
      <c r="AF494" s="168">
        <f t="shared" ref="AF494" si="183">AF495+AF497</f>
        <v>2920.1</v>
      </c>
      <c r="AG494" s="575">
        <f t="shared" si="159"/>
        <v>0.88638295288975222</v>
      </c>
      <c r="AH494" s="194"/>
      <c r="AI494" s="156"/>
    </row>
    <row r="495" spans="1:35" s="103" customFormat="1" x14ac:dyDescent="0.25">
      <c r="A495" s="75"/>
      <c r="B495" s="76"/>
      <c r="C495" s="76"/>
      <c r="D495" s="78"/>
      <c r="E495" s="79"/>
      <c r="F495" s="79"/>
      <c r="G495" s="80"/>
      <c r="H495" s="80"/>
      <c r="I495" s="80"/>
      <c r="J495" s="80"/>
      <c r="K495" s="80"/>
      <c r="L495" s="80"/>
      <c r="M495" s="80"/>
      <c r="N495" s="80"/>
      <c r="O495" s="81"/>
      <c r="P495" s="80"/>
      <c r="Q495" s="82"/>
      <c r="R495" s="102"/>
      <c r="S495" s="102"/>
      <c r="T495" s="102"/>
      <c r="U495" s="102"/>
      <c r="V495" s="102"/>
      <c r="W495" s="102"/>
      <c r="X495" s="278" t="s">
        <v>123</v>
      </c>
      <c r="Y495" s="11" t="s">
        <v>65</v>
      </c>
      <c r="Z495" s="1">
        <v>11</v>
      </c>
      <c r="AA495" s="529" t="s">
        <v>32</v>
      </c>
      <c r="AB495" s="163" t="s">
        <v>167</v>
      </c>
      <c r="AC495" s="309">
        <v>200</v>
      </c>
      <c r="AD495" s="34">
        <f>AD496</f>
        <v>2535</v>
      </c>
      <c r="AE495" s="34">
        <f>AE496</f>
        <v>2535</v>
      </c>
      <c r="AF495" s="34">
        <f>AF496</f>
        <v>2160.6999999999998</v>
      </c>
      <c r="AG495" s="575">
        <f t="shared" si="159"/>
        <v>0.85234714003944767</v>
      </c>
      <c r="AH495" s="194"/>
      <c r="AI495" s="156"/>
    </row>
    <row r="496" spans="1:35" s="103" customFormat="1" ht="31.5" x14ac:dyDescent="0.25">
      <c r="A496" s="75"/>
      <c r="B496" s="76"/>
      <c r="C496" s="76"/>
      <c r="D496" s="78"/>
      <c r="E496" s="79"/>
      <c r="F496" s="79"/>
      <c r="G496" s="80"/>
      <c r="H496" s="80"/>
      <c r="I496" s="80"/>
      <c r="J496" s="80"/>
      <c r="K496" s="80"/>
      <c r="L496" s="80"/>
      <c r="M496" s="80"/>
      <c r="N496" s="80"/>
      <c r="O496" s="81"/>
      <c r="P496" s="80"/>
      <c r="Q496" s="82"/>
      <c r="R496" s="102"/>
      <c r="S496" s="102"/>
      <c r="T496" s="102"/>
      <c r="U496" s="102"/>
      <c r="V496" s="102"/>
      <c r="W496" s="102"/>
      <c r="X496" s="278" t="s">
        <v>54</v>
      </c>
      <c r="Y496" s="11" t="s">
        <v>65</v>
      </c>
      <c r="Z496" s="1">
        <v>11</v>
      </c>
      <c r="AA496" s="529" t="s">
        <v>32</v>
      </c>
      <c r="AB496" s="163" t="s">
        <v>167</v>
      </c>
      <c r="AC496" s="309">
        <v>240</v>
      </c>
      <c r="AD496" s="34">
        <v>2535</v>
      </c>
      <c r="AE496" s="34">
        <v>2535</v>
      </c>
      <c r="AF496" s="34">
        <v>2160.6999999999998</v>
      </c>
      <c r="AG496" s="575">
        <f t="shared" si="159"/>
        <v>0.85234714003944767</v>
      </c>
      <c r="AH496" s="194"/>
      <c r="AI496" s="156"/>
    </row>
    <row r="497" spans="1:35" s="103" customFormat="1" ht="31.5" x14ac:dyDescent="0.25">
      <c r="A497" s="75"/>
      <c r="B497" s="76"/>
      <c r="C497" s="76"/>
      <c r="D497" s="78"/>
      <c r="E497" s="79"/>
      <c r="F497" s="79"/>
      <c r="G497" s="80"/>
      <c r="H497" s="80"/>
      <c r="I497" s="80"/>
      <c r="J497" s="80"/>
      <c r="K497" s="80"/>
      <c r="L497" s="80"/>
      <c r="M497" s="80"/>
      <c r="N497" s="80"/>
      <c r="O497" s="81"/>
      <c r="P497" s="80"/>
      <c r="Q497" s="82"/>
      <c r="R497" s="102"/>
      <c r="S497" s="102"/>
      <c r="T497" s="102"/>
      <c r="U497" s="102"/>
      <c r="V497" s="102"/>
      <c r="W497" s="102"/>
      <c r="X497" s="278" t="s">
        <v>62</v>
      </c>
      <c r="Y497" s="11" t="s">
        <v>65</v>
      </c>
      <c r="Z497" s="1">
        <v>11</v>
      </c>
      <c r="AA497" s="529" t="s">
        <v>32</v>
      </c>
      <c r="AB497" s="163" t="s">
        <v>167</v>
      </c>
      <c r="AC497" s="315">
        <v>600</v>
      </c>
      <c r="AD497" s="34">
        <f>AD498+AD499</f>
        <v>759.4</v>
      </c>
      <c r="AE497" s="34">
        <f>AE498+AE499</f>
        <v>759.4</v>
      </c>
      <c r="AF497" s="34">
        <f t="shared" ref="AF497" si="184">AF498+AF499</f>
        <v>759.4</v>
      </c>
      <c r="AG497" s="575">
        <f t="shared" si="159"/>
        <v>1</v>
      </c>
      <c r="AH497" s="194"/>
      <c r="AI497" s="156"/>
    </row>
    <row r="498" spans="1:35" s="103" customFormat="1" x14ac:dyDescent="0.25">
      <c r="A498" s="75"/>
      <c r="B498" s="76"/>
      <c r="C498" s="76"/>
      <c r="D498" s="78"/>
      <c r="E498" s="79"/>
      <c r="F498" s="79"/>
      <c r="G498" s="80"/>
      <c r="H498" s="80"/>
      <c r="I498" s="80"/>
      <c r="J498" s="80"/>
      <c r="K498" s="80"/>
      <c r="L498" s="80"/>
      <c r="M498" s="80"/>
      <c r="N498" s="80"/>
      <c r="O498" s="81"/>
      <c r="P498" s="80"/>
      <c r="Q498" s="82"/>
      <c r="R498" s="102"/>
      <c r="S498" s="102"/>
      <c r="T498" s="102"/>
      <c r="U498" s="102"/>
      <c r="V498" s="102"/>
      <c r="W498" s="102"/>
      <c r="X498" s="297" t="s">
        <v>63</v>
      </c>
      <c r="Y498" s="11" t="s">
        <v>65</v>
      </c>
      <c r="Z498" s="1">
        <v>11</v>
      </c>
      <c r="AA498" s="529" t="s">
        <v>32</v>
      </c>
      <c r="AB498" s="163" t="s">
        <v>167</v>
      </c>
      <c r="AC498" s="315">
        <v>610</v>
      </c>
      <c r="AD498" s="34">
        <v>350</v>
      </c>
      <c r="AE498" s="34">
        <v>350</v>
      </c>
      <c r="AF498" s="34">
        <v>350</v>
      </c>
      <c r="AG498" s="575">
        <f t="shared" si="159"/>
        <v>1</v>
      </c>
      <c r="AH498" s="194"/>
      <c r="AI498" s="156"/>
    </row>
    <row r="499" spans="1:35" s="103" customFormat="1" x14ac:dyDescent="0.25">
      <c r="A499" s="75"/>
      <c r="B499" s="76"/>
      <c r="C499" s="76"/>
      <c r="D499" s="78"/>
      <c r="E499" s="79"/>
      <c r="F499" s="79"/>
      <c r="G499" s="80"/>
      <c r="H499" s="80"/>
      <c r="I499" s="80"/>
      <c r="J499" s="80"/>
      <c r="K499" s="80"/>
      <c r="L499" s="80"/>
      <c r="M499" s="80"/>
      <c r="N499" s="80"/>
      <c r="O499" s="81"/>
      <c r="P499" s="80"/>
      <c r="Q499" s="82"/>
      <c r="R499" s="102"/>
      <c r="S499" s="102"/>
      <c r="T499" s="102"/>
      <c r="U499" s="102"/>
      <c r="V499" s="102"/>
      <c r="W499" s="102"/>
      <c r="X499" s="297" t="s">
        <v>132</v>
      </c>
      <c r="Y499" s="11" t="s">
        <v>65</v>
      </c>
      <c r="Z499" s="1">
        <v>11</v>
      </c>
      <c r="AA499" s="529" t="s">
        <v>32</v>
      </c>
      <c r="AB499" s="163" t="s">
        <v>167</v>
      </c>
      <c r="AC499" s="315">
        <v>620</v>
      </c>
      <c r="AD499" s="34">
        <f>445-35.6</f>
        <v>409.4</v>
      </c>
      <c r="AE499" s="34">
        <f>445-35.6</f>
        <v>409.4</v>
      </c>
      <c r="AF499" s="34">
        <v>409.4</v>
      </c>
      <c r="AG499" s="575">
        <f t="shared" ref="AG499:AG556" si="185">AF499/AE499</f>
        <v>1</v>
      </c>
      <c r="AH499" s="194"/>
      <c r="AI499" s="156"/>
    </row>
    <row r="500" spans="1:35" s="103" customFormat="1" x14ac:dyDescent="0.25">
      <c r="A500" s="75"/>
      <c r="B500" s="76"/>
      <c r="C500" s="76"/>
      <c r="D500" s="78"/>
      <c r="E500" s="79"/>
      <c r="F500" s="79"/>
      <c r="G500" s="80"/>
      <c r="H500" s="80"/>
      <c r="I500" s="80"/>
      <c r="J500" s="80"/>
      <c r="K500" s="80"/>
      <c r="L500" s="80"/>
      <c r="M500" s="80"/>
      <c r="N500" s="80"/>
      <c r="O500" s="81"/>
      <c r="P500" s="80"/>
      <c r="Q500" s="82"/>
      <c r="R500" s="102"/>
      <c r="S500" s="102"/>
      <c r="T500" s="102"/>
      <c r="U500" s="102"/>
      <c r="V500" s="102"/>
      <c r="W500" s="102"/>
      <c r="X500" s="297" t="s">
        <v>737</v>
      </c>
      <c r="Y500" s="11" t="s">
        <v>65</v>
      </c>
      <c r="Z500" s="1">
        <v>11</v>
      </c>
      <c r="AA500" s="529" t="s">
        <v>7</v>
      </c>
      <c r="AB500" s="163"/>
      <c r="AC500" s="315"/>
      <c r="AD500" s="34">
        <f>AD501</f>
        <v>65171.1</v>
      </c>
      <c r="AE500" s="34">
        <f>AE501</f>
        <v>65171.1</v>
      </c>
      <c r="AF500" s="34">
        <f t="shared" ref="AF500" si="186">AF501</f>
        <v>65171.1</v>
      </c>
      <c r="AG500" s="575">
        <f t="shared" si="185"/>
        <v>1</v>
      </c>
      <c r="AH500" s="194"/>
      <c r="AI500" s="156"/>
    </row>
    <row r="501" spans="1:35" s="103" customFormat="1" x14ac:dyDescent="0.25">
      <c r="A501" s="75"/>
      <c r="B501" s="76"/>
      <c r="C501" s="76"/>
      <c r="D501" s="78"/>
      <c r="E501" s="79"/>
      <c r="F501" s="79"/>
      <c r="G501" s="80"/>
      <c r="H501" s="80"/>
      <c r="I501" s="80"/>
      <c r="J501" s="80"/>
      <c r="K501" s="80"/>
      <c r="L501" s="80"/>
      <c r="M501" s="80"/>
      <c r="N501" s="80"/>
      <c r="O501" s="81"/>
      <c r="P501" s="80"/>
      <c r="Q501" s="82"/>
      <c r="R501" s="102"/>
      <c r="S501" s="102"/>
      <c r="T501" s="102"/>
      <c r="U501" s="102"/>
      <c r="V501" s="102"/>
      <c r="W501" s="102"/>
      <c r="X501" s="280" t="s">
        <v>161</v>
      </c>
      <c r="Y501" s="202" t="s">
        <v>65</v>
      </c>
      <c r="Z501" s="1">
        <v>11</v>
      </c>
      <c r="AA501" s="529" t="s">
        <v>7</v>
      </c>
      <c r="AB501" s="163" t="s">
        <v>118</v>
      </c>
      <c r="AC501" s="315"/>
      <c r="AD501" s="34">
        <f>AD502</f>
        <v>65171.1</v>
      </c>
      <c r="AE501" s="34">
        <f>AE502</f>
        <v>65171.1</v>
      </c>
      <c r="AF501" s="34">
        <f t="shared" ref="AF501" si="187">AF502</f>
        <v>65171.1</v>
      </c>
      <c r="AG501" s="575">
        <f t="shared" si="185"/>
        <v>1</v>
      </c>
      <c r="AH501" s="194"/>
      <c r="AI501" s="156"/>
    </row>
    <row r="502" spans="1:35" s="103" customFormat="1" x14ac:dyDescent="0.25">
      <c r="A502" s="75"/>
      <c r="B502" s="76"/>
      <c r="C502" s="76"/>
      <c r="D502" s="78"/>
      <c r="E502" s="79"/>
      <c r="F502" s="79"/>
      <c r="G502" s="80"/>
      <c r="H502" s="80"/>
      <c r="I502" s="80"/>
      <c r="J502" s="80"/>
      <c r="K502" s="80"/>
      <c r="L502" s="80"/>
      <c r="M502" s="80"/>
      <c r="N502" s="80"/>
      <c r="O502" s="81"/>
      <c r="P502" s="80"/>
      <c r="Q502" s="82"/>
      <c r="R502" s="102"/>
      <c r="S502" s="102"/>
      <c r="T502" s="102"/>
      <c r="U502" s="102"/>
      <c r="V502" s="102"/>
      <c r="W502" s="102"/>
      <c r="X502" s="297" t="s">
        <v>738</v>
      </c>
      <c r="Y502" s="202" t="s">
        <v>65</v>
      </c>
      <c r="Z502" s="1">
        <v>11</v>
      </c>
      <c r="AA502" s="529" t="s">
        <v>7</v>
      </c>
      <c r="AB502" s="163" t="s">
        <v>739</v>
      </c>
      <c r="AC502" s="315"/>
      <c r="AD502" s="34">
        <f>AD503+AD507</f>
        <v>65171.1</v>
      </c>
      <c r="AE502" s="34">
        <f>AE503+AE507</f>
        <v>65171.1</v>
      </c>
      <c r="AF502" s="34">
        <f t="shared" ref="AF502" si="188">AF503+AF507</f>
        <v>65171.1</v>
      </c>
      <c r="AG502" s="575">
        <f t="shared" si="185"/>
        <v>1</v>
      </c>
      <c r="AH502" s="194"/>
      <c r="AI502" s="156"/>
    </row>
    <row r="503" spans="1:35" s="103" customFormat="1" x14ac:dyDescent="0.25">
      <c r="A503" s="75"/>
      <c r="B503" s="76"/>
      <c r="C503" s="76"/>
      <c r="D503" s="78"/>
      <c r="E503" s="79"/>
      <c r="F503" s="79"/>
      <c r="G503" s="80"/>
      <c r="H503" s="80"/>
      <c r="I503" s="80"/>
      <c r="J503" s="80"/>
      <c r="K503" s="80"/>
      <c r="L503" s="80"/>
      <c r="M503" s="80"/>
      <c r="N503" s="80"/>
      <c r="O503" s="81"/>
      <c r="P503" s="80"/>
      <c r="Q503" s="82"/>
      <c r="R503" s="102"/>
      <c r="S503" s="102"/>
      <c r="T503" s="102"/>
      <c r="U503" s="102"/>
      <c r="V503" s="102"/>
      <c r="W503" s="102"/>
      <c r="X503" s="297" t="s">
        <v>741</v>
      </c>
      <c r="Y503" s="202" t="s">
        <v>65</v>
      </c>
      <c r="Z503" s="1">
        <v>11</v>
      </c>
      <c r="AA503" s="529" t="s">
        <v>7</v>
      </c>
      <c r="AB503" s="163" t="s">
        <v>740</v>
      </c>
      <c r="AC503" s="315"/>
      <c r="AD503" s="34">
        <f t="shared" ref="AD503:AE505" si="189">AD504</f>
        <v>61863.1</v>
      </c>
      <c r="AE503" s="34">
        <f t="shared" si="189"/>
        <v>61863.1</v>
      </c>
      <c r="AF503" s="34">
        <f t="shared" ref="AF503" si="190">AF504</f>
        <v>61863.1</v>
      </c>
      <c r="AG503" s="575">
        <f t="shared" si="185"/>
        <v>1</v>
      </c>
      <c r="AH503" s="194"/>
      <c r="AI503" s="156"/>
    </row>
    <row r="504" spans="1:35" s="103" customFormat="1" ht="31.5" x14ac:dyDescent="0.25">
      <c r="A504" s="75"/>
      <c r="B504" s="76"/>
      <c r="C504" s="76"/>
      <c r="D504" s="78"/>
      <c r="E504" s="79"/>
      <c r="F504" s="79"/>
      <c r="G504" s="80"/>
      <c r="H504" s="80"/>
      <c r="I504" s="80"/>
      <c r="J504" s="80"/>
      <c r="K504" s="80"/>
      <c r="L504" s="80"/>
      <c r="M504" s="80"/>
      <c r="N504" s="80"/>
      <c r="O504" s="81"/>
      <c r="P504" s="80"/>
      <c r="Q504" s="82"/>
      <c r="R504" s="102"/>
      <c r="S504" s="102"/>
      <c r="T504" s="102"/>
      <c r="U504" s="102"/>
      <c r="V504" s="102"/>
      <c r="W504" s="102"/>
      <c r="X504" s="297" t="s">
        <v>743</v>
      </c>
      <c r="Y504" s="202" t="s">
        <v>65</v>
      </c>
      <c r="Z504" s="1">
        <v>11</v>
      </c>
      <c r="AA504" s="529" t="s">
        <v>7</v>
      </c>
      <c r="AB504" s="163" t="s">
        <v>742</v>
      </c>
      <c r="AC504" s="315"/>
      <c r="AD504" s="34">
        <f t="shared" si="189"/>
        <v>61863.1</v>
      </c>
      <c r="AE504" s="34">
        <f t="shared" si="189"/>
        <v>61863.1</v>
      </c>
      <c r="AF504" s="34">
        <f t="shared" ref="AF504" si="191">AF505</f>
        <v>61863.1</v>
      </c>
      <c r="AG504" s="575">
        <f t="shared" si="185"/>
        <v>1</v>
      </c>
      <c r="AH504" s="194"/>
      <c r="AI504" s="156"/>
    </row>
    <row r="505" spans="1:35" s="103" customFormat="1" ht="31.5" x14ac:dyDescent="0.25">
      <c r="A505" s="75"/>
      <c r="B505" s="76"/>
      <c r="C505" s="76"/>
      <c r="D505" s="78"/>
      <c r="E505" s="79"/>
      <c r="F505" s="79"/>
      <c r="G505" s="80"/>
      <c r="H505" s="80"/>
      <c r="I505" s="80"/>
      <c r="J505" s="80"/>
      <c r="K505" s="80"/>
      <c r="L505" s="80"/>
      <c r="M505" s="80"/>
      <c r="N505" s="80"/>
      <c r="O505" s="81"/>
      <c r="P505" s="80"/>
      <c r="Q505" s="82"/>
      <c r="R505" s="102"/>
      <c r="S505" s="102"/>
      <c r="T505" s="102"/>
      <c r="U505" s="102"/>
      <c r="V505" s="102"/>
      <c r="W505" s="102"/>
      <c r="X505" s="278" t="s">
        <v>62</v>
      </c>
      <c r="Y505" s="202" t="s">
        <v>65</v>
      </c>
      <c r="Z505" s="1">
        <v>11</v>
      </c>
      <c r="AA505" s="529" t="s">
        <v>7</v>
      </c>
      <c r="AB505" s="163" t="s">
        <v>742</v>
      </c>
      <c r="AC505" s="315">
        <v>600</v>
      </c>
      <c r="AD505" s="34">
        <f t="shared" si="189"/>
        <v>61863.1</v>
      </c>
      <c r="AE505" s="34">
        <f t="shared" si="189"/>
        <v>61863.1</v>
      </c>
      <c r="AF505" s="34">
        <f t="shared" ref="AF505" si="192">AF506</f>
        <v>61863.1</v>
      </c>
      <c r="AG505" s="575">
        <f t="shared" si="185"/>
        <v>1</v>
      </c>
      <c r="AH505" s="194"/>
      <c r="AI505" s="156"/>
    </row>
    <row r="506" spans="1:35" s="103" customFormat="1" x14ac:dyDescent="0.25">
      <c r="A506" s="75"/>
      <c r="B506" s="76"/>
      <c r="C506" s="76"/>
      <c r="D506" s="78"/>
      <c r="E506" s="79"/>
      <c r="F506" s="79"/>
      <c r="G506" s="80"/>
      <c r="H506" s="80"/>
      <c r="I506" s="80"/>
      <c r="J506" s="80"/>
      <c r="K506" s="80"/>
      <c r="L506" s="80"/>
      <c r="M506" s="80"/>
      <c r="N506" s="80"/>
      <c r="O506" s="81"/>
      <c r="P506" s="80"/>
      <c r="Q506" s="82"/>
      <c r="R506" s="102"/>
      <c r="S506" s="102"/>
      <c r="T506" s="102"/>
      <c r="U506" s="102"/>
      <c r="V506" s="102"/>
      <c r="W506" s="102"/>
      <c r="X506" s="297" t="s">
        <v>132</v>
      </c>
      <c r="Y506" s="202" t="s">
        <v>65</v>
      </c>
      <c r="Z506" s="1">
        <v>11</v>
      </c>
      <c r="AA506" s="529" t="s">
        <v>7</v>
      </c>
      <c r="AB506" s="163" t="s">
        <v>742</v>
      </c>
      <c r="AC506" s="315">
        <v>620</v>
      </c>
      <c r="AD506" s="34">
        <f>50786.1+250+5424+5103+300</f>
        <v>61863.1</v>
      </c>
      <c r="AE506" s="34">
        <f>50786.1+250+5424+5103+300</f>
        <v>61863.1</v>
      </c>
      <c r="AF506" s="34">
        <v>61863.1</v>
      </c>
      <c r="AG506" s="575">
        <f t="shared" si="185"/>
        <v>1</v>
      </c>
      <c r="AH506" s="194"/>
      <c r="AI506" s="156"/>
    </row>
    <row r="507" spans="1:35" s="103" customFormat="1" ht="32.450000000000003" customHeight="1" x14ac:dyDescent="0.25">
      <c r="A507" s="75"/>
      <c r="B507" s="76"/>
      <c r="C507" s="76"/>
      <c r="D507" s="78"/>
      <c r="E507" s="79"/>
      <c r="F507" s="79"/>
      <c r="G507" s="80"/>
      <c r="H507" s="80"/>
      <c r="I507" s="80"/>
      <c r="J507" s="80"/>
      <c r="K507" s="80"/>
      <c r="L507" s="80"/>
      <c r="M507" s="80"/>
      <c r="N507" s="80"/>
      <c r="O507" s="81"/>
      <c r="P507" s="80"/>
      <c r="Q507" s="82"/>
      <c r="R507" s="102"/>
      <c r="S507" s="102"/>
      <c r="T507" s="102"/>
      <c r="U507" s="102"/>
      <c r="V507" s="102"/>
      <c r="W507" s="102"/>
      <c r="X507" s="297" t="s">
        <v>762</v>
      </c>
      <c r="Y507" s="202" t="s">
        <v>65</v>
      </c>
      <c r="Z507" s="1">
        <v>11</v>
      </c>
      <c r="AA507" s="529" t="s">
        <v>7</v>
      </c>
      <c r="AB507" s="163" t="s">
        <v>761</v>
      </c>
      <c r="AC507" s="315"/>
      <c r="AD507" s="34">
        <f>AD511+AD508</f>
        <v>3308</v>
      </c>
      <c r="AE507" s="34">
        <f>AE511+AE508</f>
        <v>3308</v>
      </c>
      <c r="AF507" s="34">
        <f>AF508</f>
        <v>3308</v>
      </c>
      <c r="AG507" s="575">
        <f t="shared" si="185"/>
        <v>1</v>
      </c>
      <c r="AH507" s="194"/>
      <c r="AI507" s="156"/>
    </row>
    <row r="508" spans="1:35" s="103" customFormat="1" ht="32.450000000000003" customHeight="1" x14ac:dyDescent="0.25">
      <c r="A508" s="75"/>
      <c r="B508" s="76"/>
      <c r="C508" s="76"/>
      <c r="D508" s="78"/>
      <c r="E508" s="79"/>
      <c r="F508" s="79"/>
      <c r="G508" s="80"/>
      <c r="H508" s="80"/>
      <c r="I508" s="80"/>
      <c r="J508" s="80"/>
      <c r="K508" s="80"/>
      <c r="L508" s="80"/>
      <c r="M508" s="80"/>
      <c r="N508" s="80"/>
      <c r="O508" s="81"/>
      <c r="P508" s="80"/>
      <c r="Q508" s="82"/>
      <c r="R508" s="102"/>
      <c r="S508" s="102"/>
      <c r="T508" s="102"/>
      <c r="U508" s="102"/>
      <c r="V508" s="102"/>
      <c r="W508" s="102"/>
      <c r="X508" s="297" t="s">
        <v>789</v>
      </c>
      <c r="Y508" s="202" t="s">
        <v>65</v>
      </c>
      <c r="Z508" s="1">
        <v>11</v>
      </c>
      <c r="AA508" s="529" t="s">
        <v>7</v>
      </c>
      <c r="AB508" s="163" t="s">
        <v>790</v>
      </c>
      <c r="AC508" s="315"/>
      <c r="AD508" s="34">
        <f>AD509</f>
        <v>3012</v>
      </c>
      <c r="AE508" s="34">
        <f>AE509</f>
        <v>3012</v>
      </c>
      <c r="AF508" s="34">
        <f>AF509+AF511</f>
        <v>3308</v>
      </c>
      <c r="AG508" s="575">
        <f t="shared" si="185"/>
        <v>1.0982735723771579</v>
      </c>
      <c r="AH508" s="194"/>
      <c r="AI508" s="156"/>
    </row>
    <row r="509" spans="1:35" s="103" customFormat="1" ht="32.450000000000003" customHeight="1" x14ac:dyDescent="0.25">
      <c r="A509" s="75"/>
      <c r="B509" s="76"/>
      <c r="C509" s="76"/>
      <c r="D509" s="78"/>
      <c r="E509" s="79"/>
      <c r="F509" s="79"/>
      <c r="G509" s="80"/>
      <c r="H509" s="80"/>
      <c r="I509" s="80"/>
      <c r="J509" s="80"/>
      <c r="K509" s="80"/>
      <c r="L509" s="80"/>
      <c r="M509" s="80"/>
      <c r="N509" s="80"/>
      <c r="O509" s="81"/>
      <c r="P509" s="80"/>
      <c r="Q509" s="82"/>
      <c r="R509" s="102"/>
      <c r="S509" s="102"/>
      <c r="T509" s="102"/>
      <c r="U509" s="102"/>
      <c r="V509" s="102"/>
      <c r="W509" s="102"/>
      <c r="X509" s="278" t="s">
        <v>62</v>
      </c>
      <c r="Y509" s="202" t="s">
        <v>65</v>
      </c>
      <c r="Z509" s="1">
        <v>11</v>
      </c>
      <c r="AA509" s="529" t="s">
        <v>7</v>
      </c>
      <c r="AB509" s="163" t="s">
        <v>790</v>
      </c>
      <c r="AC509" s="315">
        <v>600</v>
      </c>
      <c r="AD509" s="34">
        <f>AD510</f>
        <v>3012</v>
      </c>
      <c r="AE509" s="34">
        <f>AE510</f>
        <v>3012</v>
      </c>
      <c r="AF509" s="34">
        <f>AF510</f>
        <v>3012</v>
      </c>
      <c r="AG509" s="575">
        <f t="shared" si="185"/>
        <v>1</v>
      </c>
      <c r="AH509" s="194"/>
      <c r="AI509" s="156"/>
    </row>
    <row r="510" spans="1:35" s="103" customFormat="1" ht="21.6" customHeight="1" x14ac:dyDescent="0.25">
      <c r="A510" s="75"/>
      <c r="B510" s="76"/>
      <c r="C510" s="76"/>
      <c r="D510" s="78"/>
      <c r="E510" s="79"/>
      <c r="F510" s="79"/>
      <c r="G510" s="80"/>
      <c r="H510" s="80"/>
      <c r="I510" s="80"/>
      <c r="J510" s="80"/>
      <c r="K510" s="80"/>
      <c r="L510" s="80"/>
      <c r="M510" s="80"/>
      <c r="N510" s="80"/>
      <c r="O510" s="81"/>
      <c r="P510" s="80"/>
      <c r="Q510" s="82"/>
      <c r="R510" s="102"/>
      <c r="S510" s="102"/>
      <c r="T510" s="102"/>
      <c r="U510" s="102"/>
      <c r="V510" s="102"/>
      <c r="W510" s="102"/>
      <c r="X510" s="278" t="s">
        <v>132</v>
      </c>
      <c r="Y510" s="202" t="s">
        <v>65</v>
      </c>
      <c r="Z510" s="1">
        <v>11</v>
      </c>
      <c r="AA510" s="529" t="s">
        <v>7</v>
      </c>
      <c r="AB510" s="163" t="s">
        <v>790</v>
      </c>
      <c r="AC510" s="315">
        <v>620</v>
      </c>
      <c r="AD510" s="34">
        <v>3012</v>
      </c>
      <c r="AE510" s="34">
        <v>3012</v>
      </c>
      <c r="AF510" s="34">
        <v>3012</v>
      </c>
      <c r="AG510" s="575">
        <f t="shared" si="185"/>
        <v>1</v>
      </c>
      <c r="AH510" s="194"/>
      <c r="AI510" s="156"/>
    </row>
    <row r="511" spans="1:35" s="103" customFormat="1" ht="32.450000000000003" customHeight="1" x14ac:dyDescent="0.25">
      <c r="A511" s="75"/>
      <c r="B511" s="76"/>
      <c r="C511" s="76"/>
      <c r="D511" s="78"/>
      <c r="E511" s="79"/>
      <c r="F511" s="79"/>
      <c r="G511" s="80"/>
      <c r="H511" s="80"/>
      <c r="I511" s="80"/>
      <c r="J511" s="80"/>
      <c r="K511" s="80"/>
      <c r="L511" s="80"/>
      <c r="M511" s="80"/>
      <c r="N511" s="80"/>
      <c r="O511" s="81"/>
      <c r="P511" s="80"/>
      <c r="Q511" s="82"/>
      <c r="R511" s="102"/>
      <c r="S511" s="102"/>
      <c r="T511" s="102"/>
      <c r="U511" s="102"/>
      <c r="V511" s="102"/>
      <c r="W511" s="102"/>
      <c r="X511" s="297" t="s">
        <v>763</v>
      </c>
      <c r="Y511" s="202" t="s">
        <v>65</v>
      </c>
      <c r="Z511" s="1">
        <v>11</v>
      </c>
      <c r="AA511" s="529" t="s">
        <v>7</v>
      </c>
      <c r="AB511" s="163" t="s">
        <v>764</v>
      </c>
      <c r="AC511" s="315"/>
      <c r="AD511" s="34">
        <f>AD512</f>
        <v>296</v>
      </c>
      <c r="AE511" s="34">
        <f>AE512</f>
        <v>296</v>
      </c>
      <c r="AF511" s="34">
        <f t="shared" ref="AF511" si="193">AF512</f>
        <v>296</v>
      </c>
      <c r="AG511" s="575">
        <f t="shared" si="185"/>
        <v>1</v>
      </c>
      <c r="AH511" s="194"/>
      <c r="AI511" s="156"/>
    </row>
    <row r="512" spans="1:35" s="103" customFormat="1" ht="31.5" x14ac:dyDescent="0.25">
      <c r="A512" s="75"/>
      <c r="B512" s="76"/>
      <c r="C512" s="76"/>
      <c r="D512" s="78"/>
      <c r="E512" s="79"/>
      <c r="F512" s="79"/>
      <c r="G512" s="80"/>
      <c r="H512" s="80"/>
      <c r="I512" s="80"/>
      <c r="J512" s="80"/>
      <c r="K512" s="80"/>
      <c r="L512" s="80"/>
      <c r="M512" s="80"/>
      <c r="N512" s="80"/>
      <c r="O512" s="81"/>
      <c r="P512" s="80"/>
      <c r="Q512" s="82"/>
      <c r="R512" s="102"/>
      <c r="S512" s="102"/>
      <c r="T512" s="102"/>
      <c r="U512" s="102"/>
      <c r="V512" s="102"/>
      <c r="W512" s="102"/>
      <c r="X512" s="278" t="s">
        <v>62</v>
      </c>
      <c r="Y512" s="202" t="s">
        <v>65</v>
      </c>
      <c r="Z512" s="1">
        <v>11</v>
      </c>
      <c r="AA512" s="529" t="s">
        <v>7</v>
      </c>
      <c r="AB512" s="163" t="s">
        <v>764</v>
      </c>
      <c r="AC512" s="315">
        <v>600</v>
      </c>
      <c r="AD512" s="34">
        <f>AD513</f>
        <v>296</v>
      </c>
      <c r="AE512" s="34">
        <f>AE513</f>
        <v>296</v>
      </c>
      <c r="AF512" s="34">
        <f t="shared" ref="AF512" si="194">AF513</f>
        <v>296</v>
      </c>
      <c r="AG512" s="575">
        <f t="shared" si="185"/>
        <v>1</v>
      </c>
      <c r="AH512" s="194"/>
      <c r="AI512" s="156"/>
    </row>
    <row r="513" spans="1:35" s="103" customFormat="1" x14ac:dyDescent="0.25">
      <c r="A513" s="75"/>
      <c r="B513" s="76"/>
      <c r="C513" s="76"/>
      <c r="D513" s="78"/>
      <c r="E513" s="79"/>
      <c r="F513" s="79"/>
      <c r="G513" s="80"/>
      <c r="H513" s="80"/>
      <c r="I513" s="80"/>
      <c r="J513" s="80"/>
      <c r="K513" s="80"/>
      <c r="L513" s="80"/>
      <c r="M513" s="80"/>
      <c r="N513" s="80"/>
      <c r="O513" s="81"/>
      <c r="P513" s="80"/>
      <c r="Q513" s="82"/>
      <c r="R513" s="102"/>
      <c r="S513" s="102"/>
      <c r="T513" s="102"/>
      <c r="U513" s="102"/>
      <c r="V513" s="102"/>
      <c r="W513" s="102"/>
      <c r="X513" s="297" t="s">
        <v>132</v>
      </c>
      <c r="Y513" s="202" t="s">
        <v>65</v>
      </c>
      <c r="Z513" s="1">
        <v>11</v>
      </c>
      <c r="AA513" s="529" t="s">
        <v>7</v>
      </c>
      <c r="AB513" s="163" t="s">
        <v>764</v>
      </c>
      <c r="AC513" s="315">
        <v>620</v>
      </c>
      <c r="AD513" s="34">
        <f>206+90</f>
        <v>296</v>
      </c>
      <c r="AE513" s="34">
        <f>206+90</f>
        <v>296</v>
      </c>
      <c r="AF513" s="34">
        <v>296</v>
      </c>
      <c r="AG513" s="575">
        <f t="shared" si="185"/>
        <v>1</v>
      </c>
      <c r="AH513" s="194"/>
      <c r="AI513" s="156"/>
    </row>
    <row r="514" spans="1:35" s="103" customFormat="1" x14ac:dyDescent="0.25">
      <c r="A514" s="75"/>
      <c r="B514" s="76"/>
      <c r="C514" s="76"/>
      <c r="D514" s="78"/>
      <c r="E514" s="79"/>
      <c r="F514" s="79"/>
      <c r="G514" s="80"/>
      <c r="H514" s="80"/>
      <c r="I514" s="80"/>
      <c r="J514" s="80"/>
      <c r="K514" s="80"/>
      <c r="L514" s="80"/>
      <c r="M514" s="80"/>
      <c r="N514" s="80"/>
      <c r="O514" s="81"/>
      <c r="P514" s="80"/>
      <c r="Q514" s="82"/>
      <c r="R514" s="102"/>
      <c r="S514" s="102"/>
      <c r="T514" s="102"/>
      <c r="U514" s="102"/>
      <c r="V514" s="102"/>
      <c r="W514" s="102"/>
      <c r="X514" s="279" t="s">
        <v>491</v>
      </c>
      <c r="Y514" s="199" t="s">
        <v>65</v>
      </c>
      <c r="Z514" s="24">
        <v>13</v>
      </c>
      <c r="AA514" s="557"/>
      <c r="AB514" s="305"/>
      <c r="AC514" s="310"/>
      <c r="AD514" s="170">
        <f>AD515</f>
        <v>355.70000000000005</v>
      </c>
      <c r="AE514" s="170">
        <f>AE515</f>
        <v>355.70000000000005</v>
      </c>
      <c r="AF514" s="170">
        <f>AF515</f>
        <v>355.5</v>
      </c>
      <c r="AG514" s="574">
        <f t="shared" si="185"/>
        <v>0.99943772842282808</v>
      </c>
      <c r="AH514" s="222"/>
      <c r="AI514" s="156"/>
    </row>
    <row r="515" spans="1:35" x14ac:dyDescent="0.25">
      <c r="A515" s="54"/>
      <c r="B515" s="85"/>
      <c r="C515" s="85"/>
      <c r="D515" s="86"/>
      <c r="E515" s="86"/>
      <c r="F515" s="86"/>
      <c r="G515" s="134"/>
      <c r="H515" s="134"/>
      <c r="I515" s="134"/>
      <c r="J515" s="134"/>
      <c r="K515" s="134"/>
      <c r="L515" s="80"/>
      <c r="M515" s="134"/>
      <c r="N515" s="80"/>
      <c r="O515" s="89"/>
      <c r="P515" s="134"/>
      <c r="Q515" s="90"/>
      <c r="R515" s="135"/>
      <c r="S515" s="135"/>
      <c r="T515" s="135"/>
      <c r="U515" s="135"/>
      <c r="V515" s="135"/>
      <c r="W515" s="135"/>
      <c r="X515" s="278" t="s">
        <v>492</v>
      </c>
      <c r="Y515" s="11" t="s">
        <v>65</v>
      </c>
      <c r="Z515" s="18">
        <v>13</v>
      </c>
      <c r="AA515" s="529" t="s">
        <v>31</v>
      </c>
      <c r="AB515" s="347"/>
      <c r="AC515" s="309"/>
      <c r="AD515" s="168">
        <f>AD519</f>
        <v>355.70000000000005</v>
      </c>
      <c r="AE515" s="168">
        <f>AE519</f>
        <v>355.70000000000005</v>
      </c>
      <c r="AF515" s="168">
        <f>AF519</f>
        <v>355.5</v>
      </c>
      <c r="AG515" s="575">
        <f t="shared" si="185"/>
        <v>0.99943772842282808</v>
      </c>
      <c r="AH515" s="194"/>
      <c r="AI515" s="156"/>
    </row>
    <row r="516" spans="1:35" x14ac:dyDescent="0.25">
      <c r="A516" s="54"/>
      <c r="B516" s="85"/>
      <c r="C516" s="85"/>
      <c r="D516" s="86"/>
      <c r="E516" s="86"/>
      <c r="F516" s="86"/>
      <c r="G516" s="134"/>
      <c r="H516" s="134"/>
      <c r="I516" s="134"/>
      <c r="J516" s="134"/>
      <c r="K516" s="134"/>
      <c r="L516" s="80"/>
      <c r="M516" s="134"/>
      <c r="N516" s="80"/>
      <c r="O516" s="89"/>
      <c r="P516" s="134"/>
      <c r="Q516" s="90"/>
      <c r="R516" s="135"/>
      <c r="S516" s="135"/>
      <c r="T516" s="135"/>
      <c r="U516" s="135"/>
      <c r="V516" s="135"/>
      <c r="W516" s="135"/>
      <c r="X516" s="284" t="s">
        <v>193</v>
      </c>
      <c r="Y516" s="11" t="s">
        <v>65</v>
      </c>
      <c r="Z516" s="18">
        <v>13</v>
      </c>
      <c r="AA516" s="529" t="s">
        <v>31</v>
      </c>
      <c r="AB516" s="163" t="s">
        <v>115</v>
      </c>
      <c r="AC516" s="309"/>
      <c r="AD516" s="168">
        <f>AD519</f>
        <v>355.70000000000005</v>
      </c>
      <c r="AE516" s="168">
        <f>AE519</f>
        <v>355.70000000000005</v>
      </c>
      <c r="AF516" s="168">
        <f>AF519</f>
        <v>355.5</v>
      </c>
      <c r="AG516" s="575">
        <f t="shared" si="185"/>
        <v>0.99943772842282808</v>
      </c>
      <c r="AH516" s="194"/>
      <c r="AI516" s="156"/>
    </row>
    <row r="517" spans="1:35" x14ac:dyDescent="0.25">
      <c r="A517" s="54"/>
      <c r="B517" s="85"/>
      <c r="C517" s="85"/>
      <c r="D517" s="86"/>
      <c r="E517" s="86"/>
      <c r="F517" s="86"/>
      <c r="G517" s="134"/>
      <c r="H517" s="134"/>
      <c r="I517" s="134"/>
      <c r="J517" s="134"/>
      <c r="K517" s="134"/>
      <c r="L517" s="80"/>
      <c r="M517" s="134"/>
      <c r="N517" s="80"/>
      <c r="O517" s="89"/>
      <c r="P517" s="134"/>
      <c r="Q517" s="90"/>
      <c r="R517" s="135"/>
      <c r="S517" s="135"/>
      <c r="T517" s="135"/>
      <c r="U517" s="135"/>
      <c r="V517" s="135"/>
      <c r="W517" s="135"/>
      <c r="X517" s="284" t="s">
        <v>612</v>
      </c>
      <c r="Y517" s="11" t="s">
        <v>65</v>
      </c>
      <c r="Z517" s="18">
        <v>13</v>
      </c>
      <c r="AA517" s="529" t="s">
        <v>31</v>
      </c>
      <c r="AB517" s="163" t="s">
        <v>448</v>
      </c>
      <c r="AC517" s="309"/>
      <c r="AD517" s="168">
        <f t="shared" ref="AD517:AF518" si="195">AD518</f>
        <v>355.70000000000005</v>
      </c>
      <c r="AE517" s="168">
        <f t="shared" si="195"/>
        <v>355.70000000000005</v>
      </c>
      <c r="AF517" s="168">
        <f t="shared" si="195"/>
        <v>355.5</v>
      </c>
      <c r="AG517" s="575">
        <f t="shared" si="185"/>
        <v>0.99943772842282808</v>
      </c>
      <c r="AH517" s="194"/>
      <c r="AI517" s="156"/>
    </row>
    <row r="518" spans="1:35" ht="31.5" x14ac:dyDescent="0.25">
      <c r="A518" s="54"/>
      <c r="B518" s="85"/>
      <c r="C518" s="85"/>
      <c r="D518" s="86"/>
      <c r="E518" s="86"/>
      <c r="F518" s="86"/>
      <c r="G518" s="134"/>
      <c r="H518" s="134"/>
      <c r="I518" s="134"/>
      <c r="J518" s="134"/>
      <c r="K518" s="134"/>
      <c r="L518" s="80"/>
      <c r="M518" s="134"/>
      <c r="N518" s="80"/>
      <c r="O518" s="89"/>
      <c r="P518" s="134"/>
      <c r="Q518" s="90"/>
      <c r="R518" s="135"/>
      <c r="S518" s="135"/>
      <c r="T518" s="135"/>
      <c r="U518" s="135"/>
      <c r="V518" s="135"/>
      <c r="W518" s="135"/>
      <c r="X518" s="282" t="s">
        <v>613</v>
      </c>
      <c r="Y518" s="11" t="s">
        <v>65</v>
      </c>
      <c r="Z518" s="18">
        <v>13</v>
      </c>
      <c r="AA518" s="529" t="s">
        <v>31</v>
      </c>
      <c r="AB518" s="163" t="s">
        <v>450</v>
      </c>
      <c r="AC518" s="309"/>
      <c r="AD518" s="168">
        <f t="shared" si="195"/>
        <v>355.70000000000005</v>
      </c>
      <c r="AE518" s="168">
        <f t="shared" si="195"/>
        <v>355.70000000000005</v>
      </c>
      <c r="AF518" s="168">
        <f t="shared" si="195"/>
        <v>355.5</v>
      </c>
      <c r="AG518" s="575">
        <f t="shared" si="185"/>
        <v>0.99943772842282808</v>
      </c>
      <c r="AH518" s="194"/>
      <c r="AI518" s="156"/>
    </row>
    <row r="519" spans="1:35" x14ac:dyDescent="0.25">
      <c r="A519" s="95"/>
      <c r="B519" s="85"/>
      <c r="C519" s="85"/>
      <c r="D519" s="86"/>
      <c r="E519" s="86"/>
      <c r="F519" s="86"/>
      <c r="G519" s="134"/>
      <c r="H519" s="134"/>
      <c r="I519" s="134"/>
      <c r="J519" s="134"/>
      <c r="K519" s="134"/>
      <c r="L519" s="80"/>
      <c r="M519" s="134"/>
      <c r="N519" s="80"/>
      <c r="O519" s="89"/>
      <c r="P519" s="134"/>
      <c r="Q519" s="90"/>
      <c r="R519" s="135"/>
      <c r="S519" s="135"/>
      <c r="T519" s="135"/>
      <c r="U519" s="135"/>
      <c r="V519" s="135"/>
      <c r="W519" s="135"/>
      <c r="X519" s="284" t="s">
        <v>197</v>
      </c>
      <c r="Y519" s="11" t="s">
        <v>65</v>
      </c>
      <c r="Z519" s="18">
        <v>13</v>
      </c>
      <c r="AA519" s="529" t="s">
        <v>31</v>
      </c>
      <c r="AB519" s="163" t="s">
        <v>614</v>
      </c>
      <c r="AC519" s="309"/>
      <c r="AD519" s="168">
        <f t="shared" ref="AD519:AF520" si="196">AD520</f>
        <v>355.70000000000005</v>
      </c>
      <c r="AE519" s="168">
        <f t="shared" si="196"/>
        <v>355.70000000000005</v>
      </c>
      <c r="AF519" s="168">
        <f t="shared" si="196"/>
        <v>355.5</v>
      </c>
      <c r="AG519" s="575">
        <f t="shared" si="185"/>
        <v>0.99943772842282808</v>
      </c>
      <c r="AH519" s="194"/>
      <c r="AI519" s="156"/>
    </row>
    <row r="520" spans="1:35" x14ac:dyDescent="0.25">
      <c r="A520" s="96"/>
      <c r="B520" s="85"/>
      <c r="C520" s="85"/>
      <c r="D520" s="86"/>
      <c r="E520" s="86"/>
      <c r="F520" s="86"/>
      <c r="G520" s="134"/>
      <c r="H520" s="134"/>
      <c r="I520" s="134"/>
      <c r="J520" s="134"/>
      <c r="K520" s="134"/>
      <c r="L520" s="80"/>
      <c r="M520" s="134"/>
      <c r="N520" s="80"/>
      <c r="O520" s="89"/>
      <c r="P520" s="134"/>
      <c r="Q520" s="90"/>
      <c r="R520" s="135"/>
      <c r="S520" s="135"/>
      <c r="T520" s="135"/>
      <c r="U520" s="135"/>
      <c r="V520" s="135"/>
      <c r="W520" s="135"/>
      <c r="X520" s="278" t="s">
        <v>69</v>
      </c>
      <c r="Y520" s="11" t="s">
        <v>65</v>
      </c>
      <c r="Z520" s="18">
        <v>13</v>
      </c>
      <c r="AA520" s="529" t="s">
        <v>31</v>
      </c>
      <c r="AB520" s="163" t="s">
        <v>614</v>
      </c>
      <c r="AC520" s="309">
        <v>700</v>
      </c>
      <c r="AD520" s="168">
        <f t="shared" si="196"/>
        <v>355.70000000000005</v>
      </c>
      <c r="AE520" s="168">
        <f t="shared" si="196"/>
        <v>355.70000000000005</v>
      </c>
      <c r="AF520" s="168">
        <f t="shared" si="196"/>
        <v>355.5</v>
      </c>
      <c r="AG520" s="575">
        <f t="shared" si="185"/>
        <v>0.99943772842282808</v>
      </c>
      <c r="AH520" s="194"/>
      <c r="AI520" s="156"/>
    </row>
    <row r="521" spans="1:35" s="110" customFormat="1" x14ac:dyDescent="0.25">
      <c r="A521" s="97"/>
      <c r="B521" s="85"/>
      <c r="C521" s="85"/>
      <c r="D521" s="86"/>
      <c r="E521" s="86"/>
      <c r="F521" s="86"/>
      <c r="G521" s="134"/>
      <c r="H521" s="112"/>
      <c r="I521" s="56"/>
      <c r="J521" s="56"/>
      <c r="K521" s="56"/>
      <c r="L521" s="80"/>
      <c r="M521" s="56"/>
      <c r="N521" s="80"/>
      <c r="O521" s="89"/>
      <c r="P521" s="134"/>
      <c r="Q521" s="90"/>
      <c r="R521" s="91"/>
      <c r="S521" s="94"/>
      <c r="T521" s="94"/>
      <c r="U521" s="94"/>
      <c r="V521" s="94"/>
      <c r="W521" s="112"/>
      <c r="X521" s="278" t="s">
        <v>382</v>
      </c>
      <c r="Y521" s="11" t="s">
        <v>65</v>
      </c>
      <c r="Z521" s="18">
        <v>13</v>
      </c>
      <c r="AA521" s="529" t="s">
        <v>31</v>
      </c>
      <c r="AB521" s="163" t="s">
        <v>614</v>
      </c>
      <c r="AC521" s="309">
        <v>730</v>
      </c>
      <c r="AD521" s="168">
        <f>1200-844.3</f>
        <v>355.70000000000005</v>
      </c>
      <c r="AE521" s="168">
        <f>1200-844.3</f>
        <v>355.70000000000005</v>
      </c>
      <c r="AF521" s="168">
        <v>355.5</v>
      </c>
      <c r="AG521" s="575">
        <f t="shared" si="185"/>
        <v>0.99943772842282808</v>
      </c>
      <c r="AH521" s="194"/>
      <c r="AI521" s="156"/>
    </row>
    <row r="522" spans="1:35" ht="18.75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R522" s="3"/>
      <c r="S522" s="3"/>
      <c r="W522" s="3"/>
      <c r="X522" s="279" t="s">
        <v>452</v>
      </c>
      <c r="Y522" s="199" t="s">
        <v>6</v>
      </c>
      <c r="Z522" s="276"/>
      <c r="AA522" s="562"/>
      <c r="AB522" s="33"/>
      <c r="AC522" s="311"/>
      <c r="AD522" s="170">
        <f>AD523+AD542</f>
        <v>16346</v>
      </c>
      <c r="AE522" s="170">
        <f>AE523+AE542</f>
        <v>16346</v>
      </c>
      <c r="AF522" s="170">
        <f>AF523+AF542</f>
        <v>16256.800000000001</v>
      </c>
      <c r="AG522" s="574">
        <f t="shared" si="185"/>
        <v>0.99454300746359969</v>
      </c>
    </row>
    <row r="523" spans="1:3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R523" s="3"/>
      <c r="S523" s="3"/>
      <c r="W523" s="3"/>
      <c r="X523" s="279" t="s">
        <v>27</v>
      </c>
      <c r="Y523" s="199" t="s">
        <v>6</v>
      </c>
      <c r="Z523" s="23" t="s">
        <v>31</v>
      </c>
      <c r="AA523" s="561"/>
      <c r="AB523" s="33"/>
      <c r="AC523" s="310"/>
      <c r="AD523" s="170">
        <f>AD524</f>
        <v>15938</v>
      </c>
      <c r="AE523" s="170">
        <f>AE524</f>
        <v>15938</v>
      </c>
      <c r="AF523" s="170">
        <f>AF524</f>
        <v>15848.900000000001</v>
      </c>
      <c r="AG523" s="574">
        <f t="shared" si="185"/>
        <v>0.99440958715020711</v>
      </c>
    </row>
    <row r="524" spans="1:35" ht="31.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R524" s="3"/>
      <c r="S524" s="3"/>
      <c r="W524" s="3"/>
      <c r="X524" s="278" t="s">
        <v>30</v>
      </c>
      <c r="Y524" s="11" t="s">
        <v>6</v>
      </c>
      <c r="Z524" s="1" t="s">
        <v>31</v>
      </c>
      <c r="AA524" s="529" t="s">
        <v>7</v>
      </c>
      <c r="AB524" s="305"/>
      <c r="AC524" s="311"/>
      <c r="AD524" s="168">
        <f>AD525</f>
        <v>15938</v>
      </c>
      <c r="AE524" s="168">
        <f t="shared" ref="AE524:AF524" si="197">AE525</f>
        <v>15938</v>
      </c>
      <c r="AF524" s="168">
        <f t="shared" si="197"/>
        <v>15848.900000000001</v>
      </c>
      <c r="AG524" s="575">
        <f t="shared" si="185"/>
        <v>0.99440958715020711</v>
      </c>
      <c r="AH524" s="3"/>
    </row>
    <row r="525" spans="1:35" ht="31.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R525" s="3"/>
      <c r="S525" s="3"/>
      <c r="W525" s="3"/>
      <c r="X525" s="284" t="s">
        <v>291</v>
      </c>
      <c r="Y525" s="11" t="s">
        <v>6</v>
      </c>
      <c r="Z525" s="1" t="s">
        <v>31</v>
      </c>
      <c r="AA525" s="529" t="s">
        <v>7</v>
      </c>
      <c r="AB525" s="163" t="s">
        <v>102</v>
      </c>
      <c r="AC525" s="311"/>
      <c r="AD525" s="168">
        <f>AD526+AD530+AD532</f>
        <v>15938</v>
      </c>
      <c r="AE525" s="168">
        <f>AE526+AE530+AE532</f>
        <v>15938</v>
      </c>
      <c r="AF525" s="168">
        <f>AF526+AF530+AF532</f>
        <v>15848.900000000001</v>
      </c>
      <c r="AG525" s="575">
        <f t="shared" si="185"/>
        <v>0.99440958715020711</v>
      </c>
      <c r="AH525" s="3"/>
    </row>
    <row r="526" spans="1:3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R526" s="3"/>
      <c r="S526" s="3"/>
      <c r="W526" s="3"/>
      <c r="X526" s="407" t="s">
        <v>298</v>
      </c>
      <c r="Y526" s="11" t="s">
        <v>6</v>
      </c>
      <c r="Z526" s="1" t="s">
        <v>31</v>
      </c>
      <c r="AA526" s="529" t="s">
        <v>7</v>
      </c>
      <c r="AB526" s="163" t="s">
        <v>301</v>
      </c>
      <c r="AC526" s="309"/>
      <c r="AD526" s="168">
        <f t="shared" ref="AD526:AF527" si="198">AD527</f>
        <v>2981.8</v>
      </c>
      <c r="AE526" s="168">
        <f t="shared" si="198"/>
        <v>2981.8</v>
      </c>
      <c r="AF526" s="168">
        <f t="shared" si="198"/>
        <v>2979.4</v>
      </c>
      <c r="AG526" s="575">
        <f t="shared" si="185"/>
        <v>0.99919511704339659</v>
      </c>
      <c r="AH526" s="3"/>
    </row>
    <row r="527" spans="1:35" ht="47.2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R527" s="3"/>
      <c r="S527" s="3"/>
      <c r="W527" s="3"/>
      <c r="X527" s="278" t="s">
        <v>43</v>
      </c>
      <c r="Y527" s="11" t="s">
        <v>6</v>
      </c>
      <c r="Z527" s="1" t="s">
        <v>31</v>
      </c>
      <c r="AA527" s="529" t="s">
        <v>7</v>
      </c>
      <c r="AB527" s="163" t="s">
        <v>301</v>
      </c>
      <c r="AC527" s="311">
        <v>100</v>
      </c>
      <c r="AD527" s="168">
        <f t="shared" si="198"/>
        <v>2981.8</v>
      </c>
      <c r="AE527" s="168">
        <f t="shared" si="198"/>
        <v>2981.8</v>
      </c>
      <c r="AF527" s="168">
        <f t="shared" si="198"/>
        <v>2979.4</v>
      </c>
      <c r="AG527" s="575">
        <f t="shared" si="185"/>
        <v>0.99919511704339659</v>
      </c>
      <c r="AH527" s="3"/>
    </row>
    <row r="528" spans="1:3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R528" s="3"/>
      <c r="S528" s="3"/>
      <c r="W528" s="3"/>
      <c r="X528" s="278" t="s">
        <v>99</v>
      </c>
      <c r="Y528" s="11" t="s">
        <v>6</v>
      </c>
      <c r="Z528" s="1" t="s">
        <v>31</v>
      </c>
      <c r="AA528" s="529" t="s">
        <v>7</v>
      </c>
      <c r="AB528" s="163" t="s">
        <v>301</v>
      </c>
      <c r="AC528" s="309">
        <v>120</v>
      </c>
      <c r="AD528" s="168">
        <f>3017.8-36</f>
        <v>2981.8</v>
      </c>
      <c r="AE528" s="168">
        <f>3017.8-36</f>
        <v>2981.8</v>
      </c>
      <c r="AF528" s="168">
        <v>2979.4</v>
      </c>
      <c r="AG528" s="575">
        <f t="shared" si="185"/>
        <v>0.99919511704339659</v>
      </c>
      <c r="AH528" s="151"/>
    </row>
    <row r="529" spans="1:34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R529" s="3"/>
      <c r="S529" s="3"/>
      <c r="W529" s="3"/>
      <c r="X529" s="278" t="s">
        <v>351</v>
      </c>
      <c r="Y529" s="11" t="s">
        <v>6</v>
      </c>
      <c r="Z529" s="1" t="s">
        <v>31</v>
      </c>
      <c r="AA529" s="529" t="s">
        <v>7</v>
      </c>
      <c r="AB529" s="163" t="s">
        <v>302</v>
      </c>
      <c r="AC529" s="309"/>
      <c r="AD529" s="168">
        <f>AD531</f>
        <v>2163.9</v>
      </c>
      <c r="AE529" s="168">
        <f>AE531</f>
        <v>2163.9</v>
      </c>
      <c r="AF529" s="168">
        <f>AF531</f>
        <v>2162.3000000000002</v>
      </c>
      <c r="AG529" s="575">
        <f t="shared" si="185"/>
        <v>0.9992605942973336</v>
      </c>
      <c r="AH529" s="151"/>
    </row>
    <row r="530" spans="1:34" ht="47.2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R530" s="3"/>
      <c r="S530" s="3"/>
      <c r="W530" s="3"/>
      <c r="X530" s="278" t="s">
        <v>43</v>
      </c>
      <c r="Y530" s="11" t="s">
        <v>6</v>
      </c>
      <c r="Z530" s="1" t="s">
        <v>31</v>
      </c>
      <c r="AA530" s="529" t="s">
        <v>7</v>
      </c>
      <c r="AB530" s="163" t="s">
        <v>302</v>
      </c>
      <c r="AC530" s="311">
        <v>100</v>
      </c>
      <c r="AD530" s="168">
        <f>AD531</f>
        <v>2163.9</v>
      </c>
      <c r="AE530" s="168">
        <f>AE531</f>
        <v>2163.9</v>
      </c>
      <c r="AF530" s="168">
        <f>AF531</f>
        <v>2162.3000000000002</v>
      </c>
      <c r="AG530" s="575">
        <f t="shared" si="185"/>
        <v>0.9992605942973336</v>
      </c>
      <c r="AH530" s="151"/>
    </row>
    <row r="531" spans="1:34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R531" s="3"/>
      <c r="S531" s="3"/>
      <c r="W531" s="3"/>
      <c r="X531" s="278" t="s">
        <v>99</v>
      </c>
      <c r="Y531" s="11" t="s">
        <v>6</v>
      </c>
      <c r="Z531" s="1" t="s">
        <v>31</v>
      </c>
      <c r="AA531" s="529" t="s">
        <v>7</v>
      </c>
      <c r="AB531" s="163" t="s">
        <v>302</v>
      </c>
      <c r="AC531" s="309">
        <v>120</v>
      </c>
      <c r="AD531" s="168">
        <f>2325.1-33.2-128</f>
        <v>2163.9</v>
      </c>
      <c r="AE531" s="168">
        <f>2325.1-33.2-128</f>
        <v>2163.9</v>
      </c>
      <c r="AF531" s="168">
        <v>2162.3000000000002</v>
      </c>
      <c r="AG531" s="575">
        <f t="shared" si="185"/>
        <v>0.9992605942973336</v>
      </c>
      <c r="AH531" s="151"/>
    </row>
    <row r="532" spans="1:34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R532" s="3"/>
      <c r="S532" s="3"/>
      <c r="W532" s="3"/>
      <c r="X532" s="283" t="s">
        <v>299</v>
      </c>
      <c r="Y532" s="11" t="s">
        <v>6</v>
      </c>
      <c r="Z532" s="1" t="s">
        <v>31</v>
      </c>
      <c r="AA532" s="529" t="s">
        <v>7</v>
      </c>
      <c r="AB532" s="163" t="s">
        <v>300</v>
      </c>
      <c r="AC532" s="309"/>
      <c r="AD532" s="168">
        <f>AD533+AD536+AD539</f>
        <v>10792.3</v>
      </c>
      <c r="AE532" s="168">
        <f>AE533+AE536+AE539</f>
        <v>10792.3</v>
      </c>
      <c r="AF532" s="168">
        <f>AF533+AF536+AF539</f>
        <v>10707.2</v>
      </c>
      <c r="AG532" s="575">
        <f t="shared" si="185"/>
        <v>0.99211474847808168</v>
      </c>
      <c r="AH532" s="151"/>
    </row>
    <row r="533" spans="1:34" ht="31.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R533" s="3"/>
      <c r="S533" s="3"/>
      <c r="W533" s="3"/>
      <c r="X533" s="278" t="s">
        <v>303</v>
      </c>
      <c r="Y533" s="11" t="s">
        <v>6</v>
      </c>
      <c r="Z533" s="1" t="s">
        <v>31</v>
      </c>
      <c r="AA533" s="529" t="s">
        <v>7</v>
      </c>
      <c r="AB533" s="163" t="s">
        <v>304</v>
      </c>
      <c r="AC533" s="309"/>
      <c r="AD533" s="168">
        <f>AD534</f>
        <v>1637.3</v>
      </c>
      <c r="AE533" s="168">
        <f>AE534</f>
        <v>1637.3</v>
      </c>
      <c r="AF533" s="168">
        <f t="shared" ref="AF533" si="199">AF534</f>
        <v>1560.3</v>
      </c>
      <c r="AG533" s="575">
        <f t="shared" si="185"/>
        <v>0.95297135528003418</v>
      </c>
      <c r="AH533" s="151"/>
    </row>
    <row r="534" spans="1:34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R534" s="3"/>
      <c r="S534" s="3"/>
      <c r="W534" s="3"/>
      <c r="X534" s="278" t="s">
        <v>123</v>
      </c>
      <c r="Y534" s="11" t="s">
        <v>6</v>
      </c>
      <c r="Z534" s="1" t="s">
        <v>31</v>
      </c>
      <c r="AA534" s="529" t="s">
        <v>7</v>
      </c>
      <c r="AB534" s="163" t="s">
        <v>304</v>
      </c>
      <c r="AC534" s="309">
        <v>200</v>
      </c>
      <c r="AD534" s="168">
        <f>AD535</f>
        <v>1637.3</v>
      </c>
      <c r="AE534" s="168">
        <f>AE535</f>
        <v>1637.3</v>
      </c>
      <c r="AF534" s="168">
        <f>AF535</f>
        <v>1560.3</v>
      </c>
      <c r="AG534" s="575">
        <f t="shared" si="185"/>
        <v>0.95297135528003418</v>
      </c>
      <c r="AH534" s="151"/>
    </row>
    <row r="535" spans="1:34" ht="31.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R535" s="3"/>
      <c r="S535" s="3"/>
      <c r="W535" s="3"/>
      <c r="X535" s="278" t="s">
        <v>54</v>
      </c>
      <c r="Y535" s="11" t="s">
        <v>6</v>
      </c>
      <c r="Z535" s="1" t="s">
        <v>31</v>
      </c>
      <c r="AA535" s="529" t="s">
        <v>7</v>
      </c>
      <c r="AB535" s="163" t="s">
        <v>304</v>
      </c>
      <c r="AC535" s="309">
        <v>240</v>
      </c>
      <c r="AD535" s="168">
        <f>1697.3-60</f>
        <v>1637.3</v>
      </c>
      <c r="AE535" s="168">
        <f>1697.3-60</f>
        <v>1637.3</v>
      </c>
      <c r="AF535" s="168">
        <v>1560.3</v>
      </c>
      <c r="AG535" s="575">
        <f t="shared" si="185"/>
        <v>0.95297135528003418</v>
      </c>
      <c r="AH535" s="151"/>
    </row>
    <row r="536" spans="1:34" ht="47.2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R536" s="3"/>
      <c r="S536" s="3"/>
      <c r="W536" s="3"/>
      <c r="X536" s="278" t="s">
        <v>307</v>
      </c>
      <c r="Y536" s="11" t="s">
        <v>6</v>
      </c>
      <c r="Z536" s="1" t="s">
        <v>31</v>
      </c>
      <c r="AA536" s="529" t="s">
        <v>7</v>
      </c>
      <c r="AB536" s="163" t="s">
        <v>305</v>
      </c>
      <c r="AC536" s="309"/>
      <c r="AD536" s="168">
        <f t="shared" ref="AD536:AF537" si="200">AD537</f>
        <v>4412.3999999999996</v>
      </c>
      <c r="AE536" s="168">
        <f t="shared" si="200"/>
        <v>4412.3999999999996</v>
      </c>
      <c r="AF536" s="168">
        <f t="shared" si="200"/>
        <v>4407.8999999999996</v>
      </c>
      <c r="AG536" s="575">
        <f t="shared" si="185"/>
        <v>0.99898014685885228</v>
      </c>
      <c r="AH536" s="151"/>
    </row>
    <row r="537" spans="1:34" ht="47.2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R537" s="3"/>
      <c r="S537" s="3"/>
      <c r="W537" s="3"/>
      <c r="X537" s="278" t="s">
        <v>43</v>
      </c>
      <c r="Y537" s="11" t="s">
        <v>6</v>
      </c>
      <c r="Z537" s="1" t="s">
        <v>31</v>
      </c>
      <c r="AA537" s="529" t="s">
        <v>7</v>
      </c>
      <c r="AB537" s="163" t="s">
        <v>305</v>
      </c>
      <c r="AC537" s="311">
        <v>100</v>
      </c>
      <c r="AD537" s="168">
        <f t="shared" si="200"/>
        <v>4412.3999999999996</v>
      </c>
      <c r="AE537" s="168">
        <f t="shared" si="200"/>
        <v>4412.3999999999996</v>
      </c>
      <c r="AF537" s="168">
        <f t="shared" si="200"/>
        <v>4407.8999999999996</v>
      </c>
      <c r="AG537" s="575">
        <f t="shared" si="185"/>
        <v>0.99898014685885228</v>
      </c>
      <c r="AH537" s="151"/>
    </row>
    <row r="538" spans="1:34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R538" s="3"/>
      <c r="S538" s="3"/>
      <c r="W538" s="3"/>
      <c r="X538" s="278" t="s">
        <v>99</v>
      </c>
      <c r="Y538" s="11" t="s">
        <v>6</v>
      </c>
      <c r="Z538" s="1" t="s">
        <v>31</v>
      </c>
      <c r="AA538" s="529" t="s">
        <v>7</v>
      </c>
      <c r="AB538" s="163" t="s">
        <v>305</v>
      </c>
      <c r="AC538" s="309">
        <v>120</v>
      </c>
      <c r="AD538" s="168">
        <f>4263.9-126.5+125+150</f>
        <v>4412.3999999999996</v>
      </c>
      <c r="AE538" s="168">
        <f>4263.9-126.5+125+150</f>
        <v>4412.3999999999996</v>
      </c>
      <c r="AF538" s="168">
        <v>4407.8999999999996</v>
      </c>
      <c r="AG538" s="575">
        <f t="shared" si="185"/>
        <v>0.99898014685885228</v>
      </c>
      <c r="AH538" s="151"/>
    </row>
    <row r="539" spans="1:34" ht="31.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R539" s="3"/>
      <c r="S539" s="3"/>
      <c r="W539" s="3"/>
      <c r="X539" s="278" t="s">
        <v>308</v>
      </c>
      <c r="Y539" s="11" t="s">
        <v>6</v>
      </c>
      <c r="Z539" s="1" t="s">
        <v>31</v>
      </c>
      <c r="AA539" s="529" t="s">
        <v>7</v>
      </c>
      <c r="AB539" s="163" t="s">
        <v>306</v>
      </c>
      <c r="AC539" s="309"/>
      <c r="AD539" s="168">
        <f t="shared" ref="AD539:AF540" si="201">AD540</f>
        <v>4742.6000000000004</v>
      </c>
      <c r="AE539" s="168">
        <f t="shared" si="201"/>
        <v>4742.6000000000004</v>
      </c>
      <c r="AF539" s="168">
        <f t="shared" si="201"/>
        <v>4739</v>
      </c>
      <c r="AG539" s="575">
        <f t="shared" si="185"/>
        <v>0.99924092270062825</v>
      </c>
      <c r="AH539" s="151"/>
    </row>
    <row r="540" spans="1:34" ht="47.2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R540" s="3"/>
      <c r="S540" s="3"/>
      <c r="W540" s="3"/>
      <c r="X540" s="278" t="s">
        <v>43</v>
      </c>
      <c r="Y540" s="11" t="s">
        <v>6</v>
      </c>
      <c r="Z540" s="1" t="s">
        <v>31</v>
      </c>
      <c r="AA540" s="529" t="s">
        <v>7</v>
      </c>
      <c r="AB540" s="163" t="s">
        <v>306</v>
      </c>
      <c r="AC540" s="311">
        <v>100</v>
      </c>
      <c r="AD540" s="168">
        <f t="shared" si="201"/>
        <v>4742.6000000000004</v>
      </c>
      <c r="AE540" s="168">
        <f t="shared" si="201"/>
        <v>4742.6000000000004</v>
      </c>
      <c r="AF540" s="168">
        <f t="shared" si="201"/>
        <v>4739</v>
      </c>
      <c r="AG540" s="575">
        <f t="shared" si="185"/>
        <v>0.99924092270062825</v>
      </c>
      <c r="AH540" s="151"/>
    </row>
    <row r="541" spans="1:34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R541" s="3"/>
      <c r="S541" s="3"/>
      <c r="W541" s="3"/>
      <c r="X541" s="278" t="s">
        <v>99</v>
      </c>
      <c r="Y541" s="11" t="s">
        <v>6</v>
      </c>
      <c r="Z541" s="1" t="s">
        <v>31</v>
      </c>
      <c r="AA541" s="529" t="s">
        <v>7</v>
      </c>
      <c r="AB541" s="163" t="s">
        <v>306</v>
      </c>
      <c r="AC541" s="309">
        <v>120</v>
      </c>
      <c r="AD541" s="168">
        <f>4707.6-64+99</f>
        <v>4742.6000000000004</v>
      </c>
      <c r="AE541" s="168">
        <f>4707.6-64+99</f>
        <v>4742.6000000000004</v>
      </c>
      <c r="AF541" s="168">
        <v>4739</v>
      </c>
      <c r="AG541" s="575">
        <f t="shared" si="185"/>
        <v>0.99924092270062825</v>
      </c>
      <c r="AH541" s="151"/>
    </row>
    <row r="542" spans="1:34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R542" s="3"/>
      <c r="S542" s="3"/>
      <c r="W542" s="3"/>
      <c r="X542" s="279" t="s">
        <v>97</v>
      </c>
      <c r="Y542" s="199" t="s">
        <v>6</v>
      </c>
      <c r="Z542" s="12" t="s">
        <v>38</v>
      </c>
      <c r="AA542" s="561"/>
      <c r="AB542" s="305"/>
      <c r="AC542" s="310"/>
      <c r="AD542" s="170">
        <f t="shared" ref="AD542:AF548" si="202">AD543</f>
        <v>407.99999999999994</v>
      </c>
      <c r="AE542" s="170">
        <f t="shared" si="202"/>
        <v>407.99999999999994</v>
      </c>
      <c r="AF542" s="170">
        <f t="shared" si="202"/>
        <v>407.9</v>
      </c>
      <c r="AG542" s="574">
        <f t="shared" si="185"/>
        <v>0.99975490196078443</v>
      </c>
      <c r="AH542" s="151"/>
    </row>
    <row r="543" spans="1:34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R543" s="3"/>
      <c r="S543" s="3"/>
      <c r="W543" s="3"/>
      <c r="X543" s="278" t="s">
        <v>58</v>
      </c>
      <c r="Y543" s="11" t="s">
        <v>6</v>
      </c>
      <c r="Z543" s="1">
        <v>10</v>
      </c>
      <c r="AA543" s="529" t="s">
        <v>31</v>
      </c>
      <c r="AB543" s="33"/>
      <c r="AC543" s="314"/>
      <c r="AD543" s="168">
        <f t="shared" si="202"/>
        <v>407.99999999999994</v>
      </c>
      <c r="AE543" s="168">
        <f t="shared" si="202"/>
        <v>407.99999999999994</v>
      </c>
      <c r="AF543" s="168">
        <f t="shared" si="202"/>
        <v>407.9</v>
      </c>
      <c r="AG543" s="575">
        <f t="shared" si="185"/>
        <v>0.99975490196078443</v>
      </c>
      <c r="AH543" s="151"/>
    </row>
    <row r="544" spans="1:34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R544" s="3"/>
      <c r="S544" s="3"/>
      <c r="W544" s="3"/>
      <c r="X544" s="284" t="s">
        <v>309</v>
      </c>
      <c r="Y544" s="11" t="s">
        <v>6</v>
      </c>
      <c r="Z544" s="1">
        <v>10</v>
      </c>
      <c r="AA544" s="529" t="s">
        <v>31</v>
      </c>
      <c r="AB544" s="163" t="s">
        <v>112</v>
      </c>
      <c r="AC544" s="314"/>
      <c r="AD544" s="168">
        <f t="shared" si="202"/>
        <v>407.99999999999994</v>
      </c>
      <c r="AE544" s="168">
        <f t="shared" si="202"/>
        <v>407.99999999999994</v>
      </c>
      <c r="AF544" s="168">
        <f t="shared" si="202"/>
        <v>407.9</v>
      </c>
      <c r="AG544" s="575">
        <f t="shared" si="185"/>
        <v>0.99975490196078443</v>
      </c>
      <c r="AH544" s="151"/>
    </row>
    <row r="545" spans="1:34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R545" s="3"/>
      <c r="S545" s="3"/>
      <c r="W545" s="3"/>
      <c r="X545" s="284" t="s">
        <v>310</v>
      </c>
      <c r="Y545" s="11" t="s">
        <v>6</v>
      </c>
      <c r="Z545" s="1">
        <v>10</v>
      </c>
      <c r="AA545" s="529" t="s">
        <v>31</v>
      </c>
      <c r="AB545" s="163" t="s">
        <v>121</v>
      </c>
      <c r="AC545" s="314"/>
      <c r="AD545" s="168">
        <f t="shared" si="202"/>
        <v>407.99999999999994</v>
      </c>
      <c r="AE545" s="168">
        <f t="shared" si="202"/>
        <v>407.99999999999994</v>
      </c>
      <c r="AF545" s="168">
        <f t="shared" si="202"/>
        <v>407.9</v>
      </c>
      <c r="AG545" s="575">
        <f t="shared" si="185"/>
        <v>0.99975490196078443</v>
      </c>
      <c r="AH545" s="151"/>
    </row>
    <row r="546" spans="1:34" ht="32.450000000000003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R546" s="3"/>
      <c r="S546" s="3"/>
      <c r="W546" s="3"/>
      <c r="X546" s="284" t="s">
        <v>527</v>
      </c>
      <c r="Y546" s="11" t="s">
        <v>6</v>
      </c>
      <c r="Z546" s="1">
        <v>10</v>
      </c>
      <c r="AA546" s="529" t="s">
        <v>31</v>
      </c>
      <c r="AB546" s="163" t="s">
        <v>526</v>
      </c>
      <c r="AC546" s="314"/>
      <c r="AD546" s="168">
        <f t="shared" si="202"/>
        <v>407.99999999999994</v>
      </c>
      <c r="AE546" s="168">
        <f t="shared" si="202"/>
        <v>407.99999999999994</v>
      </c>
      <c r="AF546" s="168">
        <f t="shared" si="202"/>
        <v>407.9</v>
      </c>
      <c r="AG546" s="575">
        <f t="shared" si="185"/>
        <v>0.99975490196078443</v>
      </c>
      <c r="AH546" s="151"/>
    </row>
    <row r="547" spans="1:34" ht="31.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R547" s="3"/>
      <c r="S547" s="3"/>
      <c r="W547" s="3"/>
      <c r="X547" s="282" t="s">
        <v>312</v>
      </c>
      <c r="Y547" s="11" t="s">
        <v>6</v>
      </c>
      <c r="Z547" s="1">
        <v>10</v>
      </c>
      <c r="AA547" s="529" t="s">
        <v>31</v>
      </c>
      <c r="AB547" s="163" t="s">
        <v>525</v>
      </c>
      <c r="AC547" s="314"/>
      <c r="AD547" s="168">
        <f t="shared" si="202"/>
        <v>407.99999999999994</v>
      </c>
      <c r="AE547" s="168">
        <f t="shared" si="202"/>
        <v>407.99999999999994</v>
      </c>
      <c r="AF547" s="168">
        <f t="shared" si="202"/>
        <v>407.9</v>
      </c>
      <c r="AG547" s="575">
        <f t="shared" si="185"/>
        <v>0.99975490196078443</v>
      </c>
      <c r="AH547" s="151"/>
    </row>
    <row r="548" spans="1:34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R548" s="3"/>
      <c r="S548" s="3"/>
      <c r="W548" s="3"/>
      <c r="X548" s="278" t="s">
        <v>100</v>
      </c>
      <c r="Y548" s="11" t="s">
        <v>6</v>
      </c>
      <c r="Z548" s="1">
        <v>10</v>
      </c>
      <c r="AA548" s="529" t="s">
        <v>31</v>
      </c>
      <c r="AB548" s="163" t="s">
        <v>525</v>
      </c>
      <c r="AC548" s="309">
        <v>300</v>
      </c>
      <c r="AD548" s="168">
        <f t="shared" si="202"/>
        <v>407.99999999999994</v>
      </c>
      <c r="AE548" s="168">
        <f t="shared" si="202"/>
        <v>407.99999999999994</v>
      </c>
      <c r="AF548" s="168">
        <f t="shared" si="202"/>
        <v>407.9</v>
      </c>
      <c r="AG548" s="575">
        <f t="shared" si="185"/>
        <v>0.99975490196078443</v>
      </c>
      <c r="AH548" s="151"/>
    </row>
    <row r="549" spans="1:34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R549" s="3"/>
      <c r="S549" s="3"/>
      <c r="W549" s="3"/>
      <c r="X549" s="278" t="s">
        <v>42</v>
      </c>
      <c r="Y549" s="11" t="s">
        <v>6</v>
      </c>
      <c r="Z549" s="1">
        <v>10</v>
      </c>
      <c r="AA549" s="529" t="s">
        <v>31</v>
      </c>
      <c r="AB549" s="163" t="s">
        <v>525</v>
      </c>
      <c r="AC549" s="309">
        <v>320</v>
      </c>
      <c r="AD549" s="168">
        <f>533.8-125.8</f>
        <v>407.99999999999994</v>
      </c>
      <c r="AE549" s="168">
        <f>533.8-125.8</f>
        <v>407.99999999999994</v>
      </c>
      <c r="AF549" s="168">
        <v>407.9</v>
      </c>
      <c r="AG549" s="575">
        <f t="shared" si="185"/>
        <v>0.99975490196078443</v>
      </c>
      <c r="AH549" s="151"/>
    </row>
    <row r="550" spans="1:34" ht="18.75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R550" s="3"/>
      <c r="S550" s="3"/>
      <c r="W550" s="3"/>
      <c r="X550" s="279" t="s">
        <v>453</v>
      </c>
      <c r="Y550" s="199" t="s">
        <v>28</v>
      </c>
      <c r="Z550" s="276"/>
      <c r="AA550" s="563"/>
      <c r="AB550" s="568"/>
      <c r="AC550" s="331"/>
      <c r="AD550" s="170">
        <f>AD551+AD576</f>
        <v>27495.100000000002</v>
      </c>
      <c r="AE550" s="170">
        <f>AE551+AE576</f>
        <v>27654.2</v>
      </c>
      <c r="AF550" s="170">
        <f>AF551+AF576</f>
        <v>27612.6</v>
      </c>
      <c r="AG550" s="574">
        <f t="shared" si="185"/>
        <v>0.99849570770443541</v>
      </c>
      <c r="AH550" s="151"/>
    </row>
    <row r="551" spans="1:34" ht="18.75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R551" s="3"/>
      <c r="S551" s="3"/>
      <c r="W551" s="3"/>
      <c r="X551" s="279" t="s">
        <v>27</v>
      </c>
      <c r="Y551" s="199" t="s">
        <v>28</v>
      </c>
      <c r="Z551" s="23" t="s">
        <v>31</v>
      </c>
      <c r="AA551" s="564"/>
      <c r="AB551" s="348"/>
      <c r="AC551" s="316"/>
      <c r="AD551" s="170">
        <f>AD552</f>
        <v>26845.600000000002</v>
      </c>
      <c r="AE551" s="170">
        <f>AE552</f>
        <v>27004.7</v>
      </c>
      <c r="AF551" s="170">
        <f>AF552</f>
        <v>26963.1</v>
      </c>
      <c r="AG551" s="574">
        <f t="shared" si="185"/>
        <v>0.99845952741559796</v>
      </c>
      <c r="AH551" s="151"/>
    </row>
    <row r="552" spans="1:34" ht="31.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R552" s="3"/>
      <c r="S552" s="3"/>
      <c r="W552" s="3"/>
      <c r="X552" s="278" t="s">
        <v>454</v>
      </c>
      <c r="Y552" s="11" t="s">
        <v>28</v>
      </c>
      <c r="Z552" s="1" t="s">
        <v>31</v>
      </c>
      <c r="AA552" s="529" t="s">
        <v>98</v>
      </c>
      <c r="AB552" s="347"/>
      <c r="AC552" s="309"/>
      <c r="AD552" s="168">
        <f>AD553</f>
        <v>26845.600000000002</v>
      </c>
      <c r="AE552" s="168">
        <f>AE553+AE572</f>
        <v>27004.7</v>
      </c>
      <c r="AF552" s="168">
        <f t="shared" ref="AF552" si="203">AF553</f>
        <v>26963.1</v>
      </c>
      <c r="AG552" s="575">
        <f t="shared" si="185"/>
        <v>0.99845952741559796</v>
      </c>
      <c r="AH552" s="151"/>
    </row>
    <row r="553" spans="1:34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R553" s="3"/>
      <c r="S553" s="3"/>
      <c r="W553" s="3"/>
      <c r="X553" s="284" t="s">
        <v>193</v>
      </c>
      <c r="Y553" s="11" t="s">
        <v>28</v>
      </c>
      <c r="Z553" s="1" t="s">
        <v>31</v>
      </c>
      <c r="AA553" s="529" t="s">
        <v>98</v>
      </c>
      <c r="AB553" s="163" t="s">
        <v>115</v>
      </c>
      <c r="AC553" s="309"/>
      <c r="AD553" s="168">
        <f>AD554</f>
        <v>26845.600000000002</v>
      </c>
      <c r="AE553" s="168">
        <f>AE554</f>
        <v>26845.600000000002</v>
      </c>
      <c r="AF553" s="168">
        <f>AF554+AF572</f>
        <v>26963.1</v>
      </c>
      <c r="AG553" s="575">
        <f t="shared" si="185"/>
        <v>1.0043768811276335</v>
      </c>
      <c r="AH553" s="151"/>
    </row>
    <row r="554" spans="1:34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R554" s="3"/>
      <c r="S554" s="3"/>
      <c r="W554" s="3"/>
      <c r="X554" s="284" t="s">
        <v>198</v>
      </c>
      <c r="Y554" s="11" t="s">
        <v>28</v>
      </c>
      <c r="Z554" s="1" t="s">
        <v>31</v>
      </c>
      <c r="AA554" s="529" t="s">
        <v>98</v>
      </c>
      <c r="AB554" s="163" t="s">
        <v>199</v>
      </c>
      <c r="AC554" s="309"/>
      <c r="AD554" s="168">
        <f>AD555+AD568</f>
        <v>26845.600000000002</v>
      </c>
      <c r="AE554" s="168">
        <f>AE555+AE568</f>
        <v>26845.600000000002</v>
      </c>
      <c r="AF554" s="168">
        <f t="shared" ref="AF554" si="204">AF555+AF568</f>
        <v>26804</v>
      </c>
      <c r="AG554" s="575">
        <f t="shared" si="185"/>
        <v>0.99845039783055689</v>
      </c>
      <c r="AH554" s="151"/>
    </row>
    <row r="555" spans="1:34" ht="31.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R555" s="3"/>
      <c r="S555" s="3"/>
      <c r="W555" s="3"/>
      <c r="X555" s="284" t="s">
        <v>200</v>
      </c>
      <c r="Y555" s="11" t="s">
        <v>28</v>
      </c>
      <c r="Z555" s="1" t="s">
        <v>31</v>
      </c>
      <c r="AA555" s="529" t="s">
        <v>98</v>
      </c>
      <c r="AB555" s="163" t="s">
        <v>201</v>
      </c>
      <c r="AC555" s="309"/>
      <c r="AD555" s="168">
        <f t="shared" ref="AD555:AF555" si="205">AD556</f>
        <v>26770.9</v>
      </c>
      <c r="AE555" s="168">
        <f t="shared" si="205"/>
        <v>26770.9</v>
      </c>
      <c r="AF555" s="168">
        <f t="shared" si="205"/>
        <v>26729.3</v>
      </c>
      <c r="AG555" s="575">
        <f t="shared" si="185"/>
        <v>0.99844607390860962</v>
      </c>
      <c r="AH555" s="151"/>
    </row>
    <row r="556" spans="1:34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R556" s="3"/>
      <c r="S556" s="3"/>
      <c r="W556" s="3"/>
      <c r="X556" s="283" t="s">
        <v>218</v>
      </c>
      <c r="Y556" s="11" t="s">
        <v>28</v>
      </c>
      <c r="Z556" s="1" t="s">
        <v>31</v>
      </c>
      <c r="AA556" s="529" t="s">
        <v>98</v>
      </c>
      <c r="AB556" s="306" t="s">
        <v>219</v>
      </c>
      <c r="AC556" s="309"/>
      <c r="AD556" s="168">
        <f>AD557+AD562+AD565</f>
        <v>26770.9</v>
      </c>
      <c r="AE556" s="168">
        <f>AE557+AE562+AE565</f>
        <v>26770.9</v>
      </c>
      <c r="AF556" s="168">
        <f>AF557+AF562+AF565</f>
        <v>26729.3</v>
      </c>
      <c r="AG556" s="575">
        <f t="shared" si="185"/>
        <v>0.99844607390860962</v>
      </c>
      <c r="AH556" s="151"/>
    </row>
    <row r="557" spans="1:34" ht="31.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R557" s="3"/>
      <c r="S557" s="3"/>
      <c r="W557" s="3"/>
      <c r="X557" s="278" t="s">
        <v>220</v>
      </c>
      <c r="Y557" s="11" t="s">
        <v>28</v>
      </c>
      <c r="Z557" s="1" t="s">
        <v>31</v>
      </c>
      <c r="AA557" s="529" t="s">
        <v>98</v>
      </c>
      <c r="AB557" s="306" t="s">
        <v>221</v>
      </c>
      <c r="AC557" s="309"/>
      <c r="AD557" s="168">
        <f>AD558+AD560</f>
        <v>2533.9</v>
      </c>
      <c r="AE557" s="168">
        <f>AE558+AE560</f>
        <v>2533.9</v>
      </c>
      <c r="AF557" s="168">
        <f>AF558+AF560</f>
        <v>2492.5</v>
      </c>
      <c r="AG557" s="575">
        <f t="shared" ref="AG557:AG616" si="206">AF557/AE557</f>
        <v>0.98366154939026795</v>
      </c>
      <c r="AH557" s="151"/>
    </row>
    <row r="558" spans="1:34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R558" s="3"/>
      <c r="S558" s="3"/>
      <c r="W558" s="3"/>
      <c r="X558" s="278" t="s">
        <v>123</v>
      </c>
      <c r="Y558" s="11" t="s">
        <v>28</v>
      </c>
      <c r="Z558" s="1" t="s">
        <v>31</v>
      </c>
      <c r="AA558" s="529" t="s">
        <v>98</v>
      </c>
      <c r="AB558" s="306" t="s">
        <v>221</v>
      </c>
      <c r="AC558" s="309">
        <v>200</v>
      </c>
      <c r="AD558" s="168">
        <f>AD559</f>
        <v>2532.6</v>
      </c>
      <c r="AE558" s="168">
        <f>AE559</f>
        <v>2532.6</v>
      </c>
      <c r="AF558" s="168">
        <f>AF559</f>
        <v>2491.1999999999998</v>
      </c>
      <c r="AG558" s="575">
        <f t="shared" si="206"/>
        <v>0.98365316275764036</v>
      </c>
      <c r="AH558" s="151"/>
    </row>
    <row r="559" spans="1:34" ht="31.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R559" s="3"/>
      <c r="S559" s="3"/>
      <c r="W559" s="3"/>
      <c r="X559" s="278" t="s">
        <v>54</v>
      </c>
      <c r="Y559" s="11" t="s">
        <v>28</v>
      </c>
      <c r="Z559" s="1" t="s">
        <v>31</v>
      </c>
      <c r="AA559" s="529" t="s">
        <v>98</v>
      </c>
      <c r="AB559" s="306" t="s">
        <v>221</v>
      </c>
      <c r="AC559" s="309">
        <v>240</v>
      </c>
      <c r="AD559" s="168">
        <f>3279.7+32-0.5-24.1-0.8-50.6-703.1</f>
        <v>2532.6</v>
      </c>
      <c r="AE559" s="168">
        <f>3279.7+32-0.5-24.1-0.8-50.6-703.1</f>
        <v>2532.6</v>
      </c>
      <c r="AF559" s="168">
        <v>2491.1999999999998</v>
      </c>
      <c r="AG559" s="575">
        <f t="shared" si="206"/>
        <v>0.98365316275764036</v>
      </c>
      <c r="AH559" s="151"/>
    </row>
    <row r="560" spans="1:34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R560" s="3"/>
      <c r="S560" s="3"/>
      <c r="W560" s="3"/>
      <c r="X560" s="278" t="s">
        <v>44</v>
      </c>
      <c r="Y560" s="11" t="s">
        <v>28</v>
      </c>
      <c r="Z560" s="1" t="s">
        <v>31</v>
      </c>
      <c r="AA560" s="529" t="s">
        <v>98</v>
      </c>
      <c r="AB560" s="306" t="s">
        <v>221</v>
      </c>
      <c r="AC560" s="309">
        <v>800</v>
      </c>
      <c r="AD560" s="168">
        <f>AD561</f>
        <v>1.3</v>
      </c>
      <c r="AE560" s="168">
        <f>AE561</f>
        <v>1.3</v>
      </c>
      <c r="AF560" s="168">
        <f t="shared" ref="AF560" si="207">AF561</f>
        <v>1.3</v>
      </c>
      <c r="AG560" s="575">
        <f t="shared" si="206"/>
        <v>1</v>
      </c>
      <c r="AH560" s="151"/>
    </row>
    <row r="561" spans="1:3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R561" s="3"/>
      <c r="S561" s="3"/>
      <c r="W561" s="3"/>
      <c r="X561" s="278" t="s">
        <v>60</v>
      </c>
      <c r="Y561" s="11" t="s">
        <v>28</v>
      </c>
      <c r="Z561" s="1" t="s">
        <v>31</v>
      </c>
      <c r="AA561" s="529" t="s">
        <v>98</v>
      </c>
      <c r="AB561" s="306" t="s">
        <v>221</v>
      </c>
      <c r="AC561" s="309">
        <v>850</v>
      </c>
      <c r="AD561" s="168">
        <f>0.5+0.8</f>
        <v>1.3</v>
      </c>
      <c r="AE561" s="168">
        <f>0.5+0.8</f>
        <v>1.3</v>
      </c>
      <c r="AF561" s="168">
        <v>1.3</v>
      </c>
      <c r="AG561" s="575">
        <f t="shared" si="206"/>
        <v>1</v>
      </c>
      <c r="AH561" s="151"/>
    </row>
    <row r="562" spans="1:35" ht="31.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R562" s="3"/>
      <c r="S562" s="3"/>
      <c r="W562" s="3"/>
      <c r="X562" s="278" t="s">
        <v>225</v>
      </c>
      <c r="Y562" s="11" t="s">
        <v>28</v>
      </c>
      <c r="Z562" s="1" t="s">
        <v>31</v>
      </c>
      <c r="AA562" s="529" t="s">
        <v>98</v>
      </c>
      <c r="AB562" s="33" t="str">
        <f>AB563</f>
        <v>12 5 01 00162</v>
      </c>
      <c r="AC562" s="309"/>
      <c r="AD562" s="168">
        <f>AD564</f>
        <v>15308.6</v>
      </c>
      <c r="AE562" s="168">
        <f>AE564</f>
        <v>15308.6</v>
      </c>
      <c r="AF562" s="168">
        <f>AF564</f>
        <v>15308.5</v>
      </c>
      <c r="AG562" s="575">
        <f t="shared" si="206"/>
        <v>0.99999346772402442</v>
      </c>
      <c r="AH562" s="151"/>
    </row>
    <row r="563" spans="1:35" ht="47.2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R563" s="3"/>
      <c r="S563" s="3"/>
      <c r="W563" s="3"/>
      <c r="X563" s="278" t="s">
        <v>43</v>
      </c>
      <c r="Y563" s="11" t="s">
        <v>28</v>
      </c>
      <c r="Z563" s="1" t="s">
        <v>31</v>
      </c>
      <c r="AA563" s="529" t="s">
        <v>98</v>
      </c>
      <c r="AB563" s="33" t="str">
        <f>AB564</f>
        <v>12 5 01 00162</v>
      </c>
      <c r="AC563" s="309">
        <v>100</v>
      </c>
      <c r="AD563" s="168">
        <f>AD564</f>
        <v>15308.6</v>
      </c>
      <c r="AE563" s="168">
        <f>AE564</f>
        <v>15308.6</v>
      </c>
      <c r="AF563" s="168">
        <f>AF564</f>
        <v>15308.5</v>
      </c>
      <c r="AG563" s="575">
        <f t="shared" si="206"/>
        <v>0.99999346772402442</v>
      </c>
      <c r="AH563" s="151"/>
    </row>
    <row r="564" spans="1:3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R564" s="3"/>
      <c r="S564" s="3"/>
      <c r="W564" s="3"/>
      <c r="X564" s="278" t="s">
        <v>99</v>
      </c>
      <c r="Y564" s="11" t="s">
        <v>28</v>
      </c>
      <c r="Z564" s="1" t="s">
        <v>31</v>
      </c>
      <c r="AA564" s="529" t="s">
        <v>98</v>
      </c>
      <c r="AB564" s="306" t="s">
        <v>222</v>
      </c>
      <c r="AC564" s="309">
        <v>120</v>
      </c>
      <c r="AD564" s="168">
        <f>13550.9+807.6+703.1+189.7+57.3</f>
        <v>15308.6</v>
      </c>
      <c r="AE564" s="168">
        <f>13550.9+807.6+703.1+189.7+57.3</f>
        <v>15308.6</v>
      </c>
      <c r="AF564" s="168">
        <v>15308.5</v>
      </c>
      <c r="AG564" s="575">
        <f t="shared" si="206"/>
        <v>0.99999346772402442</v>
      </c>
      <c r="AH564" s="151"/>
    </row>
    <row r="565" spans="1:35" ht="31.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R565" s="3"/>
      <c r="S565" s="3"/>
      <c r="W565" s="3"/>
      <c r="X565" s="278" t="s">
        <v>224</v>
      </c>
      <c r="Y565" s="11" t="s">
        <v>28</v>
      </c>
      <c r="Z565" s="1" t="s">
        <v>31</v>
      </c>
      <c r="AA565" s="529" t="s">
        <v>98</v>
      </c>
      <c r="AB565" s="33" t="str">
        <f>AB566</f>
        <v>12 5 01 00163</v>
      </c>
      <c r="AC565" s="309"/>
      <c r="AD565" s="168">
        <f>AD567</f>
        <v>8928.4000000000015</v>
      </c>
      <c r="AE565" s="168">
        <f>AE567</f>
        <v>8928.4000000000015</v>
      </c>
      <c r="AF565" s="168">
        <f>AF567</f>
        <v>8928.2999999999993</v>
      </c>
      <c r="AG565" s="575">
        <f t="shared" si="206"/>
        <v>0.99998879978495558</v>
      </c>
      <c r="AH565" s="151"/>
    </row>
    <row r="566" spans="1:35" ht="47.2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R566" s="3"/>
      <c r="S566" s="3"/>
      <c r="W566" s="3"/>
      <c r="X566" s="278" t="s">
        <v>43</v>
      </c>
      <c r="Y566" s="11" t="s">
        <v>28</v>
      </c>
      <c r="Z566" s="1" t="s">
        <v>31</v>
      </c>
      <c r="AA566" s="529" t="s">
        <v>98</v>
      </c>
      <c r="AB566" s="33" t="str">
        <f>AB567</f>
        <v>12 5 01 00163</v>
      </c>
      <c r="AC566" s="309">
        <v>100</v>
      </c>
      <c r="AD566" s="168">
        <f>AD567</f>
        <v>8928.4000000000015</v>
      </c>
      <c r="AE566" s="168">
        <f>AE567</f>
        <v>8928.4000000000015</v>
      </c>
      <c r="AF566" s="168">
        <f>AF567</f>
        <v>8928.2999999999993</v>
      </c>
      <c r="AG566" s="575">
        <f t="shared" si="206"/>
        <v>0.99998879978495558</v>
      </c>
      <c r="AH566" s="151"/>
    </row>
    <row r="567" spans="1:3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R567" s="3"/>
      <c r="S567" s="3"/>
      <c r="W567" s="3"/>
      <c r="X567" s="278" t="s">
        <v>99</v>
      </c>
      <c r="Y567" s="11" t="s">
        <v>28</v>
      </c>
      <c r="Z567" s="1" t="s">
        <v>31</v>
      </c>
      <c r="AA567" s="529" t="s">
        <v>98</v>
      </c>
      <c r="AB567" s="306" t="s">
        <v>223</v>
      </c>
      <c r="AC567" s="309">
        <v>120</v>
      </c>
      <c r="AD567" s="168">
        <f>8625.2-120.8+424</f>
        <v>8928.4000000000015</v>
      </c>
      <c r="AE567" s="168">
        <f>8625.2-120.8+424</f>
        <v>8928.4000000000015</v>
      </c>
      <c r="AF567" s="168">
        <v>8928.2999999999993</v>
      </c>
      <c r="AG567" s="575">
        <f t="shared" si="206"/>
        <v>0.99998879978495558</v>
      </c>
      <c r="AH567" s="151"/>
    </row>
    <row r="568" spans="1:35" ht="31.5" x14ac:dyDescent="0.25">
      <c r="A568" s="97"/>
      <c r="B568" s="55"/>
      <c r="C568" s="86"/>
      <c r="D568" s="86"/>
      <c r="E568" s="86"/>
      <c r="F568" s="86"/>
      <c r="G568" s="88"/>
      <c r="H568" s="47"/>
      <c r="I568" s="98"/>
      <c r="J568" s="98"/>
      <c r="K568" s="98"/>
      <c r="L568" s="80"/>
      <c r="M568" s="98"/>
      <c r="N568" s="80"/>
      <c r="O568" s="99"/>
      <c r="P568" s="88"/>
      <c r="Q568" s="90"/>
      <c r="R568" s="94"/>
      <c r="S568" s="94"/>
      <c r="T568" s="94"/>
      <c r="U568" s="94"/>
      <c r="V568" s="94"/>
      <c r="X568" s="278" t="s">
        <v>615</v>
      </c>
      <c r="Y568" s="11" t="s">
        <v>28</v>
      </c>
      <c r="Z568" s="1" t="s">
        <v>31</v>
      </c>
      <c r="AA568" s="529" t="s">
        <v>98</v>
      </c>
      <c r="AB568" s="306" t="s">
        <v>616</v>
      </c>
      <c r="AC568" s="309"/>
      <c r="AD568" s="168">
        <f t="shared" ref="AD568:AE570" si="208">AD569</f>
        <v>74.7</v>
      </c>
      <c r="AE568" s="168">
        <f t="shared" si="208"/>
        <v>74.7</v>
      </c>
      <c r="AF568" s="168">
        <f t="shared" ref="AF568:AF570" si="209">AF569</f>
        <v>74.7</v>
      </c>
      <c r="AG568" s="575">
        <f t="shared" si="206"/>
        <v>1</v>
      </c>
      <c r="AH568" s="194"/>
      <c r="AI568" s="156"/>
    </row>
    <row r="569" spans="1:35" ht="78.75" x14ac:dyDescent="0.25">
      <c r="A569" s="97"/>
      <c r="B569" s="55"/>
      <c r="C569" s="86"/>
      <c r="D569" s="86"/>
      <c r="E569" s="86"/>
      <c r="F569" s="86"/>
      <c r="G569" s="88"/>
      <c r="H569" s="47"/>
      <c r="I569" s="98"/>
      <c r="J569" s="98"/>
      <c r="K569" s="98"/>
      <c r="L569" s="80"/>
      <c r="M569" s="98"/>
      <c r="N569" s="80"/>
      <c r="O569" s="99"/>
      <c r="P569" s="88"/>
      <c r="Q569" s="90"/>
      <c r="R569" s="94"/>
      <c r="S569" s="94"/>
      <c r="T569" s="94"/>
      <c r="U569" s="94"/>
      <c r="V569" s="94"/>
      <c r="X569" s="278" t="s">
        <v>449</v>
      </c>
      <c r="Y569" s="11" t="s">
        <v>28</v>
      </c>
      <c r="Z569" s="1" t="s">
        <v>31</v>
      </c>
      <c r="AA569" s="529" t="s">
        <v>98</v>
      </c>
      <c r="AB569" s="163" t="s">
        <v>617</v>
      </c>
      <c r="AC569" s="309"/>
      <c r="AD569" s="168">
        <f t="shared" si="208"/>
        <v>74.7</v>
      </c>
      <c r="AE569" s="168">
        <f t="shared" si="208"/>
        <v>74.7</v>
      </c>
      <c r="AF569" s="168">
        <f t="shared" si="209"/>
        <v>74.7</v>
      </c>
      <c r="AG569" s="575">
        <f t="shared" si="206"/>
        <v>1</v>
      </c>
      <c r="AH569" s="194"/>
      <c r="AI569" s="156"/>
    </row>
    <row r="570" spans="1:35" x14ac:dyDescent="0.25">
      <c r="A570" s="97"/>
      <c r="B570" s="55"/>
      <c r="C570" s="86"/>
      <c r="D570" s="86"/>
      <c r="E570" s="86"/>
      <c r="F570" s="86"/>
      <c r="G570" s="88"/>
      <c r="H570" s="47"/>
      <c r="I570" s="98"/>
      <c r="J570" s="98"/>
      <c r="K570" s="98"/>
      <c r="L570" s="80"/>
      <c r="M570" s="98"/>
      <c r="N570" s="80"/>
      <c r="O570" s="99"/>
      <c r="P570" s="88"/>
      <c r="Q570" s="90"/>
      <c r="R570" s="94"/>
      <c r="S570" s="94"/>
      <c r="T570" s="94"/>
      <c r="U570" s="94"/>
      <c r="V570" s="94"/>
      <c r="X570" s="278" t="s">
        <v>123</v>
      </c>
      <c r="Y570" s="11" t="s">
        <v>28</v>
      </c>
      <c r="Z570" s="1" t="s">
        <v>31</v>
      </c>
      <c r="AA570" s="529" t="s">
        <v>98</v>
      </c>
      <c r="AB570" s="163" t="s">
        <v>617</v>
      </c>
      <c r="AC570" s="309">
        <v>200</v>
      </c>
      <c r="AD570" s="168">
        <f t="shared" si="208"/>
        <v>74.7</v>
      </c>
      <c r="AE570" s="168">
        <f t="shared" si="208"/>
        <v>74.7</v>
      </c>
      <c r="AF570" s="168">
        <f t="shared" si="209"/>
        <v>74.7</v>
      </c>
      <c r="AG570" s="575">
        <f t="shared" si="206"/>
        <v>1</v>
      </c>
      <c r="AH570" s="194"/>
      <c r="AI570" s="156"/>
    </row>
    <row r="571" spans="1:35" ht="31.5" x14ac:dyDescent="0.25">
      <c r="A571" s="97"/>
      <c r="B571" s="55"/>
      <c r="C571" s="86"/>
      <c r="D571" s="86"/>
      <c r="E571" s="86"/>
      <c r="F571" s="86"/>
      <c r="G571" s="88"/>
      <c r="H571" s="47"/>
      <c r="I571" s="98"/>
      <c r="J571" s="98"/>
      <c r="K571" s="98"/>
      <c r="L571" s="80"/>
      <c r="M571" s="98"/>
      <c r="N571" s="80"/>
      <c r="O571" s="99"/>
      <c r="P571" s="88"/>
      <c r="Q571" s="90"/>
      <c r="R571" s="94"/>
      <c r="S571" s="94"/>
      <c r="T571" s="94"/>
      <c r="U571" s="94"/>
      <c r="V571" s="94"/>
      <c r="X571" s="278" t="s">
        <v>54</v>
      </c>
      <c r="Y571" s="11" t="s">
        <v>28</v>
      </c>
      <c r="Z571" s="1" t="s">
        <v>31</v>
      </c>
      <c r="AA571" s="529" t="s">
        <v>98</v>
      </c>
      <c r="AB571" s="163" t="s">
        <v>617</v>
      </c>
      <c r="AC571" s="309">
        <v>240</v>
      </c>
      <c r="AD571" s="168">
        <f>24.1+50.6</f>
        <v>74.7</v>
      </c>
      <c r="AE571" s="168">
        <f>24.1+50.6</f>
        <v>74.7</v>
      </c>
      <c r="AF571" s="168">
        <v>74.7</v>
      </c>
      <c r="AG571" s="575">
        <f t="shared" si="206"/>
        <v>1</v>
      </c>
      <c r="AH571" s="194"/>
      <c r="AI571" s="156"/>
    </row>
    <row r="572" spans="1:35" x14ac:dyDescent="0.25">
      <c r="A572" s="97"/>
      <c r="B572" s="55"/>
      <c r="C572" s="86"/>
      <c r="D572" s="86"/>
      <c r="E572" s="86"/>
      <c r="F572" s="86"/>
      <c r="G572" s="88"/>
      <c r="H572" s="47"/>
      <c r="I572" s="98"/>
      <c r="J572" s="98"/>
      <c r="K572" s="98"/>
      <c r="L572" s="80"/>
      <c r="M572" s="98"/>
      <c r="N572" s="80"/>
      <c r="O572" s="99"/>
      <c r="P572" s="88"/>
      <c r="Q572" s="90"/>
      <c r="R572" s="94"/>
      <c r="S572" s="94"/>
      <c r="T572" s="94"/>
      <c r="U572" s="94"/>
      <c r="V572" s="94"/>
      <c r="X572" s="437" t="s">
        <v>354</v>
      </c>
      <c r="Y572" s="199" t="s">
        <v>28</v>
      </c>
      <c r="Z572" s="12" t="s">
        <v>31</v>
      </c>
      <c r="AA572" s="557" t="s">
        <v>98</v>
      </c>
      <c r="AB572" s="446" t="s">
        <v>140</v>
      </c>
      <c r="AC572" s="528"/>
      <c r="AD572" s="170">
        <f t="shared" ref="AD572:AF574" si="210">AD573</f>
        <v>0</v>
      </c>
      <c r="AE572" s="170">
        <f t="shared" si="210"/>
        <v>159.1</v>
      </c>
      <c r="AF572" s="170">
        <f t="shared" si="210"/>
        <v>159.1</v>
      </c>
      <c r="AG572" s="575">
        <f t="shared" si="206"/>
        <v>1</v>
      </c>
      <c r="AH572" s="194"/>
      <c r="AI572" s="156"/>
    </row>
    <row r="573" spans="1:35" ht="31.5" x14ac:dyDescent="0.25">
      <c r="A573" s="97"/>
      <c r="B573" s="55"/>
      <c r="C573" s="86"/>
      <c r="D573" s="86"/>
      <c r="E573" s="86"/>
      <c r="F573" s="86"/>
      <c r="G573" s="88"/>
      <c r="H573" s="47"/>
      <c r="I573" s="98"/>
      <c r="J573" s="98"/>
      <c r="K573" s="98"/>
      <c r="L573" s="80"/>
      <c r="M573" s="98"/>
      <c r="N573" s="80"/>
      <c r="O573" s="99"/>
      <c r="P573" s="88"/>
      <c r="Q573" s="90"/>
      <c r="R573" s="94"/>
      <c r="S573" s="94"/>
      <c r="T573" s="94"/>
      <c r="U573" s="94"/>
      <c r="V573" s="94"/>
      <c r="X573" s="284" t="s">
        <v>798</v>
      </c>
      <c r="Y573" s="11" t="s">
        <v>28</v>
      </c>
      <c r="Z573" s="1" t="s">
        <v>31</v>
      </c>
      <c r="AA573" s="529" t="s">
        <v>98</v>
      </c>
      <c r="AB573" s="163" t="s">
        <v>799</v>
      </c>
      <c r="AC573" s="322"/>
      <c r="AD573" s="168">
        <f t="shared" si="210"/>
        <v>0</v>
      </c>
      <c r="AE573" s="168">
        <f t="shared" si="210"/>
        <v>159.1</v>
      </c>
      <c r="AF573" s="168">
        <f t="shared" si="210"/>
        <v>159.1</v>
      </c>
      <c r="AG573" s="575">
        <f t="shared" si="206"/>
        <v>1</v>
      </c>
      <c r="AH573" s="194"/>
      <c r="AI573" s="156"/>
    </row>
    <row r="574" spans="1:35" ht="47.25" x14ac:dyDescent="0.25">
      <c r="A574" s="97"/>
      <c r="B574" s="55"/>
      <c r="C574" s="86"/>
      <c r="D574" s="86"/>
      <c r="E574" s="86"/>
      <c r="F574" s="86"/>
      <c r="G574" s="88"/>
      <c r="H574" s="47"/>
      <c r="I574" s="98"/>
      <c r="J574" s="98"/>
      <c r="K574" s="98"/>
      <c r="L574" s="80"/>
      <c r="M574" s="98"/>
      <c r="N574" s="80"/>
      <c r="O574" s="99"/>
      <c r="P574" s="88"/>
      <c r="Q574" s="90"/>
      <c r="R574" s="94"/>
      <c r="S574" s="94"/>
      <c r="T574" s="94"/>
      <c r="U574" s="94"/>
      <c r="V574" s="94"/>
      <c r="X574" s="278" t="s">
        <v>43</v>
      </c>
      <c r="Y574" s="11" t="s">
        <v>28</v>
      </c>
      <c r="Z574" s="1" t="s">
        <v>31</v>
      </c>
      <c r="AA574" s="529" t="s">
        <v>98</v>
      </c>
      <c r="AB574" s="163" t="s">
        <v>799</v>
      </c>
      <c r="AC574" s="311">
        <v>100</v>
      </c>
      <c r="AD574" s="168">
        <f t="shared" si="210"/>
        <v>0</v>
      </c>
      <c r="AE574" s="168">
        <f t="shared" si="210"/>
        <v>159.1</v>
      </c>
      <c r="AF574" s="168">
        <f t="shared" si="210"/>
        <v>159.1</v>
      </c>
      <c r="AG574" s="575">
        <f t="shared" si="206"/>
        <v>1</v>
      </c>
      <c r="AH574" s="194"/>
      <c r="AI574" s="156"/>
    </row>
    <row r="575" spans="1:35" x14ac:dyDescent="0.25">
      <c r="A575" s="97"/>
      <c r="B575" s="55"/>
      <c r="C575" s="86"/>
      <c r="D575" s="86"/>
      <c r="E575" s="86"/>
      <c r="F575" s="86"/>
      <c r="G575" s="88"/>
      <c r="H575" s="47"/>
      <c r="I575" s="98"/>
      <c r="J575" s="98"/>
      <c r="K575" s="98"/>
      <c r="L575" s="80"/>
      <c r="M575" s="98"/>
      <c r="N575" s="80"/>
      <c r="O575" s="99"/>
      <c r="P575" s="88"/>
      <c r="Q575" s="90"/>
      <c r="R575" s="94"/>
      <c r="S575" s="94"/>
      <c r="T575" s="94"/>
      <c r="U575" s="94"/>
      <c r="V575" s="94"/>
      <c r="X575" s="278" t="s">
        <v>99</v>
      </c>
      <c r="Y575" s="11" t="s">
        <v>28</v>
      </c>
      <c r="Z575" s="1" t="s">
        <v>31</v>
      </c>
      <c r="AA575" s="529" t="s">
        <v>98</v>
      </c>
      <c r="AB575" s="163" t="s">
        <v>799</v>
      </c>
      <c r="AC575" s="311">
        <v>120</v>
      </c>
      <c r="AD575" s="168">
        <v>0</v>
      </c>
      <c r="AE575" s="168">
        <v>159.1</v>
      </c>
      <c r="AF575" s="168">
        <v>159.1</v>
      </c>
      <c r="AG575" s="575">
        <f t="shared" si="206"/>
        <v>1</v>
      </c>
      <c r="AH575" s="194"/>
      <c r="AI575" s="156"/>
    </row>
    <row r="576" spans="1:3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R576" s="3"/>
      <c r="S576" s="3"/>
      <c r="W576" s="3"/>
      <c r="X576" s="279" t="s">
        <v>97</v>
      </c>
      <c r="Y576" s="199" t="s">
        <v>28</v>
      </c>
      <c r="Z576" s="12" t="s">
        <v>38</v>
      </c>
      <c r="AA576" s="561"/>
      <c r="AB576" s="305"/>
      <c r="AC576" s="310"/>
      <c r="AD576" s="170">
        <f t="shared" ref="AD576:AF582" si="211">AD577</f>
        <v>649.5</v>
      </c>
      <c r="AE576" s="170">
        <f t="shared" si="211"/>
        <v>649.5</v>
      </c>
      <c r="AF576" s="170">
        <f t="shared" si="211"/>
        <v>649.5</v>
      </c>
      <c r="AG576" s="574">
        <f t="shared" si="206"/>
        <v>1</v>
      </c>
      <c r="AH576" s="151"/>
    </row>
    <row r="577" spans="1:34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R577" s="3"/>
      <c r="S577" s="3"/>
      <c r="W577" s="3"/>
      <c r="X577" s="278" t="s">
        <v>58</v>
      </c>
      <c r="Y577" s="11" t="s">
        <v>28</v>
      </c>
      <c r="Z577" s="1">
        <v>10</v>
      </c>
      <c r="AA577" s="529" t="s">
        <v>31</v>
      </c>
      <c r="AB577" s="33"/>
      <c r="AC577" s="314"/>
      <c r="AD577" s="168">
        <f t="shared" si="211"/>
        <v>649.5</v>
      </c>
      <c r="AE577" s="168">
        <f t="shared" si="211"/>
        <v>649.5</v>
      </c>
      <c r="AF577" s="168">
        <f t="shared" si="211"/>
        <v>649.5</v>
      </c>
      <c r="AG577" s="575">
        <f t="shared" si="206"/>
        <v>1</v>
      </c>
      <c r="AH577" s="151"/>
    </row>
    <row r="578" spans="1:34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R578" s="3"/>
      <c r="S578" s="3"/>
      <c r="W578" s="3"/>
      <c r="X578" s="284" t="s">
        <v>309</v>
      </c>
      <c r="Y578" s="11" t="s">
        <v>28</v>
      </c>
      <c r="Z578" s="1">
        <v>10</v>
      </c>
      <c r="AA578" s="529" t="s">
        <v>31</v>
      </c>
      <c r="AB578" s="163" t="s">
        <v>112</v>
      </c>
      <c r="AC578" s="314"/>
      <c r="AD578" s="168">
        <f t="shared" si="211"/>
        <v>649.5</v>
      </c>
      <c r="AE578" s="168">
        <f t="shared" si="211"/>
        <v>649.5</v>
      </c>
      <c r="AF578" s="168">
        <f t="shared" si="211"/>
        <v>649.5</v>
      </c>
      <c r="AG578" s="575">
        <f t="shared" si="206"/>
        <v>1</v>
      </c>
      <c r="AH578" s="151"/>
    </row>
    <row r="579" spans="1:34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R579" s="3"/>
      <c r="S579" s="3"/>
      <c r="W579" s="3"/>
      <c r="X579" s="284" t="s">
        <v>310</v>
      </c>
      <c r="Y579" s="11" t="s">
        <v>28</v>
      </c>
      <c r="Z579" s="1">
        <v>10</v>
      </c>
      <c r="AA579" s="529" t="s">
        <v>31</v>
      </c>
      <c r="AB579" s="163" t="s">
        <v>121</v>
      </c>
      <c r="AC579" s="314"/>
      <c r="AD579" s="168">
        <f t="shared" si="211"/>
        <v>649.5</v>
      </c>
      <c r="AE579" s="168">
        <f t="shared" si="211"/>
        <v>649.5</v>
      </c>
      <c r="AF579" s="168">
        <f t="shared" si="211"/>
        <v>649.5</v>
      </c>
      <c r="AG579" s="575">
        <f t="shared" si="206"/>
        <v>1</v>
      </c>
      <c r="AH579" s="151"/>
    </row>
    <row r="580" spans="1:34" ht="34.9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R580" s="3"/>
      <c r="S580" s="3"/>
      <c r="W580" s="3"/>
      <c r="X580" s="284" t="s">
        <v>527</v>
      </c>
      <c r="Y580" s="11" t="s">
        <v>28</v>
      </c>
      <c r="Z580" s="1">
        <v>10</v>
      </c>
      <c r="AA580" s="529" t="s">
        <v>31</v>
      </c>
      <c r="AB580" s="163" t="s">
        <v>526</v>
      </c>
      <c r="AC580" s="314"/>
      <c r="AD580" s="168">
        <f t="shared" si="211"/>
        <v>649.5</v>
      </c>
      <c r="AE580" s="168">
        <f t="shared" si="211"/>
        <v>649.5</v>
      </c>
      <c r="AF580" s="168">
        <f t="shared" si="211"/>
        <v>649.5</v>
      </c>
      <c r="AG580" s="575">
        <f t="shared" si="206"/>
        <v>1</v>
      </c>
      <c r="AH580" s="151"/>
    </row>
    <row r="581" spans="1:34" ht="31.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R581" s="3"/>
      <c r="S581" s="3"/>
      <c r="W581" s="3"/>
      <c r="X581" s="282" t="s">
        <v>312</v>
      </c>
      <c r="Y581" s="11" t="s">
        <v>28</v>
      </c>
      <c r="Z581" s="1">
        <v>10</v>
      </c>
      <c r="AA581" s="529" t="s">
        <v>31</v>
      </c>
      <c r="AB581" s="163" t="s">
        <v>525</v>
      </c>
      <c r="AC581" s="314"/>
      <c r="AD581" s="168">
        <f t="shared" si="211"/>
        <v>649.5</v>
      </c>
      <c r="AE581" s="168">
        <f t="shared" si="211"/>
        <v>649.5</v>
      </c>
      <c r="AF581" s="168">
        <f t="shared" si="211"/>
        <v>649.5</v>
      </c>
      <c r="AG581" s="575">
        <f t="shared" si="206"/>
        <v>1</v>
      </c>
      <c r="AH581" s="151"/>
    </row>
    <row r="582" spans="1:34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R582" s="3"/>
      <c r="S582" s="3"/>
      <c r="W582" s="3"/>
      <c r="X582" s="278" t="s">
        <v>100</v>
      </c>
      <c r="Y582" s="11" t="s">
        <v>28</v>
      </c>
      <c r="Z582" s="1">
        <v>10</v>
      </c>
      <c r="AA582" s="529" t="s">
        <v>31</v>
      </c>
      <c r="AB582" s="163" t="s">
        <v>525</v>
      </c>
      <c r="AC582" s="309">
        <v>300</v>
      </c>
      <c r="AD582" s="168">
        <f t="shared" si="211"/>
        <v>649.5</v>
      </c>
      <c r="AE582" s="168">
        <f t="shared" si="211"/>
        <v>649.5</v>
      </c>
      <c r="AF582" s="168">
        <f t="shared" si="211"/>
        <v>649.5</v>
      </c>
      <c r="AG582" s="575">
        <f t="shared" si="206"/>
        <v>1</v>
      </c>
      <c r="AH582" s="151"/>
    </row>
    <row r="583" spans="1:34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R583" s="3"/>
      <c r="S583" s="3"/>
      <c r="W583" s="3"/>
      <c r="X583" s="278" t="s">
        <v>42</v>
      </c>
      <c r="Y583" s="11" t="s">
        <v>28</v>
      </c>
      <c r="Z583" s="1">
        <v>10</v>
      </c>
      <c r="AA583" s="529" t="s">
        <v>31</v>
      </c>
      <c r="AB583" s="163" t="s">
        <v>525</v>
      </c>
      <c r="AC583" s="309">
        <v>320</v>
      </c>
      <c r="AD583" s="168">
        <f>896.5-247</f>
        <v>649.5</v>
      </c>
      <c r="AE583" s="168">
        <f>896.5-247</f>
        <v>649.5</v>
      </c>
      <c r="AF583" s="168">
        <v>649.5</v>
      </c>
      <c r="AG583" s="575">
        <f t="shared" si="206"/>
        <v>1</v>
      </c>
      <c r="AH583" s="151"/>
    </row>
    <row r="584" spans="1:34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R584" s="3"/>
      <c r="S584" s="3"/>
      <c r="W584" s="3"/>
      <c r="X584" s="279" t="s">
        <v>455</v>
      </c>
      <c r="Y584" s="199" t="s">
        <v>61</v>
      </c>
      <c r="Z584" s="2"/>
      <c r="AA584" s="562"/>
      <c r="AB584" s="33"/>
      <c r="AC584" s="311"/>
      <c r="AD584" s="170">
        <f>AD585+AD621</f>
        <v>65927.8</v>
      </c>
      <c r="AE584" s="170">
        <f>AE585+AE621</f>
        <v>65167.8</v>
      </c>
      <c r="AF584" s="170">
        <f>AF585+AF621</f>
        <v>65031.7</v>
      </c>
      <c r="AG584" s="574">
        <f t="shared" si="206"/>
        <v>0.99791154527235837</v>
      </c>
      <c r="AH584" s="151"/>
    </row>
    <row r="585" spans="1:34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R585" s="3"/>
      <c r="S585" s="3"/>
      <c r="W585" s="3"/>
      <c r="X585" s="279" t="s">
        <v>27</v>
      </c>
      <c r="Y585" s="199" t="s">
        <v>61</v>
      </c>
      <c r="Z585" s="23" t="s">
        <v>31</v>
      </c>
      <c r="AA585" s="561"/>
      <c r="AB585" s="305"/>
      <c r="AC585" s="310"/>
      <c r="AD585" s="170">
        <f>AD586</f>
        <v>26253.399999999998</v>
      </c>
      <c r="AE585" s="170">
        <f>AE586</f>
        <v>26253.399999999998</v>
      </c>
      <c r="AF585" s="170">
        <f>AF586</f>
        <v>26118.1</v>
      </c>
      <c r="AG585" s="574">
        <f t="shared" si="206"/>
        <v>0.99484638180197615</v>
      </c>
      <c r="AH585" s="151"/>
    </row>
    <row r="586" spans="1:34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R586" s="3"/>
      <c r="S586" s="3"/>
      <c r="W586" s="3"/>
      <c r="X586" s="278" t="s">
        <v>15</v>
      </c>
      <c r="Y586" s="11" t="s">
        <v>61</v>
      </c>
      <c r="Z586" s="1" t="s">
        <v>31</v>
      </c>
      <c r="AA586" s="529">
        <v>13</v>
      </c>
      <c r="AB586" s="33"/>
      <c r="AC586" s="311"/>
      <c r="AD586" s="168">
        <f>AD587+AD617</f>
        <v>26253.399999999998</v>
      </c>
      <c r="AE586" s="168">
        <f t="shared" ref="AE586" si="212">AE587+AE617</f>
        <v>26253.399999999998</v>
      </c>
      <c r="AF586" s="168">
        <f>AF587+AF617</f>
        <v>26118.1</v>
      </c>
      <c r="AG586" s="575">
        <f t="shared" si="206"/>
        <v>0.99484638180197615</v>
      </c>
      <c r="AH586" s="151"/>
    </row>
    <row r="587" spans="1:34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R587" s="3"/>
      <c r="S587" s="3"/>
      <c r="W587" s="3"/>
      <c r="X587" s="284" t="s">
        <v>193</v>
      </c>
      <c r="Y587" s="11" t="s">
        <v>61</v>
      </c>
      <c r="Z587" s="1" t="s">
        <v>31</v>
      </c>
      <c r="AA587" s="529">
        <v>13</v>
      </c>
      <c r="AB587" s="163" t="s">
        <v>115</v>
      </c>
      <c r="AC587" s="309"/>
      <c r="AD587" s="168">
        <f>AD588+AD612</f>
        <v>25259.1</v>
      </c>
      <c r="AE587" s="168">
        <f>AE588+AE612</f>
        <v>25259.1</v>
      </c>
      <c r="AF587" s="168">
        <f>AF588+AF612</f>
        <v>25123.8</v>
      </c>
      <c r="AG587" s="575">
        <f t="shared" si="206"/>
        <v>0.99464351461453504</v>
      </c>
      <c r="AH587" s="151"/>
    </row>
    <row r="588" spans="1:34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R588" s="3"/>
      <c r="S588" s="3"/>
      <c r="W588" s="3"/>
      <c r="X588" s="299" t="s">
        <v>611</v>
      </c>
      <c r="Y588" s="11" t="s">
        <v>61</v>
      </c>
      <c r="Z588" s="1" t="s">
        <v>31</v>
      </c>
      <c r="AA588" s="529">
        <v>13</v>
      </c>
      <c r="AB588" s="163" t="s">
        <v>116</v>
      </c>
      <c r="AC588" s="309"/>
      <c r="AD588" s="168">
        <f>AD589+AD593+AD599</f>
        <v>25252.1</v>
      </c>
      <c r="AE588" s="168">
        <f>AE589+AE593+AE599</f>
        <v>25252.1</v>
      </c>
      <c r="AF588" s="168">
        <f>AF589+AF593+AF599</f>
        <v>25116.799999999999</v>
      </c>
      <c r="AG588" s="575">
        <f t="shared" si="206"/>
        <v>0.9946420297717814</v>
      </c>
      <c r="AH588" s="151"/>
    </row>
    <row r="589" spans="1:34" ht="31.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R589" s="3"/>
      <c r="S589" s="3"/>
      <c r="W589" s="3"/>
      <c r="X589" s="282" t="s">
        <v>189</v>
      </c>
      <c r="Y589" s="11" t="s">
        <v>61</v>
      </c>
      <c r="Z589" s="1" t="s">
        <v>31</v>
      </c>
      <c r="AA589" s="529">
        <v>13</v>
      </c>
      <c r="AB589" s="163" t="s">
        <v>190</v>
      </c>
      <c r="AC589" s="309"/>
      <c r="AD589" s="168">
        <f t="shared" ref="AD589:AF591" si="213">AD590</f>
        <v>1500</v>
      </c>
      <c r="AE589" s="168">
        <f t="shared" si="213"/>
        <v>1500</v>
      </c>
      <c r="AF589" s="168">
        <f t="shared" si="213"/>
        <v>1424.7</v>
      </c>
      <c r="AG589" s="575">
        <f t="shared" si="206"/>
        <v>0.94979999999999998</v>
      </c>
      <c r="AH589" s="151"/>
    </row>
    <row r="590" spans="1:34" ht="31.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R590" s="3"/>
      <c r="S590" s="3"/>
      <c r="W590" s="3"/>
      <c r="X590" s="283" t="s">
        <v>191</v>
      </c>
      <c r="Y590" s="11" t="s">
        <v>61</v>
      </c>
      <c r="Z590" s="1" t="s">
        <v>31</v>
      </c>
      <c r="AA590" s="529">
        <v>13</v>
      </c>
      <c r="AB590" s="163" t="s">
        <v>192</v>
      </c>
      <c r="AC590" s="311"/>
      <c r="AD590" s="168">
        <f>AD591</f>
        <v>1500</v>
      </c>
      <c r="AE590" s="168">
        <f>AE591</f>
        <v>1500</v>
      </c>
      <c r="AF590" s="168">
        <f t="shared" si="213"/>
        <v>1424.7</v>
      </c>
      <c r="AG590" s="575">
        <f t="shared" si="206"/>
        <v>0.94979999999999998</v>
      </c>
      <c r="AH590" s="151"/>
    </row>
    <row r="591" spans="1:34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R591" s="3"/>
      <c r="S591" s="3"/>
      <c r="W591" s="3"/>
      <c r="X591" s="278" t="s">
        <v>123</v>
      </c>
      <c r="Y591" s="11" t="s">
        <v>61</v>
      </c>
      <c r="Z591" s="1" t="s">
        <v>31</v>
      </c>
      <c r="AA591" s="529">
        <v>13</v>
      </c>
      <c r="AB591" s="163" t="s">
        <v>192</v>
      </c>
      <c r="AC591" s="309">
        <v>200</v>
      </c>
      <c r="AD591" s="168">
        <f t="shared" si="213"/>
        <v>1500</v>
      </c>
      <c r="AE591" s="168">
        <f t="shared" si="213"/>
        <v>1500</v>
      </c>
      <c r="AF591" s="168">
        <f t="shared" si="213"/>
        <v>1424.7</v>
      </c>
      <c r="AG591" s="575">
        <f t="shared" si="206"/>
        <v>0.94979999999999998</v>
      </c>
      <c r="AH591" s="151"/>
    </row>
    <row r="592" spans="1:34" ht="31.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R592" s="3"/>
      <c r="S592" s="3"/>
      <c r="W592" s="3"/>
      <c r="X592" s="278" t="s">
        <v>54</v>
      </c>
      <c r="Y592" s="11" t="s">
        <v>61</v>
      </c>
      <c r="Z592" s="1" t="s">
        <v>31</v>
      </c>
      <c r="AA592" s="529">
        <v>13</v>
      </c>
      <c r="AB592" s="163" t="s">
        <v>192</v>
      </c>
      <c r="AC592" s="309">
        <v>240</v>
      </c>
      <c r="AD592" s="168">
        <v>1500</v>
      </c>
      <c r="AE592" s="168">
        <v>1500</v>
      </c>
      <c r="AF592" s="168">
        <v>1424.7</v>
      </c>
      <c r="AG592" s="575">
        <f t="shared" si="206"/>
        <v>0.94979999999999998</v>
      </c>
      <c r="AH592" s="151"/>
    </row>
    <row r="593" spans="1:34" ht="31.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R593" s="3"/>
      <c r="S593" s="3"/>
      <c r="W593" s="3"/>
      <c r="X593" s="282" t="s">
        <v>194</v>
      </c>
      <c r="Y593" s="11" t="s">
        <v>61</v>
      </c>
      <c r="Z593" s="1" t="s">
        <v>31</v>
      </c>
      <c r="AA593" s="529">
        <v>13</v>
      </c>
      <c r="AB593" s="163" t="s">
        <v>195</v>
      </c>
      <c r="AC593" s="321"/>
      <c r="AD593" s="168">
        <f>AD594</f>
        <v>1031</v>
      </c>
      <c r="AE593" s="168">
        <f>AE594</f>
        <v>1031</v>
      </c>
      <c r="AF593" s="168">
        <f>AF594</f>
        <v>1000.3000000000001</v>
      </c>
      <c r="AG593" s="575">
        <f t="shared" si="206"/>
        <v>0.97022308438409322</v>
      </c>
      <c r="AH593" s="151"/>
    </row>
    <row r="594" spans="1:34" ht="31.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R594" s="3"/>
      <c r="S594" s="3"/>
      <c r="W594" s="3"/>
      <c r="X594" s="282" t="s">
        <v>145</v>
      </c>
      <c r="Y594" s="11" t="s">
        <v>61</v>
      </c>
      <c r="Z594" s="1" t="s">
        <v>31</v>
      </c>
      <c r="AA594" s="529">
        <v>13</v>
      </c>
      <c r="AB594" s="163" t="s">
        <v>196</v>
      </c>
      <c r="AC594" s="321"/>
      <c r="AD594" s="168">
        <f>AD595+AD597</f>
        <v>1031</v>
      </c>
      <c r="AE594" s="168">
        <f>AE595+AE597</f>
        <v>1031</v>
      </c>
      <c r="AF594" s="168">
        <f>AF595+AF597</f>
        <v>1000.3000000000001</v>
      </c>
      <c r="AG594" s="575">
        <f t="shared" si="206"/>
        <v>0.97022308438409322</v>
      </c>
      <c r="AH594" s="151"/>
    </row>
    <row r="595" spans="1:34" ht="47.2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R595" s="3"/>
      <c r="S595" s="3"/>
      <c r="W595" s="3"/>
      <c r="X595" s="278" t="s">
        <v>43</v>
      </c>
      <c r="Y595" s="11" t="s">
        <v>61</v>
      </c>
      <c r="Z595" s="1" t="s">
        <v>31</v>
      </c>
      <c r="AA595" s="529">
        <v>13</v>
      </c>
      <c r="AB595" s="163" t="s">
        <v>196</v>
      </c>
      <c r="AC595" s="321">
        <v>100</v>
      </c>
      <c r="AD595" s="168">
        <f>AD596</f>
        <v>988.7</v>
      </c>
      <c r="AE595" s="168">
        <f>AE596</f>
        <v>988.7</v>
      </c>
      <c r="AF595" s="168">
        <f>AF596</f>
        <v>988.7</v>
      </c>
      <c r="AG595" s="575">
        <f t="shared" si="206"/>
        <v>1</v>
      </c>
      <c r="AH595" s="151"/>
    </row>
    <row r="596" spans="1:34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R596" s="3"/>
      <c r="S596" s="3"/>
      <c r="W596" s="3"/>
      <c r="X596" s="401" t="s">
        <v>99</v>
      </c>
      <c r="Y596" s="202" t="s">
        <v>61</v>
      </c>
      <c r="Z596" s="1" t="s">
        <v>31</v>
      </c>
      <c r="AA596" s="529">
        <v>13</v>
      </c>
      <c r="AB596" s="163" t="s">
        <v>196</v>
      </c>
      <c r="AC596" s="321">
        <v>120</v>
      </c>
      <c r="AD596" s="168">
        <f>928+60.7</f>
        <v>988.7</v>
      </c>
      <c r="AE596" s="168">
        <f>928+60.7</f>
        <v>988.7</v>
      </c>
      <c r="AF596" s="168">
        <v>988.7</v>
      </c>
      <c r="AG596" s="575">
        <f t="shared" si="206"/>
        <v>1</v>
      </c>
      <c r="AH596" s="151"/>
    </row>
    <row r="597" spans="1:34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R597" s="3"/>
      <c r="S597" s="3"/>
      <c r="W597" s="3"/>
      <c r="X597" s="401" t="s">
        <v>123</v>
      </c>
      <c r="Y597" s="202" t="s">
        <v>61</v>
      </c>
      <c r="Z597" s="1" t="s">
        <v>31</v>
      </c>
      <c r="AA597" s="529">
        <v>13</v>
      </c>
      <c r="AB597" s="163" t="s">
        <v>196</v>
      </c>
      <c r="AC597" s="321">
        <v>200</v>
      </c>
      <c r="AD597" s="168">
        <f>AD598</f>
        <v>42.3</v>
      </c>
      <c r="AE597" s="168">
        <f>AE598</f>
        <v>42.3</v>
      </c>
      <c r="AF597" s="168">
        <f>AF598</f>
        <v>11.6</v>
      </c>
      <c r="AG597" s="575">
        <f t="shared" si="206"/>
        <v>0.27423167848699764</v>
      </c>
      <c r="AH597" s="151"/>
    </row>
    <row r="598" spans="1:34" ht="31.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R598" s="3"/>
      <c r="S598" s="3"/>
      <c r="W598" s="3"/>
      <c r="X598" s="401" t="s">
        <v>54</v>
      </c>
      <c r="Y598" s="202" t="s">
        <v>61</v>
      </c>
      <c r="Z598" s="1" t="s">
        <v>31</v>
      </c>
      <c r="AA598" s="529">
        <v>13</v>
      </c>
      <c r="AB598" s="163" t="s">
        <v>196</v>
      </c>
      <c r="AC598" s="321">
        <v>240</v>
      </c>
      <c r="AD598" s="168">
        <f>103-60.7</f>
        <v>42.3</v>
      </c>
      <c r="AE598" s="168">
        <f>103-60.7</f>
        <v>42.3</v>
      </c>
      <c r="AF598" s="168">
        <v>11.6</v>
      </c>
      <c r="AG598" s="575">
        <f t="shared" si="206"/>
        <v>0.27423167848699764</v>
      </c>
      <c r="AH598" s="151"/>
    </row>
    <row r="599" spans="1:34" ht="31.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R599" s="3"/>
      <c r="S599" s="3"/>
      <c r="W599" s="3"/>
      <c r="X599" s="284" t="s">
        <v>349</v>
      </c>
      <c r="Y599" s="11" t="s">
        <v>61</v>
      </c>
      <c r="Z599" s="1" t="s">
        <v>31</v>
      </c>
      <c r="AA599" s="529">
        <v>13</v>
      </c>
      <c r="AB599" s="163" t="s">
        <v>520</v>
      </c>
      <c r="AC599" s="309"/>
      <c r="AD599" s="168">
        <f>AD600</f>
        <v>22721.1</v>
      </c>
      <c r="AE599" s="168">
        <f>AE600</f>
        <v>22721.1</v>
      </c>
      <c r="AF599" s="168">
        <f>AF600</f>
        <v>22691.8</v>
      </c>
      <c r="AG599" s="575">
        <f t="shared" si="206"/>
        <v>0.99871044975815437</v>
      </c>
      <c r="AH599" s="151"/>
    </row>
    <row r="600" spans="1:34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R600" s="3"/>
      <c r="S600" s="3"/>
      <c r="W600" s="3"/>
      <c r="X600" s="284" t="s">
        <v>352</v>
      </c>
      <c r="Y600" s="11" t="s">
        <v>61</v>
      </c>
      <c r="Z600" s="1" t="s">
        <v>31</v>
      </c>
      <c r="AA600" s="529">
        <v>13</v>
      </c>
      <c r="AB600" s="163" t="s">
        <v>521</v>
      </c>
      <c r="AC600" s="309"/>
      <c r="AD600" s="168">
        <f>AD601+AD606+AD609</f>
        <v>22721.1</v>
      </c>
      <c r="AE600" s="168">
        <f>AE601+AE606+AE609</f>
        <v>22721.1</v>
      </c>
      <c r="AF600" s="168">
        <f>AF601+AF606+AF609</f>
        <v>22691.8</v>
      </c>
      <c r="AG600" s="575">
        <f t="shared" si="206"/>
        <v>0.99871044975815437</v>
      </c>
      <c r="AH600" s="151"/>
    </row>
    <row r="601" spans="1:34" ht="31.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R601" s="3"/>
      <c r="S601" s="3"/>
      <c r="W601" s="3"/>
      <c r="X601" s="284" t="s">
        <v>215</v>
      </c>
      <c r="Y601" s="11" t="s">
        <v>61</v>
      </c>
      <c r="Z601" s="1" t="s">
        <v>31</v>
      </c>
      <c r="AA601" s="529">
        <v>13</v>
      </c>
      <c r="AB601" s="163" t="s">
        <v>522</v>
      </c>
      <c r="AC601" s="309"/>
      <c r="AD601" s="168">
        <f>AD602+AD604</f>
        <v>1496</v>
      </c>
      <c r="AE601" s="168">
        <f>AE602+AE604</f>
        <v>1496</v>
      </c>
      <c r="AF601" s="168">
        <f t="shared" ref="AF601" si="214">AF602+AF604</f>
        <v>1466.7</v>
      </c>
      <c r="AG601" s="575">
        <f t="shared" si="206"/>
        <v>0.98041443850267385</v>
      </c>
      <c r="AH601" s="151"/>
    </row>
    <row r="602" spans="1:34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R602" s="3"/>
      <c r="S602" s="3"/>
      <c r="W602" s="3"/>
      <c r="X602" s="278" t="s">
        <v>123</v>
      </c>
      <c r="Y602" s="11" t="s">
        <v>61</v>
      </c>
      <c r="Z602" s="1" t="s">
        <v>31</v>
      </c>
      <c r="AA602" s="529">
        <v>13</v>
      </c>
      <c r="AB602" s="163" t="s">
        <v>522</v>
      </c>
      <c r="AC602" s="309">
        <v>200</v>
      </c>
      <c r="AD602" s="168">
        <f t="shared" ref="AD602:AF602" si="215">AD603</f>
        <v>1495.4</v>
      </c>
      <c r="AE602" s="168">
        <f t="shared" si="215"/>
        <v>1495.4</v>
      </c>
      <c r="AF602" s="168">
        <f t="shared" si="215"/>
        <v>1466.2</v>
      </c>
      <c r="AG602" s="575">
        <f t="shared" si="206"/>
        <v>0.98047345191921886</v>
      </c>
      <c r="AH602" s="151"/>
    </row>
    <row r="603" spans="1:34" ht="31.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R603" s="3"/>
      <c r="S603" s="3"/>
      <c r="W603" s="3"/>
      <c r="X603" s="278" t="s">
        <v>54</v>
      </c>
      <c r="Y603" s="11" t="s">
        <v>61</v>
      </c>
      <c r="Z603" s="1" t="s">
        <v>31</v>
      </c>
      <c r="AA603" s="529">
        <v>13</v>
      </c>
      <c r="AB603" s="163" t="s">
        <v>522</v>
      </c>
      <c r="AC603" s="309">
        <v>240</v>
      </c>
      <c r="AD603" s="168">
        <f>1576.1-7-0.6-26.1-47</f>
        <v>1495.4</v>
      </c>
      <c r="AE603" s="168">
        <f>1576.1-7-0.6-26.1-47</f>
        <v>1495.4</v>
      </c>
      <c r="AF603" s="168">
        <v>1466.2</v>
      </c>
      <c r="AG603" s="575">
        <f t="shared" si="206"/>
        <v>0.98047345191921886</v>
      </c>
      <c r="AH603" s="151"/>
    </row>
    <row r="604" spans="1:34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R604" s="3"/>
      <c r="S604" s="3"/>
      <c r="W604" s="3"/>
      <c r="X604" s="278" t="s">
        <v>44</v>
      </c>
      <c r="Y604" s="11" t="s">
        <v>61</v>
      </c>
      <c r="Z604" s="1" t="s">
        <v>31</v>
      </c>
      <c r="AA604" s="529">
        <v>13</v>
      </c>
      <c r="AB604" s="163" t="s">
        <v>522</v>
      </c>
      <c r="AC604" s="309">
        <v>800</v>
      </c>
      <c r="AD604" s="168">
        <f>AD605</f>
        <v>0.6</v>
      </c>
      <c r="AE604" s="168">
        <f>AE605</f>
        <v>0.6</v>
      </c>
      <c r="AF604" s="168">
        <f t="shared" ref="AF604" si="216">AF605</f>
        <v>0.5</v>
      </c>
      <c r="AG604" s="575">
        <f t="shared" si="206"/>
        <v>0.83333333333333337</v>
      </c>
      <c r="AH604" s="151"/>
    </row>
    <row r="605" spans="1:34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R605" s="3"/>
      <c r="S605" s="3"/>
      <c r="W605" s="3"/>
      <c r="X605" s="278" t="s">
        <v>60</v>
      </c>
      <c r="Y605" s="11" t="s">
        <v>61</v>
      </c>
      <c r="Z605" s="1" t="s">
        <v>31</v>
      </c>
      <c r="AA605" s="529">
        <v>13</v>
      </c>
      <c r="AB605" s="163" t="s">
        <v>522</v>
      </c>
      <c r="AC605" s="309">
        <v>850</v>
      </c>
      <c r="AD605" s="168">
        <v>0.6</v>
      </c>
      <c r="AE605" s="168">
        <v>0.6</v>
      </c>
      <c r="AF605" s="168">
        <v>0.5</v>
      </c>
      <c r="AG605" s="575">
        <f t="shared" si="206"/>
        <v>0.83333333333333337</v>
      </c>
      <c r="AH605" s="151"/>
    </row>
    <row r="606" spans="1:34" ht="31.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R606" s="3"/>
      <c r="S606" s="3"/>
      <c r="W606" s="3"/>
      <c r="X606" s="278" t="s">
        <v>216</v>
      </c>
      <c r="Y606" s="11" t="s">
        <v>61</v>
      </c>
      <c r="Z606" s="1" t="s">
        <v>31</v>
      </c>
      <c r="AA606" s="529">
        <v>13</v>
      </c>
      <c r="AB606" s="33" t="str">
        <f>AB607</f>
        <v>12 1 04 00132</v>
      </c>
      <c r="AC606" s="309"/>
      <c r="AD606" s="168">
        <f>AD608</f>
        <v>7289.7</v>
      </c>
      <c r="AE606" s="168">
        <f>AE608</f>
        <v>7289.7</v>
      </c>
      <c r="AF606" s="168">
        <f>AF608</f>
        <v>7289.7</v>
      </c>
      <c r="AG606" s="575">
        <f t="shared" si="206"/>
        <v>1</v>
      </c>
      <c r="AH606" s="151"/>
    </row>
    <row r="607" spans="1:34" ht="47.2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R607" s="3"/>
      <c r="S607" s="3"/>
      <c r="W607" s="3"/>
      <c r="X607" s="278" t="s">
        <v>43</v>
      </c>
      <c r="Y607" s="11" t="s">
        <v>61</v>
      </c>
      <c r="Z607" s="1" t="s">
        <v>31</v>
      </c>
      <c r="AA607" s="529">
        <v>13</v>
      </c>
      <c r="AB607" s="33" t="str">
        <f>AB608</f>
        <v>12 1 04 00132</v>
      </c>
      <c r="AC607" s="309">
        <v>100</v>
      </c>
      <c r="AD607" s="168">
        <f>AD608</f>
        <v>7289.7</v>
      </c>
      <c r="AE607" s="168">
        <f>AE608</f>
        <v>7289.7</v>
      </c>
      <c r="AF607" s="168">
        <f t="shared" ref="AF607" si="217">AF608</f>
        <v>7289.7</v>
      </c>
      <c r="AG607" s="575">
        <f t="shared" si="206"/>
        <v>1</v>
      </c>
      <c r="AH607" s="151"/>
    </row>
    <row r="608" spans="1:34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R608" s="3"/>
      <c r="S608" s="3"/>
      <c r="W608" s="3"/>
      <c r="X608" s="278" t="s">
        <v>99</v>
      </c>
      <c r="Y608" s="11" t="s">
        <v>61</v>
      </c>
      <c r="Z608" s="1" t="s">
        <v>31</v>
      </c>
      <c r="AA608" s="529">
        <v>13</v>
      </c>
      <c r="AB608" s="163" t="s">
        <v>523</v>
      </c>
      <c r="AC608" s="309">
        <v>120</v>
      </c>
      <c r="AD608" s="168">
        <f>7242.7+47</f>
        <v>7289.7</v>
      </c>
      <c r="AE608" s="168">
        <f>7242.7+47</f>
        <v>7289.7</v>
      </c>
      <c r="AF608" s="168">
        <v>7289.7</v>
      </c>
      <c r="AG608" s="575">
        <f t="shared" si="206"/>
        <v>1</v>
      </c>
      <c r="AH608" s="151"/>
    </row>
    <row r="609" spans="1:34" ht="31.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R609" s="3"/>
      <c r="S609" s="3"/>
      <c r="W609" s="3"/>
      <c r="X609" s="278" t="s">
        <v>217</v>
      </c>
      <c r="Y609" s="11" t="s">
        <v>61</v>
      </c>
      <c r="Z609" s="1" t="s">
        <v>31</v>
      </c>
      <c r="AA609" s="529">
        <v>13</v>
      </c>
      <c r="AB609" s="33" t="str">
        <f>AB610</f>
        <v>12 1 04 00133</v>
      </c>
      <c r="AC609" s="309"/>
      <c r="AD609" s="168">
        <f>AD611</f>
        <v>13935.4</v>
      </c>
      <c r="AE609" s="168">
        <f>AE611</f>
        <v>13935.4</v>
      </c>
      <c r="AF609" s="168">
        <f>AF611</f>
        <v>13935.4</v>
      </c>
      <c r="AG609" s="575">
        <f t="shared" si="206"/>
        <v>1</v>
      </c>
      <c r="AH609" s="151"/>
    </row>
    <row r="610" spans="1:34" ht="47.2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R610" s="3"/>
      <c r="S610" s="3"/>
      <c r="W610" s="3"/>
      <c r="X610" s="278" t="s">
        <v>43</v>
      </c>
      <c r="Y610" s="11" t="s">
        <v>61</v>
      </c>
      <c r="Z610" s="1" t="s">
        <v>31</v>
      </c>
      <c r="AA610" s="529">
        <v>13</v>
      </c>
      <c r="AB610" s="33" t="str">
        <f>AB611</f>
        <v>12 1 04 00133</v>
      </c>
      <c r="AC610" s="309">
        <v>100</v>
      </c>
      <c r="AD610" s="168">
        <f>AD611</f>
        <v>13935.4</v>
      </c>
      <c r="AE610" s="168">
        <f>AE611</f>
        <v>13935.4</v>
      </c>
      <c r="AF610" s="168">
        <f>AF611</f>
        <v>13935.4</v>
      </c>
      <c r="AG610" s="575">
        <f t="shared" si="206"/>
        <v>1</v>
      </c>
      <c r="AH610" s="151"/>
    </row>
    <row r="611" spans="1:34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R611" s="3"/>
      <c r="S611" s="3"/>
      <c r="W611" s="3"/>
      <c r="X611" s="278" t="s">
        <v>99</v>
      </c>
      <c r="Y611" s="11" t="s">
        <v>61</v>
      </c>
      <c r="Z611" s="1" t="s">
        <v>31</v>
      </c>
      <c r="AA611" s="529">
        <v>13</v>
      </c>
      <c r="AB611" s="163" t="s">
        <v>524</v>
      </c>
      <c r="AC611" s="309">
        <v>120</v>
      </c>
      <c r="AD611" s="168">
        <f>14199-199.5-19.9-44.2</f>
        <v>13935.4</v>
      </c>
      <c r="AE611" s="168">
        <f>14199-199.5-19.9-44.2</f>
        <v>13935.4</v>
      </c>
      <c r="AF611" s="168">
        <v>13935.4</v>
      </c>
      <c r="AG611" s="575">
        <f t="shared" si="206"/>
        <v>1</v>
      </c>
      <c r="AH611" s="151"/>
    </row>
    <row r="612" spans="1:34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R612" s="3"/>
      <c r="S612" s="3"/>
      <c r="W612" s="3"/>
      <c r="X612" s="284" t="s">
        <v>198</v>
      </c>
      <c r="Y612" s="11" t="s">
        <v>61</v>
      </c>
      <c r="Z612" s="1" t="s">
        <v>31</v>
      </c>
      <c r="AA612" s="529">
        <v>13</v>
      </c>
      <c r="AB612" s="163" t="s">
        <v>199</v>
      </c>
      <c r="AC612" s="309"/>
      <c r="AD612" s="168">
        <f t="shared" ref="AD612:AE615" si="218">AD613</f>
        <v>7</v>
      </c>
      <c r="AE612" s="168">
        <f t="shared" si="218"/>
        <v>7</v>
      </c>
      <c r="AF612" s="168">
        <f t="shared" ref="AF612" si="219">AF613</f>
        <v>7</v>
      </c>
      <c r="AG612" s="575">
        <f t="shared" si="206"/>
        <v>1</v>
      </c>
      <c r="AH612" s="151"/>
    </row>
    <row r="613" spans="1:34" ht="31.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R613" s="3"/>
      <c r="S613" s="3"/>
      <c r="W613" s="3"/>
      <c r="X613" s="278" t="s">
        <v>615</v>
      </c>
      <c r="Y613" s="11" t="s">
        <v>61</v>
      </c>
      <c r="Z613" s="1" t="s">
        <v>31</v>
      </c>
      <c r="AA613" s="529">
        <v>13</v>
      </c>
      <c r="AB613" s="306" t="s">
        <v>616</v>
      </c>
      <c r="AC613" s="309"/>
      <c r="AD613" s="168">
        <f t="shared" si="218"/>
        <v>7</v>
      </c>
      <c r="AE613" s="168">
        <f t="shared" si="218"/>
        <v>7</v>
      </c>
      <c r="AF613" s="168">
        <f t="shared" ref="AF613:AF615" si="220">AF614</f>
        <v>7</v>
      </c>
      <c r="AG613" s="575">
        <f t="shared" si="206"/>
        <v>1</v>
      </c>
      <c r="AH613" s="151"/>
    </row>
    <row r="614" spans="1:34" ht="78.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R614" s="3"/>
      <c r="S614" s="3"/>
      <c r="W614" s="3"/>
      <c r="X614" s="278" t="s">
        <v>449</v>
      </c>
      <c r="Y614" s="11" t="s">
        <v>61</v>
      </c>
      <c r="Z614" s="1" t="s">
        <v>31</v>
      </c>
      <c r="AA614" s="529">
        <v>13</v>
      </c>
      <c r="AB614" s="163" t="s">
        <v>617</v>
      </c>
      <c r="AC614" s="309"/>
      <c r="AD614" s="168">
        <f t="shared" si="218"/>
        <v>7</v>
      </c>
      <c r="AE614" s="168">
        <f t="shared" si="218"/>
        <v>7</v>
      </c>
      <c r="AF614" s="168">
        <f t="shared" si="220"/>
        <v>7</v>
      </c>
      <c r="AG614" s="575">
        <f t="shared" si="206"/>
        <v>1</v>
      </c>
      <c r="AH614" s="151"/>
    </row>
    <row r="615" spans="1:34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R615" s="3"/>
      <c r="S615" s="3"/>
      <c r="W615" s="3"/>
      <c r="X615" s="278" t="s">
        <v>123</v>
      </c>
      <c r="Y615" s="11" t="s">
        <v>61</v>
      </c>
      <c r="Z615" s="1" t="s">
        <v>31</v>
      </c>
      <c r="AA615" s="529">
        <v>13</v>
      </c>
      <c r="AB615" s="163" t="s">
        <v>617</v>
      </c>
      <c r="AC615" s="309">
        <v>200</v>
      </c>
      <c r="AD615" s="168">
        <f t="shared" si="218"/>
        <v>7</v>
      </c>
      <c r="AE615" s="168">
        <f t="shared" si="218"/>
        <v>7</v>
      </c>
      <c r="AF615" s="168">
        <f t="shared" si="220"/>
        <v>7</v>
      </c>
      <c r="AG615" s="575">
        <f t="shared" si="206"/>
        <v>1</v>
      </c>
      <c r="AH615" s="151"/>
    </row>
    <row r="616" spans="1:34" ht="31.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R616" s="3"/>
      <c r="S616" s="3"/>
      <c r="W616" s="3"/>
      <c r="X616" s="278" t="s">
        <v>54</v>
      </c>
      <c r="Y616" s="11" t="s">
        <v>61</v>
      </c>
      <c r="Z616" s="1" t="s">
        <v>31</v>
      </c>
      <c r="AA616" s="529">
        <v>13</v>
      </c>
      <c r="AB616" s="163" t="s">
        <v>617</v>
      </c>
      <c r="AC616" s="309">
        <v>240</v>
      </c>
      <c r="AD616" s="168">
        <v>7</v>
      </c>
      <c r="AE616" s="168">
        <v>7</v>
      </c>
      <c r="AF616" s="168">
        <v>7</v>
      </c>
      <c r="AG616" s="575">
        <f t="shared" si="206"/>
        <v>1</v>
      </c>
      <c r="AH616" s="151"/>
    </row>
    <row r="617" spans="1:34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R617" s="3"/>
      <c r="S617" s="3"/>
      <c r="W617" s="3"/>
      <c r="X617" s="284" t="s">
        <v>234</v>
      </c>
      <c r="Y617" s="11" t="s">
        <v>61</v>
      </c>
      <c r="Z617" s="1" t="s">
        <v>31</v>
      </c>
      <c r="AA617" s="529">
        <v>13</v>
      </c>
      <c r="AB617" s="163" t="s">
        <v>140</v>
      </c>
      <c r="AC617" s="317"/>
      <c r="AD617" s="168">
        <f t="shared" ref="AD617:AE619" si="221">AD618</f>
        <v>994.3</v>
      </c>
      <c r="AE617" s="168">
        <f t="shared" si="221"/>
        <v>994.3</v>
      </c>
      <c r="AF617" s="168">
        <f t="shared" ref="AF617" si="222">AF618</f>
        <v>994.3</v>
      </c>
      <c r="AG617" s="575">
        <f t="shared" ref="AG617:AG676" si="223">AF617/AE617</f>
        <v>1</v>
      </c>
      <c r="AH617" s="151"/>
    </row>
    <row r="618" spans="1:34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R618" s="3"/>
      <c r="S618" s="3"/>
      <c r="W618" s="3"/>
      <c r="X618" s="283" t="s">
        <v>235</v>
      </c>
      <c r="Y618" s="11" t="s">
        <v>61</v>
      </c>
      <c r="Z618" s="8" t="s">
        <v>31</v>
      </c>
      <c r="AA618" s="531">
        <v>13</v>
      </c>
      <c r="AB618" s="163" t="s">
        <v>236</v>
      </c>
      <c r="AC618" s="321"/>
      <c r="AD618" s="168">
        <f t="shared" si="221"/>
        <v>994.3</v>
      </c>
      <c r="AE618" s="168">
        <f t="shared" si="221"/>
        <v>994.3</v>
      </c>
      <c r="AF618" s="168">
        <f t="shared" ref="AF618" si="224">AF619</f>
        <v>994.3</v>
      </c>
      <c r="AG618" s="575">
        <f t="shared" si="223"/>
        <v>1</v>
      </c>
      <c r="AH618" s="151"/>
    </row>
    <row r="619" spans="1:34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R619" s="3"/>
      <c r="S619" s="3"/>
      <c r="W619" s="3"/>
      <c r="X619" s="401" t="s">
        <v>44</v>
      </c>
      <c r="Y619" s="11" t="s">
        <v>61</v>
      </c>
      <c r="Z619" s="8" t="s">
        <v>31</v>
      </c>
      <c r="AA619" s="531">
        <v>13</v>
      </c>
      <c r="AB619" s="163" t="s">
        <v>236</v>
      </c>
      <c r="AC619" s="321">
        <v>800</v>
      </c>
      <c r="AD619" s="168">
        <f t="shared" si="221"/>
        <v>994.3</v>
      </c>
      <c r="AE619" s="168">
        <f t="shared" si="221"/>
        <v>994.3</v>
      </c>
      <c r="AF619" s="168">
        <f t="shared" ref="AF619" si="225">AF620</f>
        <v>994.3</v>
      </c>
      <c r="AG619" s="575">
        <f t="shared" si="223"/>
        <v>1</v>
      </c>
      <c r="AH619" s="151"/>
    </row>
    <row r="620" spans="1:34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R620" s="3"/>
      <c r="S620" s="3"/>
      <c r="W620" s="3"/>
      <c r="X620" s="401" t="s">
        <v>135</v>
      </c>
      <c r="Y620" s="11" t="s">
        <v>61</v>
      </c>
      <c r="Z620" s="8" t="s">
        <v>31</v>
      </c>
      <c r="AA620" s="531">
        <v>13</v>
      </c>
      <c r="AB620" s="163" t="s">
        <v>236</v>
      </c>
      <c r="AC620" s="321">
        <v>830</v>
      </c>
      <c r="AD620" s="168">
        <v>994.3</v>
      </c>
      <c r="AE620" s="168">
        <v>994.3</v>
      </c>
      <c r="AF620" s="168">
        <v>994.3</v>
      </c>
      <c r="AG620" s="575">
        <f t="shared" si="223"/>
        <v>1</v>
      </c>
      <c r="AH620" s="151"/>
    </row>
    <row r="621" spans="1:34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R621" s="3"/>
      <c r="S621" s="3"/>
      <c r="W621" s="3"/>
      <c r="X621" s="279" t="s">
        <v>97</v>
      </c>
      <c r="Y621" s="199" t="s">
        <v>61</v>
      </c>
      <c r="Z621" s="12" t="s">
        <v>38</v>
      </c>
      <c r="AA621" s="561"/>
      <c r="AB621" s="305"/>
      <c r="AC621" s="310"/>
      <c r="AD621" s="170">
        <f>AD622+AD629</f>
        <v>39674.400000000001</v>
      </c>
      <c r="AE621" s="170">
        <f>AE622+AE629</f>
        <v>38914.400000000001</v>
      </c>
      <c r="AF621" s="170">
        <f t="shared" ref="AF621" si="226">AF622+AF629</f>
        <v>38913.599999999999</v>
      </c>
      <c r="AG621" s="574">
        <f t="shared" si="223"/>
        <v>0.99997944205743883</v>
      </c>
      <c r="AH621" s="151"/>
    </row>
    <row r="622" spans="1:34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R622" s="3"/>
      <c r="S622" s="3"/>
      <c r="W622" s="3"/>
      <c r="X622" s="278" t="s">
        <v>58</v>
      </c>
      <c r="Y622" s="11" t="s">
        <v>61</v>
      </c>
      <c r="Z622" s="1">
        <v>10</v>
      </c>
      <c r="AA622" s="529" t="s">
        <v>31</v>
      </c>
      <c r="AB622" s="33"/>
      <c r="AC622" s="314"/>
      <c r="AD622" s="168">
        <f t="shared" ref="AD622:AF627" si="227">AD623</f>
        <v>725.4</v>
      </c>
      <c r="AE622" s="168">
        <f t="shared" si="227"/>
        <v>725.4</v>
      </c>
      <c r="AF622" s="168">
        <f t="shared" si="227"/>
        <v>725.4</v>
      </c>
      <c r="AG622" s="575">
        <f t="shared" si="223"/>
        <v>1</v>
      </c>
      <c r="AH622" s="151"/>
    </row>
    <row r="623" spans="1:34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R623" s="3"/>
      <c r="S623" s="3"/>
      <c r="W623" s="3"/>
      <c r="X623" s="284" t="s">
        <v>309</v>
      </c>
      <c r="Y623" s="11" t="s">
        <v>61</v>
      </c>
      <c r="Z623" s="1">
        <v>10</v>
      </c>
      <c r="AA623" s="529" t="s">
        <v>31</v>
      </c>
      <c r="AB623" s="163" t="s">
        <v>112</v>
      </c>
      <c r="AC623" s="314"/>
      <c r="AD623" s="168">
        <f t="shared" si="227"/>
        <v>725.4</v>
      </c>
      <c r="AE623" s="168">
        <f t="shared" si="227"/>
        <v>725.4</v>
      </c>
      <c r="AF623" s="168">
        <f t="shared" si="227"/>
        <v>725.4</v>
      </c>
      <c r="AG623" s="575">
        <f t="shared" si="223"/>
        <v>1</v>
      </c>
      <c r="AH623" s="151"/>
    </row>
    <row r="624" spans="1:34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R624" s="3"/>
      <c r="S624" s="3"/>
      <c r="W624" s="3"/>
      <c r="X624" s="284" t="s">
        <v>310</v>
      </c>
      <c r="Y624" s="11" t="s">
        <v>61</v>
      </c>
      <c r="Z624" s="1">
        <v>10</v>
      </c>
      <c r="AA624" s="529" t="s">
        <v>31</v>
      </c>
      <c r="AB624" s="163" t="s">
        <v>121</v>
      </c>
      <c r="AC624" s="314"/>
      <c r="AD624" s="168">
        <f t="shared" si="227"/>
        <v>725.4</v>
      </c>
      <c r="AE624" s="168">
        <f t="shared" si="227"/>
        <v>725.4</v>
      </c>
      <c r="AF624" s="168">
        <f t="shared" si="227"/>
        <v>725.4</v>
      </c>
      <c r="AG624" s="575">
        <f t="shared" si="223"/>
        <v>1</v>
      </c>
      <c r="AH624" s="151"/>
    </row>
    <row r="625" spans="1:34" ht="31.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R625" s="3"/>
      <c r="S625" s="3"/>
      <c r="W625" s="3"/>
      <c r="X625" s="284" t="s">
        <v>527</v>
      </c>
      <c r="Y625" s="11" t="s">
        <v>61</v>
      </c>
      <c r="Z625" s="1">
        <v>10</v>
      </c>
      <c r="AA625" s="529" t="s">
        <v>31</v>
      </c>
      <c r="AB625" s="163" t="s">
        <v>526</v>
      </c>
      <c r="AC625" s="314"/>
      <c r="AD625" s="168">
        <f t="shared" si="227"/>
        <v>725.4</v>
      </c>
      <c r="AE625" s="168">
        <f t="shared" si="227"/>
        <v>725.4</v>
      </c>
      <c r="AF625" s="168">
        <f t="shared" si="227"/>
        <v>725.4</v>
      </c>
      <c r="AG625" s="575">
        <f t="shared" si="223"/>
        <v>1</v>
      </c>
      <c r="AH625" s="151"/>
    </row>
    <row r="626" spans="1:34" ht="31.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R626" s="3"/>
      <c r="S626" s="3"/>
      <c r="W626" s="3"/>
      <c r="X626" s="282" t="s">
        <v>312</v>
      </c>
      <c r="Y626" s="11" t="s">
        <v>61</v>
      </c>
      <c r="Z626" s="1">
        <v>10</v>
      </c>
      <c r="AA626" s="529" t="s">
        <v>31</v>
      </c>
      <c r="AB626" s="163" t="s">
        <v>525</v>
      </c>
      <c r="AC626" s="314"/>
      <c r="AD626" s="168">
        <f t="shared" si="227"/>
        <v>725.4</v>
      </c>
      <c r="AE626" s="168">
        <f t="shared" si="227"/>
        <v>725.4</v>
      </c>
      <c r="AF626" s="168">
        <f t="shared" si="227"/>
        <v>725.4</v>
      </c>
      <c r="AG626" s="575">
        <f t="shared" si="223"/>
        <v>1</v>
      </c>
      <c r="AH626" s="151"/>
    </row>
    <row r="627" spans="1:34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R627" s="3"/>
      <c r="S627" s="3"/>
      <c r="W627" s="3"/>
      <c r="X627" s="278" t="s">
        <v>100</v>
      </c>
      <c r="Y627" s="11" t="s">
        <v>61</v>
      </c>
      <c r="Z627" s="1">
        <v>10</v>
      </c>
      <c r="AA627" s="529" t="s">
        <v>31</v>
      </c>
      <c r="AB627" s="163" t="s">
        <v>525</v>
      </c>
      <c r="AC627" s="309">
        <v>300</v>
      </c>
      <c r="AD627" s="168">
        <f t="shared" si="227"/>
        <v>725.4</v>
      </c>
      <c r="AE627" s="168">
        <f t="shared" si="227"/>
        <v>725.4</v>
      </c>
      <c r="AF627" s="168">
        <f t="shared" si="227"/>
        <v>725.4</v>
      </c>
      <c r="AG627" s="575">
        <f t="shared" si="223"/>
        <v>1</v>
      </c>
      <c r="AH627" s="151"/>
    </row>
    <row r="628" spans="1:34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R628" s="3"/>
      <c r="S628" s="3"/>
      <c r="W628" s="3"/>
      <c r="X628" s="278" t="s">
        <v>42</v>
      </c>
      <c r="Y628" s="11" t="s">
        <v>61</v>
      </c>
      <c r="Z628" s="1">
        <v>10</v>
      </c>
      <c r="AA628" s="529" t="s">
        <v>31</v>
      </c>
      <c r="AB628" s="163" t="s">
        <v>525</v>
      </c>
      <c r="AC628" s="309">
        <v>320</v>
      </c>
      <c r="AD628" s="168">
        <v>725.4</v>
      </c>
      <c r="AE628" s="168">
        <v>725.4</v>
      </c>
      <c r="AF628" s="168">
        <v>725.4</v>
      </c>
      <c r="AG628" s="575">
        <f t="shared" si="223"/>
        <v>1</v>
      </c>
      <c r="AH628" s="151"/>
    </row>
    <row r="629" spans="1:34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R629" s="3"/>
      <c r="S629" s="3"/>
      <c r="W629" s="3"/>
      <c r="X629" s="278" t="s">
        <v>33</v>
      </c>
      <c r="Y629" s="11" t="s">
        <v>61</v>
      </c>
      <c r="Z629" s="1">
        <v>10</v>
      </c>
      <c r="AA629" s="529" t="s">
        <v>51</v>
      </c>
      <c r="AB629" s="33"/>
      <c r="AC629" s="309"/>
      <c r="AD629" s="168">
        <f t="shared" ref="AD629:AF636" si="228">AD630</f>
        <v>38949</v>
      </c>
      <c r="AE629" s="168">
        <f t="shared" si="228"/>
        <v>38189</v>
      </c>
      <c r="AF629" s="168">
        <f t="shared" si="228"/>
        <v>38188.199999999997</v>
      </c>
      <c r="AG629" s="575">
        <f t="shared" si="223"/>
        <v>0.99997905155934952</v>
      </c>
      <c r="AH629" s="151"/>
    </row>
    <row r="630" spans="1:34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R630" s="3"/>
      <c r="S630" s="3"/>
      <c r="W630" s="3"/>
      <c r="X630" s="284" t="s">
        <v>187</v>
      </c>
      <c r="Y630" s="11" t="s">
        <v>61</v>
      </c>
      <c r="Z630" s="1">
        <v>10</v>
      </c>
      <c r="AA630" s="529" t="s">
        <v>51</v>
      </c>
      <c r="AB630" s="33" t="s">
        <v>119</v>
      </c>
      <c r="AC630" s="309"/>
      <c r="AD630" s="168">
        <f>AD631</f>
        <v>38949</v>
      </c>
      <c r="AE630" s="168">
        <f>AE631</f>
        <v>38189</v>
      </c>
      <c r="AF630" s="168">
        <f>AF631</f>
        <v>38188.199999999997</v>
      </c>
      <c r="AG630" s="575">
        <f t="shared" si="223"/>
        <v>0.99997905155934952</v>
      </c>
      <c r="AH630" s="151"/>
    </row>
    <row r="631" spans="1:34" ht="31.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R631" s="3"/>
      <c r="S631" s="3"/>
      <c r="W631" s="3"/>
      <c r="X631" s="402" t="s">
        <v>493</v>
      </c>
      <c r="Y631" s="11" t="s">
        <v>61</v>
      </c>
      <c r="Z631" s="1">
        <v>10</v>
      </c>
      <c r="AA631" s="529" t="s">
        <v>51</v>
      </c>
      <c r="AB631" s="163" t="s">
        <v>150</v>
      </c>
      <c r="AC631" s="309"/>
      <c r="AD631" s="168">
        <f>AD633</f>
        <v>38949</v>
      </c>
      <c r="AE631" s="168">
        <f>AE633</f>
        <v>38189</v>
      </c>
      <c r="AF631" s="168">
        <f>AF633</f>
        <v>38188.199999999997</v>
      </c>
      <c r="AG631" s="575">
        <f t="shared" si="223"/>
        <v>0.99997905155934952</v>
      </c>
      <c r="AH631" s="151"/>
    </row>
    <row r="632" spans="1:34" ht="47.2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R632" s="3"/>
      <c r="S632" s="3"/>
      <c r="W632" s="3"/>
      <c r="X632" s="402" t="s">
        <v>494</v>
      </c>
      <c r="Y632" s="11" t="s">
        <v>61</v>
      </c>
      <c r="Z632" s="1">
        <v>10</v>
      </c>
      <c r="AA632" s="529" t="s">
        <v>51</v>
      </c>
      <c r="AB632" s="163" t="s">
        <v>149</v>
      </c>
      <c r="AC632" s="309"/>
      <c r="AD632" s="168">
        <f>AD633</f>
        <v>38949</v>
      </c>
      <c r="AE632" s="168">
        <f>AE633</f>
        <v>38189</v>
      </c>
      <c r="AF632" s="168">
        <f>AF633</f>
        <v>38188.199999999997</v>
      </c>
      <c r="AG632" s="575">
        <f t="shared" si="223"/>
        <v>0.99997905155934952</v>
      </c>
      <c r="AH632" s="151"/>
    </row>
    <row r="633" spans="1:34" ht="47.2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R633" s="3"/>
      <c r="S633" s="3"/>
      <c r="W633" s="3"/>
      <c r="X633" s="299" t="s">
        <v>188</v>
      </c>
      <c r="Y633" s="11" t="s">
        <v>61</v>
      </c>
      <c r="Z633" s="1">
        <v>10</v>
      </c>
      <c r="AA633" s="529" t="s">
        <v>51</v>
      </c>
      <c r="AB633" s="163" t="s">
        <v>148</v>
      </c>
      <c r="AC633" s="309"/>
      <c r="AD633" s="168">
        <f>AD636+AD634</f>
        <v>38949</v>
      </c>
      <c r="AE633" s="168">
        <f>AE636+AE634</f>
        <v>38189</v>
      </c>
      <c r="AF633" s="168">
        <f>AF636+AF634</f>
        <v>38188.199999999997</v>
      </c>
      <c r="AG633" s="575">
        <f t="shared" si="223"/>
        <v>0.99997905155934952</v>
      </c>
      <c r="AH633" s="151"/>
    </row>
    <row r="634" spans="1:34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R634" s="3"/>
      <c r="S634" s="3"/>
      <c r="W634" s="3"/>
      <c r="X634" s="278" t="s">
        <v>100</v>
      </c>
      <c r="Y634" s="11" t="s">
        <v>61</v>
      </c>
      <c r="Z634" s="1">
        <v>10</v>
      </c>
      <c r="AA634" s="529" t="s">
        <v>51</v>
      </c>
      <c r="AB634" s="304" t="s">
        <v>148</v>
      </c>
      <c r="AC634" s="309">
        <v>300</v>
      </c>
      <c r="AD634" s="168">
        <f>AD635</f>
        <v>19637.2</v>
      </c>
      <c r="AE634" s="168">
        <f>AE635</f>
        <v>19627.2</v>
      </c>
      <c r="AF634" s="168">
        <f t="shared" ref="AF634" si="229">AF635</f>
        <v>19627.2</v>
      </c>
      <c r="AG634" s="575">
        <f t="shared" si="223"/>
        <v>1</v>
      </c>
      <c r="AH634" s="151"/>
    </row>
    <row r="635" spans="1:34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R635" s="3"/>
      <c r="S635" s="3"/>
      <c r="W635" s="3"/>
      <c r="X635" s="278" t="s">
        <v>42</v>
      </c>
      <c r="Y635" s="11" t="s">
        <v>61</v>
      </c>
      <c r="Z635" s="1">
        <v>10</v>
      </c>
      <c r="AA635" s="529" t="s">
        <v>51</v>
      </c>
      <c r="AB635" s="304" t="s">
        <v>148</v>
      </c>
      <c r="AC635" s="309">
        <v>320</v>
      </c>
      <c r="AD635" s="168">
        <f>5001.1+9760.7+4875.4</f>
        <v>19637.2</v>
      </c>
      <c r="AE635" s="168">
        <v>19627.2</v>
      </c>
      <c r="AF635" s="168">
        <v>19627.2</v>
      </c>
      <c r="AG635" s="575">
        <f t="shared" si="223"/>
        <v>1</v>
      </c>
      <c r="AH635" s="151"/>
    </row>
    <row r="636" spans="1:34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R636" s="3"/>
      <c r="S636" s="3"/>
      <c r="W636" s="3"/>
      <c r="X636" s="408" t="s">
        <v>24</v>
      </c>
      <c r="Y636" s="11" t="s">
        <v>61</v>
      </c>
      <c r="Z636" s="1">
        <v>10</v>
      </c>
      <c r="AA636" s="529" t="s">
        <v>51</v>
      </c>
      <c r="AB636" s="304" t="s">
        <v>148</v>
      </c>
      <c r="AC636" s="309">
        <v>400</v>
      </c>
      <c r="AD636" s="168">
        <f t="shared" si="228"/>
        <v>19311.800000000003</v>
      </c>
      <c r="AE636" s="168">
        <f t="shared" si="228"/>
        <v>18561.8</v>
      </c>
      <c r="AF636" s="168">
        <f t="shared" si="228"/>
        <v>18561</v>
      </c>
      <c r="AG636" s="575">
        <f t="shared" si="223"/>
        <v>0.99995690073161014</v>
      </c>
      <c r="AH636" s="151"/>
    </row>
    <row r="637" spans="1:34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R637" s="3"/>
      <c r="S637" s="3"/>
      <c r="W637" s="3"/>
      <c r="X637" s="278" t="s">
        <v>9</v>
      </c>
      <c r="Y637" s="11" t="s">
        <v>61</v>
      </c>
      <c r="Z637" s="1">
        <v>10</v>
      </c>
      <c r="AA637" s="529" t="s">
        <v>51</v>
      </c>
      <c r="AB637" s="304" t="s">
        <v>148</v>
      </c>
      <c r="AC637" s="309">
        <v>410</v>
      </c>
      <c r="AD637" s="168">
        <f>15034-5001.1+23915-9760.7-4875.4</f>
        <v>19311.800000000003</v>
      </c>
      <c r="AE637" s="168">
        <v>18561.8</v>
      </c>
      <c r="AF637" s="168">
        <v>18561</v>
      </c>
      <c r="AG637" s="575">
        <f t="shared" si="223"/>
        <v>0.99995690073161014</v>
      </c>
      <c r="AH637" s="151"/>
    </row>
    <row r="638" spans="1:34" ht="18.75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R638" s="3"/>
      <c r="S638" s="3"/>
      <c r="W638" s="3"/>
      <c r="X638" s="279" t="s">
        <v>456</v>
      </c>
      <c r="Y638" s="199" t="s">
        <v>457</v>
      </c>
      <c r="Z638" s="276"/>
      <c r="AA638" s="562"/>
      <c r="AB638" s="33"/>
      <c r="AC638" s="311"/>
      <c r="AD638" s="170">
        <f>AD639+AD647+AD804</f>
        <v>1218833.8</v>
      </c>
      <c r="AE638" s="170">
        <f>AE647+AE639+AE804</f>
        <v>1215592.7000000002</v>
      </c>
      <c r="AF638" s="170">
        <f>AF639+AF647+AF804</f>
        <v>1185077.3000000003</v>
      </c>
      <c r="AG638" s="574">
        <f t="shared" si="223"/>
        <v>0.97489669031411597</v>
      </c>
      <c r="AH638" s="151"/>
    </row>
    <row r="639" spans="1:34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R639" s="3"/>
      <c r="S639" s="3"/>
      <c r="W639" s="3"/>
      <c r="X639" s="279" t="s">
        <v>27</v>
      </c>
      <c r="Y639" s="199" t="s">
        <v>457</v>
      </c>
      <c r="Z639" s="23" t="s">
        <v>31</v>
      </c>
      <c r="AA639" s="557"/>
      <c r="AB639" s="33"/>
      <c r="AC639" s="311"/>
      <c r="AD639" s="168">
        <f t="shared" ref="AD639:AF645" si="230">AD640</f>
        <v>23220.5</v>
      </c>
      <c r="AE639" s="168">
        <f t="shared" si="230"/>
        <v>23220.5</v>
      </c>
      <c r="AF639" s="168">
        <f t="shared" si="230"/>
        <v>23220.5</v>
      </c>
      <c r="AG639" s="575">
        <f t="shared" si="223"/>
        <v>1</v>
      </c>
      <c r="AH639" s="151"/>
    </row>
    <row r="640" spans="1:34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R640" s="3"/>
      <c r="S640" s="3"/>
      <c r="W640" s="3"/>
      <c r="X640" s="278" t="s">
        <v>15</v>
      </c>
      <c r="Y640" s="11" t="s">
        <v>457</v>
      </c>
      <c r="Z640" s="18" t="s">
        <v>31</v>
      </c>
      <c r="AA640" s="559">
        <v>13</v>
      </c>
      <c r="AB640" s="163"/>
      <c r="AC640" s="311"/>
      <c r="AD640" s="168">
        <f t="shared" si="230"/>
        <v>23220.5</v>
      </c>
      <c r="AE640" s="168">
        <f t="shared" si="230"/>
        <v>23220.5</v>
      </c>
      <c r="AF640" s="168">
        <f t="shared" si="230"/>
        <v>23220.5</v>
      </c>
      <c r="AG640" s="575">
        <f t="shared" si="223"/>
        <v>1</v>
      </c>
      <c r="AH640" s="151"/>
    </row>
    <row r="641" spans="1:3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R641" s="3"/>
      <c r="S641" s="3"/>
      <c r="W641" s="3"/>
      <c r="X641" s="284" t="s">
        <v>193</v>
      </c>
      <c r="Y641" s="11" t="s">
        <v>457</v>
      </c>
      <c r="Z641" s="18" t="s">
        <v>31</v>
      </c>
      <c r="AA641" s="559">
        <v>13</v>
      </c>
      <c r="AB641" s="163" t="s">
        <v>115</v>
      </c>
      <c r="AC641" s="311"/>
      <c r="AD641" s="168">
        <f t="shared" si="230"/>
        <v>23220.5</v>
      </c>
      <c r="AE641" s="168">
        <f t="shared" si="230"/>
        <v>23220.5</v>
      </c>
      <c r="AF641" s="168">
        <f t="shared" si="230"/>
        <v>23220.5</v>
      </c>
      <c r="AG641" s="575">
        <f t="shared" si="223"/>
        <v>1</v>
      </c>
      <c r="AH641" s="151"/>
    </row>
    <row r="642" spans="1:3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R642" s="3"/>
      <c r="S642" s="3"/>
      <c r="W642" s="3"/>
      <c r="X642" s="284" t="s">
        <v>198</v>
      </c>
      <c r="Y642" s="11" t="s">
        <v>457</v>
      </c>
      <c r="Z642" s="18" t="s">
        <v>31</v>
      </c>
      <c r="AA642" s="559">
        <v>13</v>
      </c>
      <c r="AB642" s="163" t="s">
        <v>199</v>
      </c>
      <c r="AC642" s="311"/>
      <c r="AD642" s="168">
        <f t="shared" si="230"/>
        <v>23220.5</v>
      </c>
      <c r="AE642" s="168">
        <f t="shared" si="230"/>
        <v>23220.5</v>
      </c>
      <c r="AF642" s="168">
        <f t="shared" si="230"/>
        <v>23220.5</v>
      </c>
      <c r="AG642" s="575">
        <f t="shared" si="223"/>
        <v>1</v>
      </c>
      <c r="AH642" s="151"/>
    </row>
    <row r="643" spans="1:35" ht="31.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R643" s="3"/>
      <c r="S643" s="3"/>
      <c r="W643" s="3"/>
      <c r="X643" s="284" t="s">
        <v>200</v>
      </c>
      <c r="Y643" s="11" t="s">
        <v>457</v>
      </c>
      <c r="Z643" s="18" t="s">
        <v>31</v>
      </c>
      <c r="AA643" s="559">
        <v>13</v>
      </c>
      <c r="AB643" s="163" t="s">
        <v>201</v>
      </c>
      <c r="AC643" s="311"/>
      <c r="AD643" s="168">
        <f>AD644</f>
        <v>23220.5</v>
      </c>
      <c r="AE643" s="168">
        <f>AE644</f>
        <v>23220.5</v>
      </c>
      <c r="AF643" s="168">
        <f>AF644</f>
        <v>23220.5</v>
      </c>
      <c r="AG643" s="575">
        <f t="shared" si="223"/>
        <v>1</v>
      </c>
      <c r="AH643" s="151"/>
    </row>
    <row r="644" spans="1:35" ht="31.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R644" s="3"/>
      <c r="S644" s="3"/>
      <c r="W644" s="3"/>
      <c r="X644" s="283" t="s">
        <v>226</v>
      </c>
      <c r="Y644" s="11" t="s">
        <v>457</v>
      </c>
      <c r="Z644" s="18" t="s">
        <v>31</v>
      </c>
      <c r="AA644" s="559">
        <v>13</v>
      </c>
      <c r="AB644" s="306" t="s">
        <v>227</v>
      </c>
      <c r="AC644" s="311"/>
      <c r="AD644" s="168">
        <f t="shared" si="230"/>
        <v>23220.5</v>
      </c>
      <c r="AE644" s="168">
        <f t="shared" si="230"/>
        <v>23220.5</v>
      </c>
      <c r="AF644" s="168">
        <f t="shared" si="230"/>
        <v>23220.5</v>
      </c>
      <c r="AG644" s="575">
        <f t="shared" si="223"/>
        <v>1</v>
      </c>
      <c r="AH644" s="151"/>
    </row>
    <row r="645" spans="1:35" ht="31.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R645" s="3"/>
      <c r="S645" s="3"/>
      <c r="W645" s="3"/>
      <c r="X645" s="278" t="s">
        <v>62</v>
      </c>
      <c r="Y645" s="11" t="s">
        <v>457</v>
      </c>
      <c r="Z645" s="18" t="s">
        <v>31</v>
      </c>
      <c r="AA645" s="559">
        <v>13</v>
      </c>
      <c r="AB645" s="306" t="s">
        <v>227</v>
      </c>
      <c r="AC645" s="322">
        <v>600</v>
      </c>
      <c r="AD645" s="168">
        <f t="shared" si="230"/>
        <v>23220.5</v>
      </c>
      <c r="AE645" s="168">
        <f t="shared" si="230"/>
        <v>23220.5</v>
      </c>
      <c r="AF645" s="168">
        <f t="shared" si="230"/>
        <v>23220.5</v>
      </c>
      <c r="AG645" s="575">
        <f t="shared" si="223"/>
        <v>1</v>
      </c>
      <c r="AH645" s="151"/>
    </row>
    <row r="646" spans="1:3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R646" s="3"/>
      <c r="S646" s="3"/>
      <c r="W646" s="3"/>
      <c r="X646" s="278" t="s">
        <v>63</v>
      </c>
      <c r="Y646" s="11" t="s">
        <v>457</v>
      </c>
      <c r="Z646" s="18" t="s">
        <v>31</v>
      </c>
      <c r="AA646" s="559">
        <v>13</v>
      </c>
      <c r="AB646" s="306" t="s">
        <v>227</v>
      </c>
      <c r="AC646" s="322">
        <v>610</v>
      </c>
      <c r="AD646" s="168">
        <v>23220.5</v>
      </c>
      <c r="AE646" s="168">
        <v>23220.5</v>
      </c>
      <c r="AF646" s="168">
        <v>23220.5</v>
      </c>
      <c r="AG646" s="575">
        <f t="shared" si="223"/>
        <v>1</v>
      </c>
      <c r="AH646" s="151"/>
    </row>
    <row r="647" spans="1:3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R647" s="3"/>
      <c r="S647" s="3"/>
      <c r="W647" s="3"/>
      <c r="X647" s="279" t="s">
        <v>4</v>
      </c>
      <c r="Y647" s="199" t="s">
        <v>457</v>
      </c>
      <c r="Z647" s="12" t="s">
        <v>8</v>
      </c>
      <c r="AA647" s="561"/>
      <c r="AB647" s="305"/>
      <c r="AC647" s="310"/>
      <c r="AD647" s="170">
        <f>AD648+AD683+AD743+AD771+AD764</f>
        <v>1176791.1000000001</v>
      </c>
      <c r="AE647" s="170">
        <f>AE648+AE683+AE743+AE771+AE764</f>
        <v>1174486.0000000002</v>
      </c>
      <c r="AF647" s="170">
        <f>AF648+AF683+AF743+AF771+AF764</f>
        <v>1146331.3000000003</v>
      </c>
      <c r="AG647" s="574">
        <f t="shared" si="223"/>
        <v>0.97602806674579357</v>
      </c>
      <c r="AH647" s="151"/>
    </row>
    <row r="648" spans="1:3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R648" s="3"/>
      <c r="S648" s="3"/>
      <c r="W648" s="3"/>
      <c r="X648" s="278" t="s">
        <v>20</v>
      </c>
      <c r="Y648" s="11" t="s">
        <v>457</v>
      </c>
      <c r="Z648" s="2" t="s">
        <v>8</v>
      </c>
      <c r="AA648" s="529" t="s">
        <v>31</v>
      </c>
      <c r="AB648" s="33"/>
      <c r="AC648" s="309"/>
      <c r="AD648" s="168">
        <f>AD649+AD662+AD671+AD678</f>
        <v>467676.60000000003</v>
      </c>
      <c r="AE648" s="168">
        <f>AE649+AE662+AE671+AE678</f>
        <v>451734.60000000003</v>
      </c>
      <c r="AF648" s="168">
        <f t="shared" ref="AF648" si="231">AF649+AF662+AF671+AF678</f>
        <v>449352</v>
      </c>
      <c r="AG648" s="575">
        <f t="shared" si="223"/>
        <v>0.99472566413996177</v>
      </c>
      <c r="AH648" s="473"/>
      <c r="AI648" s="473"/>
    </row>
    <row r="649" spans="1:3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R649" s="3"/>
      <c r="S649" s="3"/>
      <c r="W649" s="3"/>
      <c r="X649" s="280" t="s">
        <v>278</v>
      </c>
      <c r="Y649" s="202" t="s">
        <v>457</v>
      </c>
      <c r="Z649" s="1" t="s">
        <v>8</v>
      </c>
      <c r="AA649" s="529" t="s">
        <v>31</v>
      </c>
      <c r="AB649" s="163" t="s">
        <v>103</v>
      </c>
      <c r="AC649" s="311"/>
      <c r="AD649" s="168">
        <f>AD650</f>
        <v>464170.7</v>
      </c>
      <c r="AE649" s="168">
        <f>AE650</f>
        <v>448228.7</v>
      </c>
      <c r="AF649" s="168">
        <f t="shared" ref="AF649" si="232">AF650</f>
        <v>446747.6</v>
      </c>
      <c r="AG649" s="575">
        <f t="shared" si="223"/>
        <v>0.99669566005032695</v>
      </c>
      <c r="AH649" s="151"/>
    </row>
    <row r="650" spans="1:3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R650" s="3"/>
      <c r="S650" s="3"/>
      <c r="W650" s="3"/>
      <c r="X650" s="280" t="s">
        <v>282</v>
      </c>
      <c r="Y650" s="202" t="s">
        <v>457</v>
      </c>
      <c r="Z650" s="2" t="s">
        <v>8</v>
      </c>
      <c r="AA650" s="529" t="s">
        <v>31</v>
      </c>
      <c r="AB650" s="163" t="s">
        <v>120</v>
      </c>
      <c r="AC650" s="309"/>
      <c r="AD650" s="168">
        <f>AD651+AD667</f>
        <v>464170.7</v>
      </c>
      <c r="AE650" s="168">
        <f>AE651+AE667</f>
        <v>448228.7</v>
      </c>
      <c r="AF650" s="168">
        <f>AF651+AF667</f>
        <v>446747.6</v>
      </c>
      <c r="AG650" s="575">
        <f t="shared" si="223"/>
        <v>0.99669566005032695</v>
      </c>
      <c r="AH650" s="151"/>
    </row>
    <row r="651" spans="1:35" ht="31.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R651" s="3"/>
      <c r="S651" s="3"/>
      <c r="W651" s="3"/>
      <c r="X651" s="280" t="s">
        <v>506</v>
      </c>
      <c r="Y651" s="11" t="s">
        <v>457</v>
      </c>
      <c r="Z651" s="8" t="s">
        <v>8</v>
      </c>
      <c r="AA651" s="531" t="s">
        <v>31</v>
      </c>
      <c r="AB651" s="163" t="s">
        <v>505</v>
      </c>
      <c r="AC651" s="311"/>
      <c r="AD651" s="168">
        <f>AD652+AD659</f>
        <v>462742.7</v>
      </c>
      <c r="AE651" s="168">
        <f>AE652+AE659</f>
        <v>446800.7</v>
      </c>
      <c r="AF651" s="168">
        <f t="shared" ref="AF651" si="233">AF652+AF659</f>
        <v>445704.3</v>
      </c>
      <c r="AG651" s="575">
        <f t="shared" si="223"/>
        <v>0.99754610948460909</v>
      </c>
      <c r="AH651" s="151"/>
    </row>
    <row r="652" spans="1:35" ht="31.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R652" s="3"/>
      <c r="S652" s="3"/>
      <c r="W652" s="3"/>
      <c r="X652" s="401" t="s">
        <v>280</v>
      </c>
      <c r="Y652" s="11" t="s">
        <v>457</v>
      </c>
      <c r="Z652" s="2" t="s">
        <v>8</v>
      </c>
      <c r="AA652" s="529" t="s">
        <v>31</v>
      </c>
      <c r="AB652" s="163" t="s">
        <v>508</v>
      </c>
      <c r="AC652" s="332"/>
      <c r="AD652" s="168">
        <f>AD653+AD656</f>
        <v>150817.70000000001</v>
      </c>
      <c r="AE652" s="168">
        <f>AE653+AE656</f>
        <v>150817.70000000001</v>
      </c>
      <c r="AF652" s="168">
        <f t="shared" ref="AF652" si="234">AF653+AF656</f>
        <v>150813.79999999999</v>
      </c>
      <c r="AG652" s="575">
        <f t="shared" si="223"/>
        <v>0.99997414096621273</v>
      </c>
      <c r="AH652" s="151"/>
    </row>
    <row r="653" spans="1:35" ht="31.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R653" s="3"/>
      <c r="S653" s="3"/>
      <c r="W653" s="3"/>
      <c r="X653" s="401" t="s">
        <v>356</v>
      </c>
      <c r="Y653" s="11" t="s">
        <v>457</v>
      </c>
      <c r="Z653" s="2" t="s">
        <v>8</v>
      </c>
      <c r="AA653" s="529" t="s">
        <v>31</v>
      </c>
      <c r="AB653" s="163" t="s">
        <v>509</v>
      </c>
      <c r="AC653" s="309"/>
      <c r="AD653" s="168">
        <f>AD654</f>
        <v>146419</v>
      </c>
      <c r="AE653" s="168">
        <f>AE654</f>
        <v>146419</v>
      </c>
      <c r="AF653" s="168">
        <f t="shared" ref="AD653:AF654" si="235">AF654</f>
        <v>146419</v>
      </c>
      <c r="AG653" s="575">
        <f t="shared" si="223"/>
        <v>1</v>
      </c>
      <c r="AH653" s="151"/>
    </row>
    <row r="654" spans="1:35" ht="31.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R654" s="3"/>
      <c r="S654" s="3"/>
      <c r="W654" s="3"/>
      <c r="X654" s="278" t="s">
        <v>62</v>
      </c>
      <c r="Y654" s="11" t="s">
        <v>457</v>
      </c>
      <c r="Z654" s="2" t="s">
        <v>8</v>
      </c>
      <c r="AA654" s="529" t="s">
        <v>31</v>
      </c>
      <c r="AB654" s="163" t="s">
        <v>509</v>
      </c>
      <c r="AC654" s="309">
        <v>600</v>
      </c>
      <c r="AD654" s="168">
        <f t="shared" si="235"/>
        <v>146419</v>
      </c>
      <c r="AE654" s="168">
        <f t="shared" si="235"/>
        <v>146419</v>
      </c>
      <c r="AF654" s="168">
        <f t="shared" si="235"/>
        <v>146419</v>
      </c>
      <c r="AG654" s="575">
        <f t="shared" si="223"/>
        <v>1</v>
      </c>
      <c r="AH654" s="151"/>
    </row>
    <row r="655" spans="1:3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R655" s="3"/>
      <c r="S655" s="3"/>
      <c r="W655" s="3"/>
      <c r="X655" s="278" t="s">
        <v>63</v>
      </c>
      <c r="Y655" s="11" t="s">
        <v>457</v>
      </c>
      <c r="Z655" s="1" t="s">
        <v>8</v>
      </c>
      <c r="AA655" s="529" t="s">
        <v>31</v>
      </c>
      <c r="AB655" s="163" t="s">
        <v>509</v>
      </c>
      <c r="AC655" s="309">
        <v>610</v>
      </c>
      <c r="AD655" s="168">
        <f>133017.4+20501.6+4797-4797-7200+100</f>
        <v>146419</v>
      </c>
      <c r="AE655" s="168">
        <f>133017.4+20501.6+4797-4797-7200+100</f>
        <v>146419</v>
      </c>
      <c r="AF655" s="168">
        <v>146419</v>
      </c>
      <c r="AG655" s="575">
        <f t="shared" si="223"/>
        <v>1</v>
      </c>
      <c r="AH655" s="151"/>
    </row>
    <row r="656" spans="1:35" ht="31.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R656" s="3"/>
      <c r="S656" s="3"/>
      <c r="W656" s="3"/>
      <c r="X656" s="278" t="s">
        <v>281</v>
      </c>
      <c r="Y656" s="11" t="s">
        <v>457</v>
      </c>
      <c r="Z656" s="1" t="s">
        <v>8</v>
      </c>
      <c r="AA656" s="529" t="s">
        <v>31</v>
      </c>
      <c r="AB656" s="163" t="s">
        <v>528</v>
      </c>
      <c r="AC656" s="309"/>
      <c r="AD656" s="168">
        <f t="shared" ref="AD656:AF657" si="236">AD657</f>
        <v>4398.7</v>
      </c>
      <c r="AE656" s="168">
        <f t="shared" si="236"/>
        <v>4398.7</v>
      </c>
      <c r="AF656" s="168">
        <f t="shared" si="236"/>
        <v>4394.8</v>
      </c>
      <c r="AG656" s="575">
        <f t="shared" si="223"/>
        <v>0.99911337440607462</v>
      </c>
      <c r="AH656" s="151"/>
    </row>
    <row r="657" spans="1:34" ht="31.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R657" s="3"/>
      <c r="S657" s="3"/>
      <c r="W657" s="3"/>
      <c r="X657" s="278" t="s">
        <v>62</v>
      </c>
      <c r="Y657" s="11" t="s">
        <v>457</v>
      </c>
      <c r="Z657" s="1" t="s">
        <v>8</v>
      </c>
      <c r="AA657" s="529" t="s">
        <v>31</v>
      </c>
      <c r="AB657" s="163" t="s">
        <v>528</v>
      </c>
      <c r="AC657" s="309">
        <v>600</v>
      </c>
      <c r="AD657" s="168">
        <f t="shared" si="236"/>
        <v>4398.7</v>
      </c>
      <c r="AE657" s="168">
        <f t="shared" si="236"/>
        <v>4398.7</v>
      </c>
      <c r="AF657" s="168">
        <f t="shared" si="236"/>
        <v>4394.8</v>
      </c>
      <c r="AG657" s="575">
        <f t="shared" si="223"/>
        <v>0.99911337440607462</v>
      </c>
      <c r="AH657" s="151"/>
    </row>
    <row r="658" spans="1:34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R658" s="3"/>
      <c r="S658" s="3"/>
      <c r="W658" s="3"/>
      <c r="X658" s="278" t="s">
        <v>63</v>
      </c>
      <c r="Y658" s="11" t="s">
        <v>457</v>
      </c>
      <c r="Z658" s="2" t="s">
        <v>8</v>
      </c>
      <c r="AA658" s="529" t="s">
        <v>31</v>
      </c>
      <c r="AB658" s="163" t="s">
        <v>528</v>
      </c>
      <c r="AC658" s="309">
        <v>610</v>
      </c>
      <c r="AD658" s="168">
        <f>360+1592.9+3268-260-562.2</f>
        <v>4398.7</v>
      </c>
      <c r="AE658" s="168">
        <f>360+1592.9+3268-260-562.2</f>
        <v>4398.7</v>
      </c>
      <c r="AF658" s="168">
        <v>4394.8</v>
      </c>
      <c r="AG658" s="575">
        <f t="shared" si="223"/>
        <v>0.99911337440607462</v>
      </c>
      <c r="AH658" s="151"/>
    </row>
    <row r="659" spans="1:34" ht="126" x14ac:dyDescent="0.25">
      <c r="X659" s="281" t="s">
        <v>586</v>
      </c>
      <c r="Y659" s="11" t="s">
        <v>457</v>
      </c>
      <c r="Z659" s="8" t="s">
        <v>8</v>
      </c>
      <c r="AA659" s="531" t="s">
        <v>31</v>
      </c>
      <c r="AB659" s="163" t="s">
        <v>534</v>
      </c>
      <c r="AC659" s="332"/>
      <c r="AD659" s="168">
        <f t="shared" ref="AD659:AF660" si="237">AD660</f>
        <v>311925</v>
      </c>
      <c r="AE659" s="168">
        <f t="shared" si="237"/>
        <v>295983</v>
      </c>
      <c r="AF659" s="168">
        <f t="shared" si="237"/>
        <v>294890.5</v>
      </c>
      <c r="AG659" s="575">
        <f t="shared" si="223"/>
        <v>0.99630890963332353</v>
      </c>
      <c r="AH659" s="151"/>
    </row>
    <row r="660" spans="1:34" ht="31.5" x14ac:dyDescent="0.25">
      <c r="X660" s="278" t="s">
        <v>62</v>
      </c>
      <c r="Y660" s="202" t="s">
        <v>457</v>
      </c>
      <c r="Z660" s="8" t="s">
        <v>8</v>
      </c>
      <c r="AA660" s="531" t="s">
        <v>31</v>
      </c>
      <c r="AB660" s="163" t="s">
        <v>534</v>
      </c>
      <c r="AC660" s="311">
        <v>600</v>
      </c>
      <c r="AD660" s="168">
        <f t="shared" si="237"/>
        <v>311925</v>
      </c>
      <c r="AE660" s="168">
        <f t="shared" si="237"/>
        <v>295983</v>
      </c>
      <c r="AF660" s="168">
        <f t="shared" si="237"/>
        <v>294890.5</v>
      </c>
      <c r="AG660" s="575">
        <f t="shared" si="223"/>
        <v>0.99630890963332353</v>
      </c>
      <c r="AH660" s="151"/>
    </row>
    <row r="661" spans="1:34" x14ac:dyDescent="0.25">
      <c r="X661" s="278" t="s">
        <v>63</v>
      </c>
      <c r="Y661" s="11" t="s">
        <v>457</v>
      </c>
      <c r="Z661" s="2" t="s">
        <v>8</v>
      </c>
      <c r="AA661" s="529" t="s">
        <v>31</v>
      </c>
      <c r="AB661" s="163" t="s">
        <v>534</v>
      </c>
      <c r="AC661" s="311">
        <v>610</v>
      </c>
      <c r="AD661" s="168">
        <f>238182+72439+5203+500-5024+625</f>
        <v>311925</v>
      </c>
      <c r="AE661" s="168">
        <v>295983</v>
      </c>
      <c r="AF661" s="168">
        <v>294890.5</v>
      </c>
      <c r="AG661" s="575">
        <f t="shared" si="223"/>
        <v>0.99630890963332353</v>
      </c>
      <c r="AH661" s="151"/>
    </row>
    <row r="662" spans="1:34" hidden="1" x14ac:dyDescent="0.25">
      <c r="X662" s="297" t="s">
        <v>354</v>
      </c>
      <c r="Y662" s="11" t="s">
        <v>457</v>
      </c>
      <c r="Z662" s="2" t="s">
        <v>8</v>
      </c>
      <c r="AA662" s="529" t="s">
        <v>31</v>
      </c>
      <c r="AB662" s="33" t="s">
        <v>140</v>
      </c>
      <c r="AC662" s="317"/>
      <c r="AD662" s="168">
        <f t="shared" ref="AD662:AE665" si="238">AD663</f>
        <v>0</v>
      </c>
      <c r="AE662" s="168">
        <f t="shared" si="238"/>
        <v>0</v>
      </c>
      <c r="AF662" s="168">
        <f t="shared" ref="AF662:AF665" si="239">AF663</f>
        <v>0</v>
      </c>
      <c r="AG662" s="575" t="e">
        <f t="shared" si="223"/>
        <v>#DIV/0!</v>
      </c>
      <c r="AH662" s="151"/>
    </row>
    <row r="663" spans="1:34" hidden="1" x14ac:dyDescent="0.25">
      <c r="X663" s="409" t="s">
        <v>470</v>
      </c>
      <c r="Y663" s="11" t="s">
        <v>457</v>
      </c>
      <c r="Z663" s="8" t="s">
        <v>8</v>
      </c>
      <c r="AA663" s="531" t="s">
        <v>31</v>
      </c>
      <c r="AB663" s="308" t="s">
        <v>471</v>
      </c>
      <c r="AC663" s="317"/>
      <c r="AD663" s="168">
        <f t="shared" si="238"/>
        <v>0</v>
      </c>
      <c r="AE663" s="168">
        <f t="shared" si="238"/>
        <v>0</v>
      </c>
      <c r="AF663" s="168">
        <f t="shared" si="239"/>
        <v>0</v>
      </c>
      <c r="AG663" s="575" t="e">
        <f t="shared" si="223"/>
        <v>#DIV/0!</v>
      </c>
      <c r="AH663" s="151"/>
    </row>
    <row r="664" spans="1:34" ht="97.15" hidden="1" customHeight="1" x14ac:dyDescent="0.25">
      <c r="X664" s="278" t="s">
        <v>479</v>
      </c>
      <c r="Y664" s="11" t="s">
        <v>457</v>
      </c>
      <c r="Z664" s="8" t="s">
        <v>8</v>
      </c>
      <c r="AA664" s="531" t="s">
        <v>31</v>
      </c>
      <c r="AB664" s="308" t="s">
        <v>480</v>
      </c>
      <c r="AC664" s="317"/>
      <c r="AD664" s="168">
        <f t="shared" si="238"/>
        <v>0</v>
      </c>
      <c r="AE664" s="168">
        <f t="shared" si="238"/>
        <v>0</v>
      </c>
      <c r="AF664" s="168">
        <f t="shared" si="239"/>
        <v>0</v>
      </c>
      <c r="AG664" s="575" t="e">
        <f t="shared" si="223"/>
        <v>#DIV/0!</v>
      </c>
      <c r="AH664" s="151"/>
    </row>
    <row r="665" spans="1:34" hidden="1" x14ac:dyDescent="0.25">
      <c r="X665" s="278" t="s">
        <v>44</v>
      </c>
      <c r="Y665" s="11" t="s">
        <v>457</v>
      </c>
      <c r="Z665" s="2" t="s">
        <v>8</v>
      </c>
      <c r="AA665" s="529" t="s">
        <v>31</v>
      </c>
      <c r="AB665" s="308" t="s">
        <v>480</v>
      </c>
      <c r="AC665" s="317" t="s">
        <v>373</v>
      </c>
      <c r="AD665" s="168">
        <f t="shared" si="238"/>
        <v>0</v>
      </c>
      <c r="AE665" s="168">
        <f t="shared" si="238"/>
        <v>0</v>
      </c>
      <c r="AF665" s="168">
        <f t="shared" si="239"/>
        <v>0</v>
      </c>
      <c r="AG665" s="575" t="e">
        <f t="shared" si="223"/>
        <v>#DIV/0!</v>
      </c>
      <c r="AH665" s="151"/>
    </row>
    <row r="666" spans="1:34" hidden="1" x14ac:dyDescent="0.25">
      <c r="X666" s="278" t="s">
        <v>60</v>
      </c>
      <c r="Y666" s="11" t="s">
        <v>457</v>
      </c>
      <c r="Z666" s="2" t="s">
        <v>8</v>
      </c>
      <c r="AA666" s="529" t="s">
        <v>31</v>
      </c>
      <c r="AB666" s="308" t="s">
        <v>480</v>
      </c>
      <c r="AC666" s="317" t="s">
        <v>472</v>
      </c>
      <c r="AD666" s="168">
        <f>104-104</f>
        <v>0</v>
      </c>
      <c r="AE666" s="168">
        <f>104-104</f>
        <v>0</v>
      </c>
      <c r="AF666" s="168">
        <v>0</v>
      </c>
      <c r="AG666" s="575" t="e">
        <f t="shared" si="223"/>
        <v>#DIV/0!</v>
      </c>
      <c r="AH666" s="151"/>
    </row>
    <row r="667" spans="1:34" ht="55.15" customHeight="1" x14ac:dyDescent="0.25">
      <c r="X667" s="278" t="s">
        <v>507</v>
      </c>
      <c r="Y667" s="11" t="s">
        <v>457</v>
      </c>
      <c r="Z667" s="2" t="s">
        <v>8</v>
      </c>
      <c r="AA667" s="529" t="s">
        <v>31</v>
      </c>
      <c r="AB667" s="163" t="s">
        <v>128</v>
      </c>
      <c r="AC667" s="317"/>
      <c r="AD667" s="168">
        <f t="shared" ref="AD667:AE669" si="240">AD668</f>
        <v>1428</v>
      </c>
      <c r="AE667" s="168">
        <f t="shared" si="240"/>
        <v>1428</v>
      </c>
      <c r="AF667" s="168">
        <f t="shared" ref="AF667:AF669" si="241">AF668</f>
        <v>1043.3</v>
      </c>
      <c r="AG667" s="575">
        <f t="shared" si="223"/>
        <v>0.7306022408963585</v>
      </c>
      <c r="AH667" s="151"/>
    </row>
    <row r="668" spans="1:34" ht="31.15" customHeight="1" x14ac:dyDescent="0.25">
      <c r="X668" s="278" t="s">
        <v>716</v>
      </c>
      <c r="Y668" s="11" t="s">
        <v>457</v>
      </c>
      <c r="Z668" s="2" t="s">
        <v>8</v>
      </c>
      <c r="AA668" s="529" t="s">
        <v>31</v>
      </c>
      <c r="AB668" s="163" t="s">
        <v>717</v>
      </c>
      <c r="AC668" s="317"/>
      <c r="AD668" s="168">
        <f t="shared" si="240"/>
        <v>1428</v>
      </c>
      <c r="AE668" s="168">
        <f t="shared" si="240"/>
        <v>1428</v>
      </c>
      <c r="AF668" s="168">
        <f t="shared" si="241"/>
        <v>1043.3</v>
      </c>
      <c r="AG668" s="575">
        <f t="shared" si="223"/>
        <v>0.7306022408963585</v>
      </c>
      <c r="AH668" s="151"/>
    </row>
    <row r="669" spans="1:34" ht="31.5" x14ac:dyDescent="0.25">
      <c r="X669" s="278" t="s">
        <v>62</v>
      </c>
      <c r="Y669" s="11" t="s">
        <v>457</v>
      </c>
      <c r="Z669" s="2" t="s">
        <v>8</v>
      </c>
      <c r="AA669" s="529" t="s">
        <v>31</v>
      </c>
      <c r="AB669" s="163" t="s">
        <v>717</v>
      </c>
      <c r="AC669" s="311">
        <v>600</v>
      </c>
      <c r="AD669" s="168">
        <f t="shared" si="240"/>
        <v>1428</v>
      </c>
      <c r="AE669" s="168">
        <f t="shared" si="240"/>
        <v>1428</v>
      </c>
      <c r="AF669" s="168">
        <f t="shared" si="241"/>
        <v>1043.3</v>
      </c>
      <c r="AG669" s="575">
        <f t="shared" si="223"/>
        <v>0.7306022408963585</v>
      </c>
      <c r="AH669" s="151"/>
    </row>
    <row r="670" spans="1:34" x14ac:dyDescent="0.25">
      <c r="X670" s="278" t="s">
        <v>63</v>
      </c>
      <c r="Y670" s="11" t="s">
        <v>457</v>
      </c>
      <c r="Z670" s="2" t="s">
        <v>8</v>
      </c>
      <c r="AA670" s="529" t="s">
        <v>31</v>
      </c>
      <c r="AB670" s="163" t="s">
        <v>717</v>
      </c>
      <c r="AC670" s="311">
        <v>610</v>
      </c>
      <c r="AD670" s="168">
        <f>656+772</f>
        <v>1428</v>
      </c>
      <c r="AE670" s="168">
        <f>656+772</f>
        <v>1428</v>
      </c>
      <c r="AF670" s="168">
        <v>1043.3</v>
      </c>
      <c r="AG670" s="575">
        <f t="shared" si="223"/>
        <v>0.7306022408963585</v>
      </c>
      <c r="AH670" s="151"/>
    </row>
    <row r="671" spans="1:34" ht="31.5" x14ac:dyDescent="0.25">
      <c r="X671" s="278" t="s">
        <v>315</v>
      </c>
      <c r="Y671" s="11" t="s">
        <v>457</v>
      </c>
      <c r="Z671" s="2" t="s">
        <v>8</v>
      </c>
      <c r="AA671" s="529" t="s">
        <v>31</v>
      </c>
      <c r="AB671" s="163" t="s">
        <v>134</v>
      </c>
      <c r="AC671" s="311"/>
      <c r="AD671" s="168">
        <f t="shared" ref="AD671:AE676" si="242">AD672</f>
        <v>2403.9</v>
      </c>
      <c r="AE671" s="168">
        <f t="shared" si="242"/>
        <v>2403.9</v>
      </c>
      <c r="AF671" s="168">
        <f t="shared" ref="AF671:AF673" si="243">AF672</f>
        <v>1502.4</v>
      </c>
      <c r="AG671" s="575">
        <f t="shared" si="223"/>
        <v>0.62498440034943215</v>
      </c>
      <c r="AH671" s="151"/>
    </row>
    <row r="672" spans="1:34" x14ac:dyDescent="0.25">
      <c r="X672" s="278" t="s">
        <v>765</v>
      </c>
      <c r="Y672" s="11" t="s">
        <v>457</v>
      </c>
      <c r="Z672" s="2" t="s">
        <v>8</v>
      </c>
      <c r="AA672" s="529" t="s">
        <v>31</v>
      </c>
      <c r="AB672" s="163" t="s">
        <v>766</v>
      </c>
      <c r="AC672" s="311"/>
      <c r="AD672" s="168">
        <f t="shared" si="242"/>
        <v>2403.9</v>
      </c>
      <c r="AE672" s="168">
        <f t="shared" si="242"/>
        <v>2403.9</v>
      </c>
      <c r="AF672" s="168">
        <f t="shared" si="243"/>
        <v>1502.4</v>
      </c>
      <c r="AG672" s="575">
        <f t="shared" si="223"/>
        <v>0.62498440034943215</v>
      </c>
      <c r="AH672" s="151"/>
    </row>
    <row r="673" spans="1:35" x14ac:dyDescent="0.25">
      <c r="X673" s="278" t="s">
        <v>767</v>
      </c>
      <c r="Y673" s="11" t="s">
        <v>457</v>
      </c>
      <c r="Z673" s="8" t="s">
        <v>8</v>
      </c>
      <c r="AA673" s="531" t="s">
        <v>31</v>
      </c>
      <c r="AB673" s="163" t="s">
        <v>768</v>
      </c>
      <c r="AC673" s="311"/>
      <c r="AD673" s="168">
        <f t="shared" si="242"/>
        <v>2403.9</v>
      </c>
      <c r="AE673" s="168">
        <f t="shared" si="242"/>
        <v>2403.9</v>
      </c>
      <c r="AF673" s="168">
        <f t="shared" si="243"/>
        <v>1502.4</v>
      </c>
      <c r="AG673" s="575">
        <f t="shared" si="223"/>
        <v>0.62498440034943215</v>
      </c>
      <c r="AH673" s="151"/>
    </row>
    <row r="674" spans="1:35" ht="31.5" x14ac:dyDescent="0.25">
      <c r="X674" s="278" t="s">
        <v>769</v>
      </c>
      <c r="Y674" s="11" t="s">
        <v>457</v>
      </c>
      <c r="Z674" s="8" t="s">
        <v>8</v>
      </c>
      <c r="AA674" s="531" t="s">
        <v>31</v>
      </c>
      <c r="AB674" s="163" t="s">
        <v>770</v>
      </c>
      <c r="AC674" s="311"/>
      <c r="AD674" s="168">
        <f t="shared" si="242"/>
        <v>2403.9</v>
      </c>
      <c r="AE674" s="168">
        <f t="shared" si="242"/>
        <v>2403.9</v>
      </c>
      <c r="AF674" s="168">
        <f t="shared" ref="AF674" si="244">AF675</f>
        <v>1502.4</v>
      </c>
      <c r="AG674" s="575">
        <f t="shared" si="223"/>
        <v>0.62498440034943215</v>
      </c>
      <c r="AH674" s="151"/>
    </row>
    <row r="675" spans="1:35" ht="63" x14ac:dyDescent="0.25">
      <c r="X675" s="278" t="s">
        <v>771</v>
      </c>
      <c r="Y675" s="11" t="s">
        <v>457</v>
      </c>
      <c r="Z675" s="2" t="s">
        <v>8</v>
      </c>
      <c r="AA675" s="529" t="s">
        <v>31</v>
      </c>
      <c r="AB675" s="163" t="s">
        <v>772</v>
      </c>
      <c r="AC675" s="311"/>
      <c r="AD675" s="168">
        <f t="shared" si="242"/>
        <v>2403.9</v>
      </c>
      <c r="AE675" s="168">
        <f t="shared" si="242"/>
        <v>2403.9</v>
      </c>
      <c r="AF675" s="168">
        <f t="shared" ref="AF675" si="245">AF676</f>
        <v>1502.4</v>
      </c>
      <c r="AG675" s="575">
        <f t="shared" si="223"/>
        <v>0.62498440034943215</v>
      </c>
      <c r="AH675" s="151"/>
    </row>
    <row r="676" spans="1:35" ht="31.5" x14ac:dyDescent="0.25">
      <c r="X676" s="278" t="s">
        <v>62</v>
      </c>
      <c r="Y676" s="11" t="s">
        <v>457</v>
      </c>
      <c r="Z676" s="8" t="s">
        <v>8</v>
      </c>
      <c r="AA676" s="531" t="s">
        <v>31</v>
      </c>
      <c r="AB676" s="163" t="s">
        <v>772</v>
      </c>
      <c r="AC676" s="311">
        <v>600</v>
      </c>
      <c r="AD676" s="168">
        <f t="shared" si="242"/>
        <v>2403.9</v>
      </c>
      <c r="AE676" s="168">
        <f t="shared" si="242"/>
        <v>2403.9</v>
      </c>
      <c r="AF676" s="168">
        <f t="shared" ref="AF676" si="246">AF677</f>
        <v>1502.4</v>
      </c>
      <c r="AG676" s="575">
        <f t="shared" si="223"/>
        <v>0.62498440034943215</v>
      </c>
      <c r="AH676" s="151"/>
    </row>
    <row r="677" spans="1:35" x14ac:dyDescent="0.25">
      <c r="X677" s="278" t="s">
        <v>63</v>
      </c>
      <c r="Y677" s="11" t="s">
        <v>457</v>
      </c>
      <c r="Z677" s="2" t="s">
        <v>8</v>
      </c>
      <c r="AA677" s="529" t="s">
        <v>31</v>
      </c>
      <c r="AB677" s="163" t="s">
        <v>772</v>
      </c>
      <c r="AC677" s="311">
        <v>610</v>
      </c>
      <c r="AD677" s="168">
        <f>2000+403.9</f>
        <v>2403.9</v>
      </c>
      <c r="AE677" s="168">
        <f>2000+403.9</f>
        <v>2403.9</v>
      </c>
      <c r="AF677" s="168">
        <v>1502.4</v>
      </c>
      <c r="AG677" s="575">
        <f t="shared" ref="AG677:AG739" si="247">AF677/AE677</f>
        <v>0.62498440034943215</v>
      </c>
      <c r="AH677" s="151"/>
    </row>
    <row r="678" spans="1:35" x14ac:dyDescent="0.25">
      <c r="X678" s="297" t="s">
        <v>354</v>
      </c>
      <c r="Y678" s="11" t="s">
        <v>457</v>
      </c>
      <c r="Z678" s="2" t="s">
        <v>8</v>
      </c>
      <c r="AA678" s="529" t="s">
        <v>31</v>
      </c>
      <c r="AB678" s="308" t="s">
        <v>140</v>
      </c>
      <c r="AC678" s="311"/>
      <c r="AD678" s="168">
        <f t="shared" ref="AD678:AE681" si="248">AD679</f>
        <v>1102</v>
      </c>
      <c r="AE678" s="168">
        <f t="shared" si="248"/>
        <v>1102</v>
      </c>
      <c r="AF678" s="168">
        <f t="shared" ref="AF678:AF681" si="249">AF679</f>
        <v>1102</v>
      </c>
      <c r="AG678" s="575">
        <f t="shared" si="247"/>
        <v>1</v>
      </c>
      <c r="AH678" s="151"/>
    </row>
    <row r="679" spans="1:35" x14ac:dyDescent="0.25">
      <c r="X679" s="278" t="s">
        <v>470</v>
      </c>
      <c r="Y679" s="11" t="s">
        <v>457</v>
      </c>
      <c r="Z679" s="2" t="s">
        <v>8</v>
      </c>
      <c r="AA679" s="529" t="s">
        <v>31</v>
      </c>
      <c r="AB679" s="163" t="s">
        <v>471</v>
      </c>
      <c r="AC679" s="311"/>
      <c r="AD679" s="168">
        <f t="shared" si="248"/>
        <v>1102</v>
      </c>
      <c r="AE679" s="168">
        <f t="shared" si="248"/>
        <v>1102</v>
      </c>
      <c r="AF679" s="168">
        <f t="shared" si="249"/>
        <v>1102</v>
      </c>
      <c r="AG679" s="575">
        <f t="shared" si="247"/>
        <v>1</v>
      </c>
      <c r="AH679" s="151"/>
    </row>
    <row r="680" spans="1:35" ht="148.15" customHeight="1" x14ac:dyDescent="0.25">
      <c r="X680" s="278" t="s">
        <v>777</v>
      </c>
      <c r="Y680" s="11" t="s">
        <v>457</v>
      </c>
      <c r="Z680" s="2" t="s">
        <v>8</v>
      </c>
      <c r="AA680" s="529" t="s">
        <v>31</v>
      </c>
      <c r="AB680" s="163" t="s">
        <v>778</v>
      </c>
      <c r="AC680" s="311"/>
      <c r="AD680" s="168">
        <f t="shared" si="248"/>
        <v>1102</v>
      </c>
      <c r="AE680" s="168">
        <f t="shared" si="248"/>
        <v>1102</v>
      </c>
      <c r="AF680" s="168">
        <f t="shared" si="249"/>
        <v>1102</v>
      </c>
      <c r="AG680" s="575">
        <f t="shared" si="247"/>
        <v>1</v>
      </c>
      <c r="AH680" s="151"/>
    </row>
    <row r="681" spans="1:35" x14ac:dyDescent="0.25">
      <c r="X681" s="278" t="s">
        <v>44</v>
      </c>
      <c r="Y681" s="11" t="s">
        <v>457</v>
      </c>
      <c r="Z681" s="2" t="s">
        <v>8</v>
      </c>
      <c r="AA681" s="529" t="s">
        <v>31</v>
      </c>
      <c r="AB681" s="163" t="s">
        <v>778</v>
      </c>
      <c r="AC681" s="311">
        <v>800</v>
      </c>
      <c r="AD681" s="168">
        <f t="shared" si="248"/>
        <v>1102</v>
      </c>
      <c r="AE681" s="168">
        <f t="shared" si="248"/>
        <v>1102</v>
      </c>
      <c r="AF681" s="168">
        <f t="shared" si="249"/>
        <v>1102</v>
      </c>
      <c r="AG681" s="575">
        <f t="shared" si="247"/>
        <v>1</v>
      </c>
      <c r="AH681" s="151"/>
    </row>
    <row r="682" spans="1:35" x14ac:dyDescent="0.25">
      <c r="X682" s="278" t="s">
        <v>60</v>
      </c>
      <c r="Y682" s="11" t="s">
        <v>457</v>
      </c>
      <c r="Z682" s="2" t="s">
        <v>8</v>
      </c>
      <c r="AA682" s="529" t="s">
        <v>31</v>
      </c>
      <c r="AB682" s="163" t="s">
        <v>778</v>
      </c>
      <c r="AC682" s="311">
        <v>850</v>
      </c>
      <c r="AD682" s="168">
        <v>1102</v>
      </c>
      <c r="AE682" s="168">
        <v>1102</v>
      </c>
      <c r="AF682" s="168">
        <v>1102</v>
      </c>
      <c r="AG682" s="575">
        <f t="shared" si="247"/>
        <v>1</v>
      </c>
      <c r="AH682" s="151"/>
    </row>
    <row r="683" spans="1:3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R683" s="3"/>
      <c r="S683" s="3"/>
      <c r="W683" s="3"/>
      <c r="X683" s="278" t="s">
        <v>36</v>
      </c>
      <c r="Y683" s="11" t="s">
        <v>457</v>
      </c>
      <c r="Z683" s="1" t="s">
        <v>8</v>
      </c>
      <c r="AA683" s="529" t="s">
        <v>32</v>
      </c>
      <c r="AB683" s="33"/>
      <c r="AC683" s="311"/>
      <c r="AD683" s="168">
        <f>AD684+AD717+AH7083+AD726+AD738+AD732</f>
        <v>612454.50000000012</v>
      </c>
      <c r="AE683" s="168">
        <f>AE684+AE717+AI7083+AE726+AE738+AE732</f>
        <v>625153.60000000009</v>
      </c>
      <c r="AF683" s="168">
        <f>AF684+AF717+AJ7083+AF726+AF738+AF732</f>
        <v>602430.80000000005</v>
      </c>
      <c r="AG683" s="575">
        <f t="shared" si="247"/>
        <v>0.96365245277320644</v>
      </c>
      <c r="AH683" s="473"/>
      <c r="AI683" s="473"/>
    </row>
    <row r="684" spans="1:35" x14ac:dyDescent="0.25">
      <c r="X684" s="280" t="s">
        <v>278</v>
      </c>
      <c r="Y684" s="11" t="s">
        <v>457</v>
      </c>
      <c r="Z684" s="1" t="s">
        <v>8</v>
      </c>
      <c r="AA684" s="529" t="s">
        <v>32</v>
      </c>
      <c r="AB684" s="163" t="s">
        <v>103</v>
      </c>
      <c r="AC684" s="309"/>
      <c r="AD684" s="168">
        <f>AD685</f>
        <v>609184.10000000009</v>
      </c>
      <c r="AE684" s="168">
        <f>AE685</f>
        <v>611469.10000000009</v>
      </c>
      <c r="AF684" s="168">
        <f>AF685</f>
        <v>599160.4</v>
      </c>
      <c r="AG684" s="575">
        <f t="shared" si="247"/>
        <v>0.97987028289736955</v>
      </c>
    </row>
    <row r="685" spans="1:35" x14ac:dyDescent="0.25">
      <c r="X685" s="280" t="s">
        <v>282</v>
      </c>
      <c r="Y685" s="11" t="s">
        <v>457</v>
      </c>
      <c r="Z685" s="1" t="s">
        <v>8</v>
      </c>
      <c r="AA685" s="529" t="s">
        <v>32</v>
      </c>
      <c r="AB685" s="163" t="s">
        <v>120</v>
      </c>
      <c r="AC685" s="309"/>
      <c r="AD685" s="168">
        <f>AD686+AD703+AD713+AD722</f>
        <v>609184.10000000009</v>
      </c>
      <c r="AE685" s="168">
        <f t="shared" ref="AE685:AF685" si="250">AE686+AE703+AE713+AE722</f>
        <v>611469.10000000009</v>
      </c>
      <c r="AF685" s="168">
        <f t="shared" si="250"/>
        <v>599160.4</v>
      </c>
      <c r="AG685" s="575">
        <f t="shared" si="247"/>
        <v>0.97987028289736955</v>
      </c>
    </row>
    <row r="686" spans="1:35" ht="31.5" x14ac:dyDescent="0.25">
      <c r="X686" s="280" t="s">
        <v>283</v>
      </c>
      <c r="Y686" s="11" t="s">
        <v>457</v>
      </c>
      <c r="Z686" s="1" t="s">
        <v>8</v>
      </c>
      <c r="AA686" s="529" t="s">
        <v>32</v>
      </c>
      <c r="AB686" s="163" t="s">
        <v>505</v>
      </c>
      <c r="AC686" s="309"/>
      <c r="AD686" s="168">
        <f>AD690+AD700+AD697+AD687</f>
        <v>551871.4</v>
      </c>
      <c r="AE686" s="168">
        <f>AE690+AE700+AE697+AE687</f>
        <v>559905.4</v>
      </c>
      <c r="AF686" s="168">
        <f>AF690+AF700+AF697+AF687</f>
        <v>552947</v>
      </c>
      <c r="AG686" s="575">
        <f t="shared" si="247"/>
        <v>0.98757218630147159</v>
      </c>
    </row>
    <row r="687" spans="1:35" ht="31.5" x14ac:dyDescent="0.25">
      <c r="X687" s="280" t="s">
        <v>750</v>
      </c>
      <c r="Y687" s="11" t="s">
        <v>457</v>
      </c>
      <c r="Z687" s="1" t="s">
        <v>8</v>
      </c>
      <c r="AA687" s="529" t="s">
        <v>32</v>
      </c>
      <c r="AB687" s="163" t="s">
        <v>751</v>
      </c>
      <c r="AC687" s="309"/>
      <c r="AD687" s="168">
        <f>AD688</f>
        <v>3100.1</v>
      </c>
      <c r="AE687" s="168">
        <f>AE688</f>
        <v>3100.1</v>
      </c>
      <c r="AF687" s="168">
        <f t="shared" ref="AF687" si="251">AF688</f>
        <v>3069</v>
      </c>
      <c r="AG687" s="575">
        <f t="shared" si="247"/>
        <v>0.9899680655462727</v>
      </c>
    </row>
    <row r="688" spans="1:35" ht="31.5" x14ac:dyDescent="0.25">
      <c r="X688" s="278" t="s">
        <v>62</v>
      </c>
      <c r="Y688" s="202" t="s">
        <v>457</v>
      </c>
      <c r="Z688" s="1" t="s">
        <v>8</v>
      </c>
      <c r="AA688" s="529" t="s">
        <v>32</v>
      </c>
      <c r="AB688" s="163" t="s">
        <v>751</v>
      </c>
      <c r="AC688" s="309">
        <v>600</v>
      </c>
      <c r="AD688" s="168">
        <f>AD689</f>
        <v>3100.1</v>
      </c>
      <c r="AE688" s="168">
        <f>AE689</f>
        <v>3100.1</v>
      </c>
      <c r="AF688" s="168">
        <f t="shared" ref="AF688" si="252">AF689</f>
        <v>3069</v>
      </c>
      <c r="AG688" s="575">
        <f t="shared" si="247"/>
        <v>0.9899680655462727</v>
      </c>
    </row>
    <row r="689" spans="24:33" x14ac:dyDescent="0.25">
      <c r="X689" s="278" t="s">
        <v>63</v>
      </c>
      <c r="Y689" s="202" t="s">
        <v>457</v>
      </c>
      <c r="Z689" s="1" t="s">
        <v>8</v>
      </c>
      <c r="AA689" s="529" t="s">
        <v>32</v>
      </c>
      <c r="AB689" s="163" t="s">
        <v>751</v>
      </c>
      <c r="AC689" s="309">
        <v>610</v>
      </c>
      <c r="AD689" s="168">
        <f>3000+100.1</f>
        <v>3100.1</v>
      </c>
      <c r="AE689" s="168">
        <f>3000+100.1</f>
        <v>3100.1</v>
      </c>
      <c r="AF689" s="168">
        <v>3069</v>
      </c>
      <c r="AG689" s="575">
        <f t="shared" si="247"/>
        <v>0.9899680655462727</v>
      </c>
    </row>
    <row r="690" spans="24:33" ht="47.25" x14ac:dyDescent="0.25">
      <c r="X690" s="280" t="s">
        <v>487</v>
      </c>
      <c r="Y690" s="202" t="s">
        <v>457</v>
      </c>
      <c r="Z690" s="1" t="s">
        <v>8</v>
      </c>
      <c r="AA690" s="529" t="s">
        <v>32</v>
      </c>
      <c r="AB690" s="163" t="s">
        <v>530</v>
      </c>
      <c r="AC690" s="309"/>
      <c r="AD690" s="168">
        <f>AD691+AD694</f>
        <v>85540.3</v>
      </c>
      <c r="AE690" s="168">
        <f>AE691+AE694</f>
        <v>85540.3</v>
      </c>
      <c r="AF690" s="168">
        <f>AF691+AF694</f>
        <v>85245.6</v>
      </c>
      <c r="AG690" s="575">
        <f t="shared" si="247"/>
        <v>0.99655484023320007</v>
      </c>
    </row>
    <row r="691" spans="24:33" ht="47.25" x14ac:dyDescent="0.25">
      <c r="X691" s="280" t="s">
        <v>583</v>
      </c>
      <c r="Y691" s="11" t="s">
        <v>457</v>
      </c>
      <c r="Z691" s="1" t="s">
        <v>8</v>
      </c>
      <c r="AA691" s="529" t="s">
        <v>32</v>
      </c>
      <c r="AB691" s="163" t="s">
        <v>531</v>
      </c>
      <c r="AC691" s="332"/>
      <c r="AD691" s="168">
        <f>AD692</f>
        <v>83754.3</v>
      </c>
      <c r="AE691" s="168">
        <f>AE692</f>
        <v>83754.3</v>
      </c>
      <c r="AF691" s="168">
        <f>AF692</f>
        <v>83564.800000000003</v>
      </c>
      <c r="AG691" s="575">
        <f t="shared" si="247"/>
        <v>0.9977374296006295</v>
      </c>
    </row>
    <row r="692" spans="24:33" ht="31.5" x14ac:dyDescent="0.25">
      <c r="X692" s="278" t="s">
        <v>62</v>
      </c>
      <c r="Y692" s="11" t="s">
        <v>457</v>
      </c>
      <c r="Z692" s="1" t="s">
        <v>8</v>
      </c>
      <c r="AA692" s="529" t="s">
        <v>32</v>
      </c>
      <c r="AB692" s="163" t="s">
        <v>531</v>
      </c>
      <c r="AC692" s="309">
        <v>600</v>
      </c>
      <c r="AD692" s="168">
        <f t="shared" ref="AD692:AF695" si="253">AD693</f>
        <v>83754.3</v>
      </c>
      <c r="AE692" s="168">
        <f t="shared" si="253"/>
        <v>83754.3</v>
      </c>
      <c r="AF692" s="168">
        <f t="shared" si="253"/>
        <v>83564.800000000003</v>
      </c>
      <c r="AG692" s="575">
        <f t="shared" si="247"/>
        <v>0.9977374296006295</v>
      </c>
    </row>
    <row r="693" spans="24:33" x14ac:dyDescent="0.25">
      <c r="X693" s="278" t="s">
        <v>63</v>
      </c>
      <c r="Y693" s="11" t="s">
        <v>457</v>
      </c>
      <c r="Z693" s="1" t="s">
        <v>8</v>
      </c>
      <c r="AA693" s="529" t="s">
        <v>32</v>
      </c>
      <c r="AB693" s="163" t="s">
        <v>531</v>
      </c>
      <c r="AC693" s="309">
        <v>610</v>
      </c>
      <c r="AD693" s="168">
        <f>66874.9+8632.3+3246.8+5371.3-515+144</f>
        <v>83754.3</v>
      </c>
      <c r="AE693" s="168">
        <f>66874.9+8632.3+3246.8+5371.3-515+144</f>
        <v>83754.3</v>
      </c>
      <c r="AF693" s="168">
        <v>83564.800000000003</v>
      </c>
      <c r="AG693" s="575">
        <f t="shared" si="247"/>
        <v>0.9977374296006295</v>
      </c>
    </row>
    <row r="694" spans="24:33" ht="47.25" x14ac:dyDescent="0.25">
      <c r="X694" s="278" t="s">
        <v>584</v>
      </c>
      <c r="Y694" s="11" t="s">
        <v>457</v>
      </c>
      <c r="Z694" s="1" t="s">
        <v>8</v>
      </c>
      <c r="AA694" s="529" t="s">
        <v>32</v>
      </c>
      <c r="AB694" s="163" t="s">
        <v>532</v>
      </c>
      <c r="AC694" s="309"/>
      <c r="AD694" s="168">
        <f>AD695</f>
        <v>1785.9999999999998</v>
      </c>
      <c r="AE694" s="168">
        <f>AE695</f>
        <v>1785.9999999999998</v>
      </c>
      <c r="AF694" s="168">
        <f>AF695</f>
        <v>1680.8</v>
      </c>
      <c r="AG694" s="575">
        <f t="shared" si="247"/>
        <v>0.94109742441209421</v>
      </c>
    </row>
    <row r="695" spans="24:33" ht="31.5" x14ac:dyDescent="0.25">
      <c r="X695" s="278" t="s">
        <v>62</v>
      </c>
      <c r="Y695" s="11" t="s">
        <v>457</v>
      </c>
      <c r="Z695" s="1" t="s">
        <v>8</v>
      </c>
      <c r="AA695" s="529" t="s">
        <v>32</v>
      </c>
      <c r="AB695" s="163" t="s">
        <v>532</v>
      </c>
      <c r="AC695" s="309">
        <v>600</v>
      </c>
      <c r="AD695" s="168">
        <f t="shared" si="253"/>
        <v>1785.9999999999998</v>
      </c>
      <c r="AE695" s="168">
        <f t="shared" si="253"/>
        <v>1785.9999999999998</v>
      </c>
      <c r="AF695" s="168">
        <f t="shared" si="253"/>
        <v>1680.8</v>
      </c>
      <c r="AG695" s="575">
        <f t="shared" si="247"/>
        <v>0.94109742441209421</v>
      </c>
    </row>
    <row r="696" spans="24:33" x14ac:dyDescent="0.25">
      <c r="X696" s="278" t="s">
        <v>63</v>
      </c>
      <c r="Y696" s="11" t="s">
        <v>457</v>
      </c>
      <c r="Z696" s="1" t="s">
        <v>8</v>
      </c>
      <c r="AA696" s="529" t="s">
        <v>32</v>
      </c>
      <c r="AB696" s="163" t="s">
        <v>532</v>
      </c>
      <c r="AC696" s="309">
        <v>610</v>
      </c>
      <c r="AD696" s="168">
        <f>1834.1+747.9+1750-1592.9-100.1-108.8-600.2-144</f>
        <v>1785.9999999999998</v>
      </c>
      <c r="AE696" s="168">
        <f>1834.1+747.9+1750-1592.9-100.1-108.8-600.2-144</f>
        <v>1785.9999999999998</v>
      </c>
      <c r="AF696" s="168">
        <v>1680.8</v>
      </c>
      <c r="AG696" s="575">
        <f t="shared" si="247"/>
        <v>0.94109742441209421</v>
      </c>
    </row>
    <row r="697" spans="24:33" ht="157.5" x14ac:dyDescent="0.25">
      <c r="X697" s="278" t="s">
        <v>587</v>
      </c>
      <c r="Y697" s="11" t="s">
        <v>457</v>
      </c>
      <c r="Z697" s="1" t="s">
        <v>8</v>
      </c>
      <c r="AA697" s="529" t="s">
        <v>32</v>
      </c>
      <c r="AB697" s="33" t="s">
        <v>533</v>
      </c>
      <c r="AC697" s="309"/>
      <c r="AD697" s="168">
        <f t="shared" ref="AD697:AF698" si="254">AD698</f>
        <v>18827</v>
      </c>
      <c r="AE697" s="168">
        <f t="shared" si="254"/>
        <v>18827</v>
      </c>
      <c r="AF697" s="168">
        <f t="shared" si="254"/>
        <v>15014.4</v>
      </c>
      <c r="AG697" s="575">
        <f t="shared" si="247"/>
        <v>0.79749296223508792</v>
      </c>
    </row>
    <row r="698" spans="24:33" ht="31.5" x14ac:dyDescent="0.25">
      <c r="X698" s="278" t="s">
        <v>62</v>
      </c>
      <c r="Y698" s="11" t="s">
        <v>457</v>
      </c>
      <c r="Z698" s="1" t="s">
        <v>8</v>
      </c>
      <c r="AA698" s="529" t="s">
        <v>32</v>
      </c>
      <c r="AB698" s="33" t="s">
        <v>533</v>
      </c>
      <c r="AC698" s="309">
        <v>600</v>
      </c>
      <c r="AD698" s="168">
        <f t="shared" si="254"/>
        <v>18827</v>
      </c>
      <c r="AE698" s="168">
        <f t="shared" si="254"/>
        <v>18827</v>
      </c>
      <c r="AF698" s="168">
        <f t="shared" si="254"/>
        <v>15014.4</v>
      </c>
      <c r="AG698" s="575">
        <f t="shared" si="247"/>
        <v>0.79749296223508792</v>
      </c>
    </row>
    <row r="699" spans="24:33" x14ac:dyDescent="0.25">
      <c r="X699" s="278" t="s">
        <v>63</v>
      </c>
      <c r="Y699" s="11" t="s">
        <v>457</v>
      </c>
      <c r="Z699" s="1" t="s">
        <v>8</v>
      </c>
      <c r="AA699" s="529" t="s">
        <v>32</v>
      </c>
      <c r="AB699" s="33" t="s">
        <v>533</v>
      </c>
      <c r="AC699" s="309">
        <v>610</v>
      </c>
      <c r="AD699" s="168">
        <f>18147+680</f>
        <v>18827</v>
      </c>
      <c r="AE699" s="168">
        <f>18147+680</f>
        <v>18827</v>
      </c>
      <c r="AF699" s="168">
        <v>15014.4</v>
      </c>
      <c r="AG699" s="575">
        <f t="shared" si="247"/>
        <v>0.79749296223508792</v>
      </c>
    </row>
    <row r="700" spans="24:33" ht="126" x14ac:dyDescent="0.25">
      <c r="X700" s="281" t="s">
        <v>586</v>
      </c>
      <c r="Y700" s="11" t="s">
        <v>457</v>
      </c>
      <c r="Z700" s="1" t="s">
        <v>8</v>
      </c>
      <c r="AA700" s="529" t="s">
        <v>32</v>
      </c>
      <c r="AB700" s="33" t="s">
        <v>534</v>
      </c>
      <c r="AC700" s="311"/>
      <c r="AD700" s="168">
        <f t="shared" ref="AD700:AF701" si="255">AD701</f>
        <v>444404</v>
      </c>
      <c r="AE700" s="168">
        <f t="shared" si="255"/>
        <v>452438</v>
      </c>
      <c r="AF700" s="168">
        <f t="shared" si="255"/>
        <v>449618</v>
      </c>
      <c r="AG700" s="575">
        <f t="shared" si="247"/>
        <v>0.99376710179074257</v>
      </c>
    </row>
    <row r="701" spans="24:33" ht="31.5" x14ac:dyDescent="0.25">
      <c r="X701" s="278" t="s">
        <v>62</v>
      </c>
      <c r="Y701" s="11" t="s">
        <v>457</v>
      </c>
      <c r="Z701" s="1" t="s">
        <v>8</v>
      </c>
      <c r="AA701" s="529" t="s">
        <v>32</v>
      </c>
      <c r="AB701" s="33" t="s">
        <v>534</v>
      </c>
      <c r="AC701" s="309">
        <v>600</v>
      </c>
      <c r="AD701" s="168">
        <f t="shared" si="255"/>
        <v>444404</v>
      </c>
      <c r="AE701" s="168">
        <f t="shared" si="255"/>
        <v>452438</v>
      </c>
      <c r="AF701" s="168">
        <f t="shared" si="255"/>
        <v>449618</v>
      </c>
      <c r="AG701" s="575">
        <f t="shared" si="247"/>
        <v>0.99376710179074257</v>
      </c>
    </row>
    <row r="702" spans="24:33" x14ac:dyDescent="0.25">
      <c r="X702" s="278" t="s">
        <v>63</v>
      </c>
      <c r="Y702" s="11" t="s">
        <v>457</v>
      </c>
      <c r="Z702" s="1" t="s">
        <v>8</v>
      </c>
      <c r="AA702" s="529" t="s">
        <v>32</v>
      </c>
      <c r="AB702" s="33" t="s">
        <v>534</v>
      </c>
      <c r="AC702" s="309">
        <v>610</v>
      </c>
      <c r="AD702" s="168">
        <f>337511+75876+19218+900+3771+4427+2730-29-29+29</f>
        <v>444404</v>
      </c>
      <c r="AE702" s="168">
        <v>452438</v>
      </c>
      <c r="AF702" s="168">
        <v>449618</v>
      </c>
      <c r="AG702" s="575">
        <f t="shared" si="247"/>
        <v>0.99376710179074257</v>
      </c>
    </row>
    <row r="703" spans="24:33" ht="47.25" x14ac:dyDescent="0.25">
      <c r="X703" s="280" t="s">
        <v>285</v>
      </c>
      <c r="Y703" s="11" t="s">
        <v>457</v>
      </c>
      <c r="Z703" s="1" t="s">
        <v>8</v>
      </c>
      <c r="AA703" s="529" t="s">
        <v>32</v>
      </c>
      <c r="AB703" s="163" t="s">
        <v>128</v>
      </c>
      <c r="AC703" s="309"/>
      <c r="AD703" s="168">
        <f>AD710+AD704+AD707</f>
        <v>53760.800000000003</v>
      </c>
      <c r="AE703" s="168">
        <f>AE710+AE704+AE707</f>
        <v>48011.8</v>
      </c>
      <c r="AF703" s="168">
        <f t="shared" ref="AF703" si="256">AF710+AF704+AF707</f>
        <v>42935.9</v>
      </c>
      <c r="AG703" s="575">
        <f t="shared" si="247"/>
        <v>0.89427807330697873</v>
      </c>
    </row>
    <row r="704" spans="24:33" ht="31.5" x14ac:dyDescent="0.25">
      <c r="X704" s="278" t="s">
        <v>585</v>
      </c>
      <c r="Y704" s="11" t="s">
        <v>457</v>
      </c>
      <c r="Z704" s="1" t="s">
        <v>8</v>
      </c>
      <c r="AA704" s="529" t="s">
        <v>32</v>
      </c>
      <c r="AB704" s="163" t="s">
        <v>535</v>
      </c>
      <c r="AC704" s="309"/>
      <c r="AD704" s="168">
        <f t="shared" ref="AD704:AF705" si="257">AD705</f>
        <v>48</v>
      </c>
      <c r="AE704" s="168">
        <f t="shared" si="257"/>
        <v>27</v>
      </c>
      <c r="AF704" s="168">
        <f t="shared" si="257"/>
        <v>12</v>
      </c>
      <c r="AG704" s="575">
        <f t="shared" si="247"/>
        <v>0.44444444444444442</v>
      </c>
    </row>
    <row r="705" spans="24:33" ht="31.5" x14ac:dyDescent="0.25">
      <c r="X705" s="278" t="s">
        <v>62</v>
      </c>
      <c r="Y705" s="11" t="s">
        <v>457</v>
      </c>
      <c r="Z705" s="1" t="s">
        <v>8</v>
      </c>
      <c r="AA705" s="529" t="s">
        <v>32</v>
      </c>
      <c r="AB705" s="163" t="s">
        <v>535</v>
      </c>
      <c r="AC705" s="311">
        <v>600</v>
      </c>
      <c r="AD705" s="168">
        <f t="shared" si="257"/>
        <v>48</v>
      </c>
      <c r="AE705" s="168">
        <f t="shared" si="257"/>
        <v>27</v>
      </c>
      <c r="AF705" s="168">
        <f t="shared" si="257"/>
        <v>12</v>
      </c>
      <c r="AG705" s="575">
        <f t="shared" si="247"/>
        <v>0.44444444444444442</v>
      </c>
    </row>
    <row r="706" spans="24:33" x14ac:dyDescent="0.25">
      <c r="X706" s="278" t="s">
        <v>63</v>
      </c>
      <c r="Y706" s="11" t="s">
        <v>457</v>
      </c>
      <c r="Z706" s="1" t="s">
        <v>8</v>
      </c>
      <c r="AA706" s="529" t="s">
        <v>32</v>
      </c>
      <c r="AB706" s="163" t="s">
        <v>535</v>
      </c>
      <c r="AC706" s="311">
        <v>610</v>
      </c>
      <c r="AD706" s="168">
        <f>43+5</f>
        <v>48</v>
      </c>
      <c r="AE706" s="168">
        <v>27</v>
      </c>
      <c r="AF706" s="168">
        <v>12</v>
      </c>
      <c r="AG706" s="575">
        <f t="shared" si="247"/>
        <v>0.44444444444444442</v>
      </c>
    </row>
    <row r="707" spans="24:33" ht="31.5" x14ac:dyDescent="0.25">
      <c r="X707" s="278" t="s">
        <v>588</v>
      </c>
      <c r="Y707" s="11" t="s">
        <v>457</v>
      </c>
      <c r="Z707" s="1" t="s">
        <v>8</v>
      </c>
      <c r="AA707" s="529" t="s">
        <v>32</v>
      </c>
      <c r="AB707" s="33" t="s">
        <v>536</v>
      </c>
      <c r="AC707" s="309"/>
      <c r="AD707" s="168">
        <f t="shared" ref="AD707:AF708" si="258">AD708</f>
        <v>33277.800000000003</v>
      </c>
      <c r="AE707" s="168">
        <f t="shared" si="258"/>
        <v>27549.8</v>
      </c>
      <c r="AF707" s="168">
        <f t="shared" si="258"/>
        <v>26913.3</v>
      </c>
      <c r="AG707" s="575">
        <f t="shared" si="247"/>
        <v>0.97689638400278767</v>
      </c>
    </row>
    <row r="708" spans="24:33" x14ac:dyDescent="0.25">
      <c r="X708" s="278" t="s">
        <v>123</v>
      </c>
      <c r="Y708" s="11" t="s">
        <v>457</v>
      </c>
      <c r="Z708" s="1" t="s">
        <v>8</v>
      </c>
      <c r="AA708" s="529" t="s">
        <v>32</v>
      </c>
      <c r="AB708" s="33" t="s">
        <v>536</v>
      </c>
      <c r="AC708" s="309">
        <v>200</v>
      </c>
      <c r="AD708" s="168">
        <f t="shared" si="258"/>
        <v>33277.800000000003</v>
      </c>
      <c r="AE708" s="168">
        <f t="shared" si="258"/>
        <v>27549.8</v>
      </c>
      <c r="AF708" s="168">
        <f t="shared" si="258"/>
        <v>26913.3</v>
      </c>
      <c r="AG708" s="575">
        <f t="shared" si="247"/>
        <v>0.97689638400278767</v>
      </c>
    </row>
    <row r="709" spans="24:33" ht="31.5" x14ac:dyDescent="0.25">
      <c r="X709" s="278" t="s">
        <v>54</v>
      </c>
      <c r="Y709" s="11" t="s">
        <v>457</v>
      </c>
      <c r="Z709" s="1" t="s">
        <v>8</v>
      </c>
      <c r="AA709" s="529" t="s">
        <v>32</v>
      </c>
      <c r="AB709" s="33" t="s">
        <v>536</v>
      </c>
      <c r="AC709" s="309">
        <v>240</v>
      </c>
      <c r="AD709" s="168">
        <f>29950+3327.8</f>
        <v>33277.800000000003</v>
      </c>
      <c r="AE709" s="168">
        <v>27549.8</v>
      </c>
      <c r="AF709" s="168">
        <v>26913.3</v>
      </c>
      <c r="AG709" s="575">
        <f t="shared" si="247"/>
        <v>0.97689638400278767</v>
      </c>
    </row>
    <row r="710" spans="24:33" ht="47.25" x14ac:dyDescent="0.25">
      <c r="X710" s="281" t="s">
        <v>589</v>
      </c>
      <c r="Y710" s="11" t="s">
        <v>457</v>
      </c>
      <c r="Z710" s="1" t="s">
        <v>8</v>
      </c>
      <c r="AA710" s="529" t="s">
        <v>32</v>
      </c>
      <c r="AB710" s="163" t="s">
        <v>537</v>
      </c>
      <c r="AC710" s="310"/>
      <c r="AD710" s="168">
        <f t="shared" ref="AD710:AF711" si="259">AD711</f>
        <v>20435</v>
      </c>
      <c r="AE710" s="168">
        <f t="shared" si="259"/>
        <v>20435</v>
      </c>
      <c r="AF710" s="168">
        <f>AF711</f>
        <v>16010.6</v>
      </c>
      <c r="AG710" s="575">
        <f t="shared" si="247"/>
        <v>0.78348911181795944</v>
      </c>
    </row>
    <row r="711" spans="24:33" x14ac:dyDescent="0.25">
      <c r="X711" s="278" t="s">
        <v>123</v>
      </c>
      <c r="Y711" s="11" t="s">
        <v>457</v>
      </c>
      <c r="Z711" s="1" t="s">
        <v>8</v>
      </c>
      <c r="AA711" s="529" t="s">
        <v>32</v>
      </c>
      <c r="AB711" s="163" t="s">
        <v>537</v>
      </c>
      <c r="AC711" s="315">
        <v>200</v>
      </c>
      <c r="AD711" s="168">
        <f t="shared" si="259"/>
        <v>20435</v>
      </c>
      <c r="AE711" s="168">
        <f t="shared" si="259"/>
        <v>20435</v>
      </c>
      <c r="AF711" s="168">
        <f t="shared" si="259"/>
        <v>16010.6</v>
      </c>
      <c r="AG711" s="575">
        <f t="shared" si="247"/>
        <v>0.78348911181795944</v>
      </c>
    </row>
    <row r="712" spans="24:33" ht="31.5" x14ac:dyDescent="0.25">
      <c r="X712" s="278" t="s">
        <v>54</v>
      </c>
      <c r="Y712" s="11" t="s">
        <v>457</v>
      </c>
      <c r="Z712" s="1" t="s">
        <v>8</v>
      </c>
      <c r="AA712" s="529" t="s">
        <v>32</v>
      </c>
      <c r="AB712" s="163" t="s">
        <v>537</v>
      </c>
      <c r="AC712" s="315">
        <v>240</v>
      </c>
      <c r="AD712" s="168">
        <f>15484+3126-395-79+160+32+1752+355</f>
        <v>20435</v>
      </c>
      <c r="AE712" s="168">
        <v>20435</v>
      </c>
      <c r="AF712" s="168">
        <v>16010.6</v>
      </c>
      <c r="AG712" s="575">
        <f t="shared" si="247"/>
        <v>0.78348911181795944</v>
      </c>
    </row>
    <row r="713" spans="24:33" ht="47.25" x14ac:dyDescent="0.25">
      <c r="X713" s="280" t="s">
        <v>330</v>
      </c>
      <c r="Y713" s="11" t="s">
        <v>457</v>
      </c>
      <c r="Z713" s="1" t="s">
        <v>8</v>
      </c>
      <c r="AA713" s="529" t="s">
        <v>32</v>
      </c>
      <c r="AB713" s="163" t="s">
        <v>538</v>
      </c>
      <c r="AC713" s="311"/>
      <c r="AD713" s="168">
        <f t="shared" ref="AD713:AF715" si="260">AD714</f>
        <v>2985.3999999999996</v>
      </c>
      <c r="AE713" s="168">
        <f t="shared" si="260"/>
        <v>2985.3999999999996</v>
      </c>
      <c r="AF713" s="168">
        <f t="shared" si="260"/>
        <v>2711</v>
      </c>
      <c r="AG713" s="575">
        <f t="shared" si="247"/>
        <v>0.90808601862397009</v>
      </c>
    </row>
    <row r="714" spans="24:33" ht="47.25" x14ac:dyDescent="0.25">
      <c r="X714" s="280" t="s">
        <v>487</v>
      </c>
      <c r="Y714" s="11" t="s">
        <v>457</v>
      </c>
      <c r="Z714" s="1" t="s">
        <v>8</v>
      </c>
      <c r="AA714" s="529" t="s">
        <v>32</v>
      </c>
      <c r="AB714" s="163" t="s">
        <v>539</v>
      </c>
      <c r="AC714" s="311"/>
      <c r="AD714" s="168">
        <f t="shared" si="260"/>
        <v>2985.3999999999996</v>
      </c>
      <c r="AE714" s="168">
        <f t="shared" si="260"/>
        <v>2985.3999999999996</v>
      </c>
      <c r="AF714" s="168">
        <f t="shared" si="260"/>
        <v>2711</v>
      </c>
      <c r="AG714" s="575">
        <f t="shared" si="247"/>
        <v>0.90808601862397009</v>
      </c>
    </row>
    <row r="715" spans="24:33" ht="31.5" x14ac:dyDescent="0.25">
      <c r="X715" s="278" t="s">
        <v>62</v>
      </c>
      <c r="Y715" s="11" t="s">
        <v>457</v>
      </c>
      <c r="Z715" s="1" t="s">
        <v>8</v>
      </c>
      <c r="AA715" s="529" t="s">
        <v>32</v>
      </c>
      <c r="AB715" s="163" t="s">
        <v>539</v>
      </c>
      <c r="AC715" s="311">
        <v>600</v>
      </c>
      <c r="AD715" s="168">
        <f t="shared" si="260"/>
        <v>2985.3999999999996</v>
      </c>
      <c r="AE715" s="168">
        <f t="shared" si="260"/>
        <v>2985.3999999999996</v>
      </c>
      <c r="AF715" s="168">
        <f t="shared" si="260"/>
        <v>2711</v>
      </c>
      <c r="AG715" s="575">
        <f t="shared" si="247"/>
        <v>0.90808601862397009</v>
      </c>
    </row>
    <row r="716" spans="24:33" x14ac:dyDescent="0.25">
      <c r="X716" s="278" t="s">
        <v>63</v>
      </c>
      <c r="Y716" s="11" t="s">
        <v>457</v>
      </c>
      <c r="Z716" s="1" t="s">
        <v>8</v>
      </c>
      <c r="AA716" s="529" t="s">
        <v>32</v>
      </c>
      <c r="AB716" s="163" t="s">
        <v>539</v>
      </c>
      <c r="AC716" s="311">
        <v>610</v>
      </c>
      <c r="AD716" s="168">
        <f>1026.3+1959.1</f>
        <v>2985.3999999999996</v>
      </c>
      <c r="AE716" s="168">
        <f>1026.3+1959.1</f>
        <v>2985.3999999999996</v>
      </c>
      <c r="AF716" s="168">
        <v>2711</v>
      </c>
      <c r="AG716" s="575">
        <f t="shared" si="247"/>
        <v>0.90808601862397009</v>
      </c>
    </row>
    <row r="717" spans="24:33" hidden="1" x14ac:dyDescent="0.25">
      <c r="X717" s="297" t="s">
        <v>354</v>
      </c>
      <c r="Y717" s="11" t="s">
        <v>457</v>
      </c>
      <c r="Z717" s="1" t="s">
        <v>8</v>
      </c>
      <c r="AA717" s="529" t="s">
        <v>32</v>
      </c>
      <c r="AB717" s="33" t="s">
        <v>140</v>
      </c>
      <c r="AC717" s="317"/>
      <c r="AD717" s="168">
        <f t="shared" ref="AD717:AF720" si="261">AD718</f>
        <v>0</v>
      </c>
      <c r="AE717" s="168">
        <f t="shared" si="261"/>
        <v>0</v>
      </c>
      <c r="AF717" s="168">
        <f t="shared" si="261"/>
        <v>0</v>
      </c>
      <c r="AG717" s="575" t="e">
        <f t="shared" si="247"/>
        <v>#DIV/0!</v>
      </c>
    </row>
    <row r="718" spans="24:33" hidden="1" x14ac:dyDescent="0.25">
      <c r="X718" s="409" t="s">
        <v>470</v>
      </c>
      <c r="Y718" s="11" t="s">
        <v>457</v>
      </c>
      <c r="Z718" s="1" t="s">
        <v>8</v>
      </c>
      <c r="AA718" s="529" t="s">
        <v>32</v>
      </c>
      <c r="AB718" s="308" t="s">
        <v>471</v>
      </c>
      <c r="AC718" s="317"/>
      <c r="AD718" s="168">
        <f t="shared" si="261"/>
        <v>0</v>
      </c>
      <c r="AE718" s="168">
        <f t="shared" si="261"/>
        <v>0</v>
      </c>
      <c r="AF718" s="168">
        <f t="shared" si="261"/>
        <v>0</v>
      </c>
      <c r="AG718" s="575" t="e">
        <f t="shared" si="247"/>
        <v>#DIV/0!</v>
      </c>
    </row>
    <row r="719" spans="24:33" ht="126" hidden="1" x14ac:dyDescent="0.25">
      <c r="X719" s="278" t="s">
        <v>477</v>
      </c>
      <c r="Y719" s="11" t="s">
        <v>457</v>
      </c>
      <c r="Z719" s="1" t="s">
        <v>8</v>
      </c>
      <c r="AA719" s="529" t="s">
        <v>32</v>
      </c>
      <c r="AB719" s="308" t="s">
        <v>478</v>
      </c>
      <c r="AC719" s="317"/>
      <c r="AD719" s="168">
        <f t="shared" si="261"/>
        <v>0</v>
      </c>
      <c r="AE719" s="168">
        <f t="shared" si="261"/>
        <v>0</v>
      </c>
      <c r="AF719" s="168">
        <f t="shared" si="261"/>
        <v>0</v>
      </c>
      <c r="AG719" s="575" t="e">
        <f t="shared" si="247"/>
        <v>#DIV/0!</v>
      </c>
    </row>
    <row r="720" spans="24:33" hidden="1" x14ac:dyDescent="0.25">
      <c r="X720" s="278" t="s">
        <v>44</v>
      </c>
      <c r="Y720" s="11" t="s">
        <v>457</v>
      </c>
      <c r="Z720" s="1" t="s">
        <v>8</v>
      </c>
      <c r="AA720" s="529" t="s">
        <v>32</v>
      </c>
      <c r="AB720" s="308" t="s">
        <v>478</v>
      </c>
      <c r="AC720" s="317" t="s">
        <v>373</v>
      </c>
      <c r="AD720" s="168">
        <f t="shared" si="261"/>
        <v>0</v>
      </c>
      <c r="AE720" s="168">
        <f t="shared" si="261"/>
        <v>0</v>
      </c>
      <c r="AF720" s="168">
        <f t="shared" si="261"/>
        <v>0</v>
      </c>
      <c r="AG720" s="575" t="e">
        <f t="shared" si="247"/>
        <v>#DIV/0!</v>
      </c>
    </row>
    <row r="721" spans="24:33" hidden="1" x14ac:dyDescent="0.25">
      <c r="X721" s="278" t="s">
        <v>60</v>
      </c>
      <c r="Y721" s="11" t="s">
        <v>457</v>
      </c>
      <c r="Z721" s="1" t="s">
        <v>8</v>
      </c>
      <c r="AA721" s="529" t="s">
        <v>32</v>
      </c>
      <c r="AB721" s="308" t="s">
        <v>478</v>
      </c>
      <c r="AC721" s="317" t="s">
        <v>472</v>
      </c>
      <c r="AD721" s="168">
        <f>3586-3586</f>
        <v>0</v>
      </c>
      <c r="AE721" s="168">
        <f>3586-3586</f>
        <v>0</v>
      </c>
      <c r="AF721" s="168">
        <v>0</v>
      </c>
      <c r="AG721" s="575" t="e">
        <f t="shared" si="247"/>
        <v>#DIV/0!</v>
      </c>
    </row>
    <row r="722" spans="24:33" x14ac:dyDescent="0.25">
      <c r="X722" s="278" t="s">
        <v>773</v>
      </c>
      <c r="Y722" s="11" t="s">
        <v>457</v>
      </c>
      <c r="Z722" s="1" t="s">
        <v>8</v>
      </c>
      <c r="AA722" s="529" t="s">
        <v>32</v>
      </c>
      <c r="AB722" s="308" t="s">
        <v>774</v>
      </c>
      <c r="AC722" s="317"/>
      <c r="AD722" s="168">
        <f t="shared" ref="AD722:AE724" si="262">AD723</f>
        <v>566.5</v>
      </c>
      <c r="AE722" s="168">
        <f t="shared" si="262"/>
        <v>566.5</v>
      </c>
      <c r="AF722" s="168">
        <f t="shared" ref="AF722" si="263">AF723</f>
        <v>566.5</v>
      </c>
      <c r="AG722" s="575">
        <f t="shared" si="247"/>
        <v>1</v>
      </c>
    </row>
    <row r="723" spans="24:33" ht="157.5" x14ac:dyDescent="0.25">
      <c r="X723" s="278" t="s">
        <v>775</v>
      </c>
      <c r="Y723" s="11" t="s">
        <v>457</v>
      </c>
      <c r="Z723" s="1" t="s">
        <v>8</v>
      </c>
      <c r="AA723" s="529" t="s">
        <v>32</v>
      </c>
      <c r="AB723" s="308" t="s">
        <v>776</v>
      </c>
      <c r="AC723" s="317"/>
      <c r="AD723" s="168">
        <f t="shared" si="262"/>
        <v>566.5</v>
      </c>
      <c r="AE723" s="168">
        <f t="shared" si="262"/>
        <v>566.5</v>
      </c>
      <c r="AF723" s="168">
        <f t="shared" ref="AF723:AF724" si="264">AF724</f>
        <v>566.5</v>
      </c>
      <c r="AG723" s="575">
        <f t="shared" si="247"/>
        <v>1</v>
      </c>
    </row>
    <row r="724" spans="24:33" ht="31.5" x14ac:dyDescent="0.25">
      <c r="X724" s="278" t="s">
        <v>62</v>
      </c>
      <c r="Y724" s="11" t="s">
        <v>457</v>
      </c>
      <c r="Z724" s="1" t="s">
        <v>8</v>
      </c>
      <c r="AA724" s="529" t="s">
        <v>32</v>
      </c>
      <c r="AB724" s="308" t="s">
        <v>776</v>
      </c>
      <c r="AC724" s="311">
        <v>600</v>
      </c>
      <c r="AD724" s="168">
        <f t="shared" si="262"/>
        <v>566.5</v>
      </c>
      <c r="AE724" s="168">
        <f t="shared" si="262"/>
        <v>566.5</v>
      </c>
      <c r="AF724" s="168">
        <f t="shared" si="264"/>
        <v>566.5</v>
      </c>
      <c r="AG724" s="575">
        <f t="shared" si="247"/>
        <v>1</v>
      </c>
    </row>
    <row r="725" spans="24:33" x14ac:dyDescent="0.25">
      <c r="X725" s="278" t="s">
        <v>63</v>
      </c>
      <c r="Y725" s="11" t="s">
        <v>457</v>
      </c>
      <c r="Z725" s="1" t="s">
        <v>8</v>
      </c>
      <c r="AA725" s="529" t="s">
        <v>32</v>
      </c>
      <c r="AB725" s="308" t="s">
        <v>776</v>
      </c>
      <c r="AC725" s="311">
        <v>610</v>
      </c>
      <c r="AD725" s="168">
        <f>566.5</f>
        <v>566.5</v>
      </c>
      <c r="AE725" s="168">
        <f>566.5</f>
        <v>566.5</v>
      </c>
      <c r="AF725" s="168">
        <v>566.5</v>
      </c>
      <c r="AG725" s="575">
        <f t="shared" si="247"/>
        <v>1</v>
      </c>
    </row>
    <row r="726" spans="24:33" x14ac:dyDescent="0.25">
      <c r="X726" s="280" t="s">
        <v>161</v>
      </c>
      <c r="Y726" s="11" t="s">
        <v>457</v>
      </c>
      <c r="Z726" s="1" t="s">
        <v>8</v>
      </c>
      <c r="AA726" s="529" t="s">
        <v>32</v>
      </c>
      <c r="AB726" s="163" t="s">
        <v>118</v>
      </c>
      <c r="AC726" s="310"/>
      <c r="AD726" s="168">
        <f t="shared" ref="AD726:AE730" si="265">AD727</f>
        <v>2290.4</v>
      </c>
      <c r="AE726" s="168">
        <f t="shared" si="265"/>
        <v>2290.5</v>
      </c>
      <c r="AF726" s="168">
        <f>AF727</f>
        <v>2290.4</v>
      </c>
      <c r="AG726" s="575">
        <f t="shared" si="247"/>
        <v>0.99995634141017253</v>
      </c>
    </row>
    <row r="727" spans="24:33" x14ac:dyDescent="0.25">
      <c r="X727" s="280" t="s">
        <v>162</v>
      </c>
      <c r="Y727" s="11" t="s">
        <v>457</v>
      </c>
      <c r="Z727" s="1" t="s">
        <v>8</v>
      </c>
      <c r="AA727" s="529" t="s">
        <v>32</v>
      </c>
      <c r="AB727" s="163" t="s">
        <v>122</v>
      </c>
      <c r="AC727" s="310"/>
      <c r="AD727" s="168">
        <f t="shared" si="265"/>
        <v>2290.4</v>
      </c>
      <c r="AE727" s="168">
        <f t="shared" si="265"/>
        <v>2290.5</v>
      </c>
      <c r="AF727" s="168">
        <f t="shared" ref="AF727" si="266">AF728</f>
        <v>2290.4</v>
      </c>
      <c r="AG727" s="575">
        <f t="shared" si="247"/>
        <v>0.99995634141017253</v>
      </c>
    </row>
    <row r="728" spans="24:33" x14ac:dyDescent="0.25">
      <c r="X728" s="278" t="s">
        <v>723</v>
      </c>
      <c r="Y728" s="11" t="s">
        <v>457</v>
      </c>
      <c r="Z728" s="1" t="s">
        <v>8</v>
      </c>
      <c r="AA728" s="529" t="s">
        <v>32</v>
      </c>
      <c r="AB728" s="163" t="s">
        <v>721</v>
      </c>
      <c r="AC728" s="310"/>
      <c r="AD728" s="168">
        <f t="shared" si="265"/>
        <v>2290.4</v>
      </c>
      <c r="AE728" s="168">
        <f t="shared" si="265"/>
        <v>2290.5</v>
      </c>
      <c r="AF728" s="168">
        <f t="shared" ref="AF728" si="267">AF729</f>
        <v>2290.4</v>
      </c>
      <c r="AG728" s="575">
        <f t="shared" si="247"/>
        <v>0.99995634141017253</v>
      </c>
    </row>
    <row r="729" spans="24:33" ht="37.15" customHeight="1" x14ac:dyDescent="0.25">
      <c r="X729" s="406" t="s">
        <v>556</v>
      </c>
      <c r="Y729" s="11" t="s">
        <v>457</v>
      </c>
      <c r="Z729" s="1" t="s">
        <v>8</v>
      </c>
      <c r="AA729" s="529" t="s">
        <v>32</v>
      </c>
      <c r="AB729" s="163" t="s">
        <v>722</v>
      </c>
      <c r="AC729" s="310"/>
      <c r="AD729" s="168">
        <f t="shared" si="265"/>
        <v>2290.4</v>
      </c>
      <c r="AE729" s="168">
        <f t="shared" si="265"/>
        <v>2290.5</v>
      </c>
      <c r="AF729" s="168">
        <f t="shared" ref="AF729" si="268">AF730</f>
        <v>2290.4</v>
      </c>
      <c r="AG729" s="575">
        <f t="shared" si="247"/>
        <v>0.99995634141017253</v>
      </c>
    </row>
    <row r="730" spans="24:33" ht="31.5" x14ac:dyDescent="0.25">
      <c r="X730" s="278" t="s">
        <v>62</v>
      </c>
      <c r="Y730" s="11" t="s">
        <v>457</v>
      </c>
      <c r="Z730" s="1" t="s">
        <v>8</v>
      </c>
      <c r="AA730" s="529" t="s">
        <v>32</v>
      </c>
      <c r="AB730" s="163" t="s">
        <v>722</v>
      </c>
      <c r="AC730" s="315">
        <v>600</v>
      </c>
      <c r="AD730" s="168">
        <f t="shared" si="265"/>
        <v>2290.4</v>
      </c>
      <c r="AE730" s="168">
        <f t="shared" si="265"/>
        <v>2290.5</v>
      </c>
      <c r="AF730" s="168">
        <f t="shared" ref="AF730" si="269">AF731</f>
        <v>2290.4</v>
      </c>
      <c r="AG730" s="575">
        <f t="shared" si="247"/>
        <v>0.99995634141017253</v>
      </c>
    </row>
    <row r="731" spans="24:33" x14ac:dyDescent="0.25">
      <c r="X731" s="278" t="s">
        <v>63</v>
      </c>
      <c r="Y731" s="11" t="s">
        <v>457</v>
      </c>
      <c r="Z731" s="1" t="s">
        <v>8</v>
      </c>
      <c r="AA731" s="529" t="s">
        <v>32</v>
      </c>
      <c r="AB731" s="163" t="s">
        <v>722</v>
      </c>
      <c r="AC731" s="315">
        <v>610</v>
      </c>
      <c r="AD731" s="168">
        <f>2000+403.8-19.1-94.3</f>
        <v>2290.4</v>
      </c>
      <c r="AE731" s="168">
        <f>2000+403.8-19.1-94.3+0.1</f>
        <v>2290.5</v>
      </c>
      <c r="AF731" s="168">
        <v>2290.4</v>
      </c>
      <c r="AG731" s="575">
        <f t="shared" si="247"/>
        <v>0.99995634141017253</v>
      </c>
    </row>
    <row r="732" spans="24:33" ht="31.5" x14ac:dyDescent="0.25">
      <c r="X732" s="299" t="s">
        <v>168</v>
      </c>
      <c r="Y732" s="11" t="s">
        <v>457</v>
      </c>
      <c r="Z732" s="1" t="s">
        <v>8</v>
      </c>
      <c r="AA732" s="529" t="s">
        <v>32</v>
      </c>
      <c r="AB732" s="163" t="s">
        <v>105</v>
      </c>
      <c r="AC732" s="315"/>
      <c r="AD732" s="168">
        <f>AD733</f>
        <v>0</v>
      </c>
      <c r="AE732" s="168">
        <f t="shared" ref="AE732:AF733" si="270">AE733</f>
        <v>10414</v>
      </c>
      <c r="AF732" s="168">
        <f t="shared" si="270"/>
        <v>0</v>
      </c>
      <c r="AG732" s="575">
        <f t="shared" si="247"/>
        <v>0</v>
      </c>
    </row>
    <row r="733" spans="24:33" ht="31.5" x14ac:dyDescent="0.25">
      <c r="X733" s="278" t="s">
        <v>385</v>
      </c>
      <c r="Y733" s="11" t="s">
        <v>457</v>
      </c>
      <c r="Z733" s="1" t="s">
        <v>8</v>
      </c>
      <c r="AA733" s="529" t="s">
        <v>32</v>
      </c>
      <c r="AB733" s="163" t="s">
        <v>107</v>
      </c>
      <c r="AC733" s="315"/>
      <c r="AD733" s="168">
        <f>AD734</f>
        <v>0</v>
      </c>
      <c r="AE733" s="168">
        <f t="shared" si="270"/>
        <v>10414</v>
      </c>
      <c r="AF733" s="168">
        <f t="shared" si="270"/>
        <v>0</v>
      </c>
      <c r="AG733" s="575">
        <f t="shared" si="247"/>
        <v>0</v>
      </c>
    </row>
    <row r="734" spans="24:33" ht="31.5" x14ac:dyDescent="0.25">
      <c r="X734" s="301" t="s">
        <v>656</v>
      </c>
      <c r="Y734" s="11" t="s">
        <v>457</v>
      </c>
      <c r="Z734" s="1" t="s">
        <v>8</v>
      </c>
      <c r="AA734" s="529" t="s">
        <v>32</v>
      </c>
      <c r="AB734" s="163" t="s">
        <v>127</v>
      </c>
      <c r="AC734" s="315"/>
      <c r="AD734" s="168">
        <f>AD735</f>
        <v>0</v>
      </c>
      <c r="AE734" s="168">
        <f t="shared" ref="AE734:AF734" si="271">AE735</f>
        <v>10414</v>
      </c>
      <c r="AF734" s="168">
        <f t="shared" si="271"/>
        <v>0</v>
      </c>
      <c r="AG734" s="575">
        <f t="shared" si="247"/>
        <v>0</v>
      </c>
    </row>
    <row r="735" spans="24:33" x14ac:dyDescent="0.25">
      <c r="X735" s="278" t="s">
        <v>178</v>
      </c>
      <c r="Y735" s="11" t="s">
        <v>457</v>
      </c>
      <c r="Z735" s="1" t="s">
        <v>8</v>
      </c>
      <c r="AA735" s="529" t="s">
        <v>32</v>
      </c>
      <c r="AB735" s="163" t="s">
        <v>179</v>
      </c>
      <c r="AC735" s="315"/>
      <c r="AD735" s="168">
        <f>AD736</f>
        <v>0</v>
      </c>
      <c r="AE735" s="168">
        <f t="shared" ref="AE735:AF736" si="272">AE736</f>
        <v>10414</v>
      </c>
      <c r="AF735" s="168">
        <f t="shared" si="272"/>
        <v>0</v>
      </c>
      <c r="AG735" s="575">
        <f t="shared" si="247"/>
        <v>0</v>
      </c>
    </row>
    <row r="736" spans="24:33" ht="31.5" x14ac:dyDescent="0.25">
      <c r="X736" s="278" t="s">
        <v>62</v>
      </c>
      <c r="Y736" s="11" t="s">
        <v>457</v>
      </c>
      <c r="Z736" s="1" t="s">
        <v>8</v>
      </c>
      <c r="AA736" s="529" t="s">
        <v>32</v>
      </c>
      <c r="AB736" s="163" t="s">
        <v>179</v>
      </c>
      <c r="AC736" s="315">
        <v>600</v>
      </c>
      <c r="AD736" s="168">
        <f>AD737</f>
        <v>0</v>
      </c>
      <c r="AE736" s="168">
        <f>AE737</f>
        <v>10414</v>
      </c>
      <c r="AF736" s="168">
        <f t="shared" si="272"/>
        <v>0</v>
      </c>
      <c r="AG736" s="575">
        <f t="shared" si="247"/>
        <v>0</v>
      </c>
    </row>
    <row r="737" spans="24:35" x14ac:dyDescent="0.25">
      <c r="X737" s="278" t="s">
        <v>63</v>
      </c>
      <c r="Y737" s="11" t="s">
        <v>457</v>
      </c>
      <c r="Z737" s="1" t="s">
        <v>8</v>
      </c>
      <c r="AA737" s="529" t="s">
        <v>32</v>
      </c>
      <c r="AB737" s="163" t="s">
        <v>179</v>
      </c>
      <c r="AC737" s="315">
        <v>610</v>
      </c>
      <c r="AD737" s="168">
        <v>0</v>
      </c>
      <c r="AE737" s="168">
        <v>10414</v>
      </c>
      <c r="AF737" s="168">
        <v>0</v>
      </c>
      <c r="AG737" s="575">
        <v>0</v>
      </c>
    </row>
    <row r="738" spans="24:35" x14ac:dyDescent="0.25">
      <c r="X738" s="297" t="s">
        <v>354</v>
      </c>
      <c r="Y738" s="11" t="s">
        <v>457</v>
      </c>
      <c r="Z738" s="1" t="s">
        <v>8</v>
      </c>
      <c r="AA738" s="529" t="s">
        <v>32</v>
      </c>
      <c r="AB738" s="308" t="s">
        <v>140</v>
      </c>
      <c r="AC738" s="311"/>
      <c r="AD738" s="168">
        <f t="shared" ref="AD738:AE741" si="273">AD739</f>
        <v>980</v>
      </c>
      <c r="AE738" s="168">
        <f t="shared" si="273"/>
        <v>980</v>
      </c>
      <c r="AF738" s="168">
        <f t="shared" ref="AF738:AF741" si="274">AF739</f>
        <v>980</v>
      </c>
      <c r="AG738" s="575">
        <f t="shared" si="247"/>
        <v>1</v>
      </c>
    </row>
    <row r="739" spans="24:35" x14ac:dyDescent="0.25">
      <c r="X739" s="278" t="s">
        <v>470</v>
      </c>
      <c r="Y739" s="11" t="s">
        <v>457</v>
      </c>
      <c r="Z739" s="1" t="s">
        <v>8</v>
      </c>
      <c r="AA739" s="529" t="s">
        <v>32</v>
      </c>
      <c r="AB739" s="163" t="s">
        <v>471</v>
      </c>
      <c r="AC739" s="311"/>
      <c r="AD739" s="168">
        <f t="shared" si="273"/>
        <v>980</v>
      </c>
      <c r="AE739" s="168">
        <f t="shared" si="273"/>
        <v>980</v>
      </c>
      <c r="AF739" s="168">
        <f t="shared" si="274"/>
        <v>980</v>
      </c>
      <c r="AG739" s="575">
        <f t="shared" si="247"/>
        <v>1</v>
      </c>
    </row>
    <row r="740" spans="24:35" ht="141.75" x14ac:dyDescent="0.25">
      <c r="X740" s="278" t="s">
        <v>777</v>
      </c>
      <c r="Y740" s="11" t="s">
        <v>457</v>
      </c>
      <c r="Z740" s="1" t="s">
        <v>8</v>
      </c>
      <c r="AA740" s="529" t="s">
        <v>32</v>
      </c>
      <c r="AB740" s="163" t="s">
        <v>778</v>
      </c>
      <c r="AC740" s="311"/>
      <c r="AD740" s="168">
        <f t="shared" si="273"/>
        <v>980</v>
      </c>
      <c r="AE740" s="168">
        <f t="shared" si="273"/>
        <v>980</v>
      </c>
      <c r="AF740" s="168">
        <f t="shared" si="274"/>
        <v>980</v>
      </c>
      <c r="AG740" s="575">
        <f t="shared" ref="AG740:AG797" si="275">AF740/AE740</f>
        <v>1</v>
      </c>
    </row>
    <row r="741" spans="24:35" x14ac:dyDescent="0.25">
      <c r="X741" s="278" t="s">
        <v>44</v>
      </c>
      <c r="Y741" s="11" t="s">
        <v>457</v>
      </c>
      <c r="Z741" s="1" t="s">
        <v>8</v>
      </c>
      <c r="AA741" s="529" t="s">
        <v>32</v>
      </c>
      <c r="AB741" s="163" t="s">
        <v>778</v>
      </c>
      <c r="AC741" s="311">
        <v>800</v>
      </c>
      <c r="AD741" s="168">
        <f t="shared" si="273"/>
        <v>980</v>
      </c>
      <c r="AE741" s="168">
        <f t="shared" si="273"/>
        <v>980</v>
      </c>
      <c r="AF741" s="168">
        <f t="shared" si="274"/>
        <v>980</v>
      </c>
      <c r="AG741" s="575">
        <f t="shared" si="275"/>
        <v>1</v>
      </c>
    </row>
    <row r="742" spans="24:35" x14ac:dyDescent="0.25">
      <c r="X742" s="278" t="s">
        <v>60</v>
      </c>
      <c r="Y742" s="11" t="s">
        <v>457</v>
      </c>
      <c r="Z742" s="1" t="s">
        <v>8</v>
      </c>
      <c r="AA742" s="529" t="s">
        <v>32</v>
      </c>
      <c r="AB742" s="163" t="s">
        <v>778</v>
      </c>
      <c r="AC742" s="311">
        <v>850</v>
      </c>
      <c r="AD742" s="168">
        <v>980</v>
      </c>
      <c r="AE742" s="168">
        <v>980</v>
      </c>
      <c r="AF742" s="168">
        <v>980</v>
      </c>
      <c r="AG742" s="575">
        <f t="shared" si="275"/>
        <v>1</v>
      </c>
    </row>
    <row r="743" spans="24:35" x14ac:dyDescent="0.25">
      <c r="X743" s="278" t="s">
        <v>137</v>
      </c>
      <c r="Y743" s="11" t="s">
        <v>457</v>
      </c>
      <c r="Z743" s="2" t="s">
        <v>8</v>
      </c>
      <c r="AA743" s="529" t="s">
        <v>7</v>
      </c>
      <c r="AB743" s="33"/>
      <c r="AC743" s="309"/>
      <c r="AD743" s="168">
        <f>AD744</f>
        <v>70227.8</v>
      </c>
      <c r="AE743" s="168">
        <f>AE744</f>
        <v>70201.8</v>
      </c>
      <c r="AF743" s="168">
        <f t="shared" ref="AF743" si="276">AF744</f>
        <v>67481.599999999991</v>
      </c>
      <c r="AG743" s="575">
        <f t="shared" si="275"/>
        <v>0.96125170579671726</v>
      </c>
      <c r="AI743" s="21"/>
    </row>
    <row r="744" spans="24:35" x14ac:dyDescent="0.25">
      <c r="X744" s="280" t="s">
        <v>278</v>
      </c>
      <c r="Y744" s="11" t="s">
        <v>457</v>
      </c>
      <c r="Z744" s="2" t="s">
        <v>8</v>
      </c>
      <c r="AA744" s="529" t="s">
        <v>7</v>
      </c>
      <c r="AB744" s="33" t="s">
        <v>103</v>
      </c>
      <c r="AC744" s="309"/>
      <c r="AD744" s="168">
        <f>AD750+AD746</f>
        <v>70227.8</v>
      </c>
      <c r="AE744" s="168">
        <f>AE750+AE746</f>
        <v>70201.8</v>
      </c>
      <c r="AF744" s="168">
        <f>AF750+AF746</f>
        <v>67481.599999999991</v>
      </c>
      <c r="AG744" s="575">
        <f t="shared" si="275"/>
        <v>0.96125170579671726</v>
      </c>
    </row>
    <row r="745" spans="24:35" x14ac:dyDescent="0.25">
      <c r="X745" s="280" t="s">
        <v>282</v>
      </c>
      <c r="Y745" s="11" t="s">
        <v>457</v>
      </c>
      <c r="Z745" s="2" t="s">
        <v>8</v>
      </c>
      <c r="AA745" s="529" t="s">
        <v>7</v>
      </c>
      <c r="AB745" s="163" t="s">
        <v>120</v>
      </c>
      <c r="AC745" s="309"/>
      <c r="AD745" s="168">
        <f t="shared" ref="AD745:AE748" si="277">AD746</f>
        <v>4664</v>
      </c>
      <c r="AE745" s="168">
        <f t="shared" si="277"/>
        <v>4638</v>
      </c>
      <c r="AF745" s="168">
        <f t="shared" ref="AF745:AF748" si="278">AF746</f>
        <v>4201.3999999999996</v>
      </c>
      <c r="AG745" s="575">
        <f t="shared" si="275"/>
        <v>0.90586459680896936</v>
      </c>
    </row>
    <row r="746" spans="24:35" ht="29.25" customHeight="1" x14ac:dyDescent="0.25">
      <c r="X746" s="280" t="s">
        <v>283</v>
      </c>
      <c r="Y746" s="11" t="s">
        <v>457</v>
      </c>
      <c r="Z746" s="1" t="s">
        <v>8</v>
      </c>
      <c r="AA746" s="529" t="s">
        <v>7</v>
      </c>
      <c r="AB746" s="163" t="s">
        <v>505</v>
      </c>
      <c r="AC746" s="309"/>
      <c r="AD746" s="168">
        <f t="shared" si="277"/>
        <v>4664</v>
      </c>
      <c r="AE746" s="168">
        <f t="shared" si="277"/>
        <v>4638</v>
      </c>
      <c r="AF746" s="168">
        <f t="shared" si="278"/>
        <v>4201.3999999999996</v>
      </c>
      <c r="AG746" s="575">
        <f t="shared" si="275"/>
        <v>0.90586459680896936</v>
      </c>
      <c r="AH746" s="3"/>
    </row>
    <row r="747" spans="24:35" ht="133.9" customHeight="1" x14ac:dyDescent="0.25">
      <c r="X747" s="281" t="s">
        <v>586</v>
      </c>
      <c r="Y747" s="11" t="s">
        <v>457</v>
      </c>
      <c r="Z747" s="1" t="s">
        <v>8</v>
      </c>
      <c r="AA747" s="529" t="s">
        <v>7</v>
      </c>
      <c r="AB747" s="33" t="s">
        <v>534</v>
      </c>
      <c r="AC747" s="309"/>
      <c r="AD747" s="168">
        <f t="shared" si="277"/>
        <v>4664</v>
      </c>
      <c r="AE747" s="168">
        <f t="shared" si="277"/>
        <v>4638</v>
      </c>
      <c r="AF747" s="168">
        <f t="shared" si="278"/>
        <v>4201.3999999999996</v>
      </c>
      <c r="AG747" s="575">
        <f t="shared" si="275"/>
        <v>0.90586459680896936</v>
      </c>
      <c r="AH747" s="3"/>
    </row>
    <row r="748" spans="24:35" ht="31.5" x14ac:dyDescent="0.25">
      <c r="X748" s="278" t="s">
        <v>62</v>
      </c>
      <c r="Y748" s="202" t="s">
        <v>457</v>
      </c>
      <c r="Z748" s="1" t="s">
        <v>8</v>
      </c>
      <c r="AA748" s="529" t="s">
        <v>7</v>
      </c>
      <c r="AB748" s="33" t="s">
        <v>534</v>
      </c>
      <c r="AC748" s="309">
        <v>600</v>
      </c>
      <c r="AD748" s="168">
        <f t="shared" si="277"/>
        <v>4664</v>
      </c>
      <c r="AE748" s="168">
        <f t="shared" si="277"/>
        <v>4638</v>
      </c>
      <c r="AF748" s="168">
        <f t="shared" si="278"/>
        <v>4201.3999999999996</v>
      </c>
      <c r="AG748" s="575">
        <f t="shared" si="275"/>
        <v>0.90586459680896936</v>
      </c>
      <c r="AH748" s="3"/>
    </row>
    <row r="749" spans="24:35" x14ac:dyDescent="0.25">
      <c r="X749" s="278" t="s">
        <v>63</v>
      </c>
      <c r="Y749" s="202" t="s">
        <v>457</v>
      </c>
      <c r="Z749" s="1" t="s">
        <v>8</v>
      </c>
      <c r="AA749" s="529" t="s">
        <v>7</v>
      </c>
      <c r="AB749" s="33" t="s">
        <v>534</v>
      </c>
      <c r="AC749" s="309">
        <v>610</v>
      </c>
      <c r="AD749" s="168">
        <f>4197+1098+213-844-844+844</f>
        <v>4664</v>
      </c>
      <c r="AE749" s="168">
        <v>4638</v>
      </c>
      <c r="AF749" s="168">
        <v>4201.3999999999996</v>
      </c>
      <c r="AG749" s="575">
        <f t="shared" si="275"/>
        <v>0.90586459680896936</v>
      </c>
      <c r="AH749" s="3"/>
    </row>
    <row r="750" spans="24:35" ht="31.5" x14ac:dyDescent="0.25">
      <c r="X750" s="280" t="s">
        <v>542</v>
      </c>
      <c r="Y750" s="11">
        <v>901</v>
      </c>
      <c r="Z750" s="2" t="s">
        <v>8</v>
      </c>
      <c r="AA750" s="529" t="s">
        <v>7</v>
      </c>
      <c r="AB750" s="163" t="s">
        <v>104</v>
      </c>
      <c r="AC750" s="330"/>
      <c r="AD750" s="173">
        <f>AD751+AD756</f>
        <v>65563.8</v>
      </c>
      <c r="AE750" s="173">
        <f>AE751+AE756</f>
        <v>65563.8</v>
      </c>
      <c r="AF750" s="173">
        <f>AF751+AF756</f>
        <v>63280.2</v>
      </c>
      <c r="AG750" s="575">
        <f t="shared" si="275"/>
        <v>0.96516980406870856</v>
      </c>
      <c r="AH750" s="3"/>
    </row>
    <row r="751" spans="24:35" ht="31.5" x14ac:dyDescent="0.25">
      <c r="X751" s="280" t="s">
        <v>590</v>
      </c>
      <c r="Y751" s="11">
        <v>901</v>
      </c>
      <c r="Z751" s="2" t="s">
        <v>8</v>
      </c>
      <c r="AA751" s="529" t="s">
        <v>7</v>
      </c>
      <c r="AB751" s="163" t="s">
        <v>544</v>
      </c>
      <c r="AC751" s="330"/>
      <c r="AD751" s="173">
        <f>AD752</f>
        <v>49602.7</v>
      </c>
      <c r="AE751" s="173">
        <f>AE752</f>
        <v>49602.7</v>
      </c>
      <c r="AF751" s="173">
        <f>AF752</f>
        <v>49602.7</v>
      </c>
      <c r="AG751" s="575">
        <f t="shared" si="275"/>
        <v>1</v>
      </c>
      <c r="AH751" s="3"/>
    </row>
    <row r="752" spans="24:35" ht="31.5" x14ac:dyDescent="0.25">
      <c r="X752" s="280" t="s">
        <v>286</v>
      </c>
      <c r="Y752" s="11">
        <v>901</v>
      </c>
      <c r="Z752" s="2" t="s">
        <v>8</v>
      </c>
      <c r="AA752" s="529" t="s">
        <v>7</v>
      </c>
      <c r="AB752" s="163" t="s">
        <v>545</v>
      </c>
      <c r="AC752" s="312"/>
      <c r="AD752" s="173">
        <f>AD753</f>
        <v>49602.7</v>
      </c>
      <c r="AE752" s="173">
        <f t="shared" ref="AE752:AF752" si="279">AE753</f>
        <v>49602.7</v>
      </c>
      <c r="AF752" s="173">
        <f t="shared" si="279"/>
        <v>49602.7</v>
      </c>
      <c r="AG752" s="575">
        <f t="shared" si="275"/>
        <v>1</v>
      </c>
      <c r="AH752" s="3"/>
    </row>
    <row r="753" spans="24:34" ht="31.5" x14ac:dyDescent="0.25">
      <c r="X753" s="278" t="s">
        <v>353</v>
      </c>
      <c r="Y753" s="11">
        <v>901</v>
      </c>
      <c r="Z753" s="2" t="s">
        <v>8</v>
      </c>
      <c r="AA753" s="529" t="s">
        <v>7</v>
      </c>
      <c r="AB753" s="163" t="s">
        <v>546</v>
      </c>
      <c r="AC753" s="313"/>
      <c r="AD753" s="173">
        <f t="shared" ref="AD753:AF754" si="280">AD754</f>
        <v>49602.7</v>
      </c>
      <c r="AE753" s="173">
        <f t="shared" si="280"/>
        <v>49602.7</v>
      </c>
      <c r="AF753" s="173">
        <f t="shared" si="280"/>
        <v>49602.7</v>
      </c>
      <c r="AG753" s="575">
        <f t="shared" si="275"/>
        <v>1</v>
      </c>
      <c r="AH753" s="3"/>
    </row>
    <row r="754" spans="24:34" ht="31.5" x14ac:dyDescent="0.25">
      <c r="X754" s="278" t="s">
        <v>62</v>
      </c>
      <c r="Y754" s="11">
        <v>901</v>
      </c>
      <c r="Z754" s="2" t="s">
        <v>8</v>
      </c>
      <c r="AA754" s="529" t="s">
        <v>7</v>
      </c>
      <c r="AB754" s="163" t="s">
        <v>546</v>
      </c>
      <c r="AC754" s="309">
        <v>600</v>
      </c>
      <c r="AD754" s="173">
        <f t="shared" si="280"/>
        <v>49602.7</v>
      </c>
      <c r="AE754" s="173">
        <f t="shared" si="280"/>
        <v>49602.7</v>
      </c>
      <c r="AF754" s="173">
        <f t="shared" si="280"/>
        <v>49602.7</v>
      </c>
      <c r="AG754" s="575">
        <f t="shared" si="275"/>
        <v>1</v>
      </c>
      <c r="AH754" s="3"/>
    </row>
    <row r="755" spans="24:34" x14ac:dyDescent="0.25">
      <c r="X755" s="278" t="s">
        <v>63</v>
      </c>
      <c r="Y755" s="11">
        <v>901</v>
      </c>
      <c r="Z755" s="2" t="s">
        <v>8</v>
      </c>
      <c r="AA755" s="529" t="s">
        <v>7</v>
      </c>
      <c r="AB755" s="163" t="s">
        <v>546</v>
      </c>
      <c r="AC755" s="309">
        <v>610</v>
      </c>
      <c r="AD755" s="168">
        <f>55298+574.3-574.3-5695.3</f>
        <v>49602.7</v>
      </c>
      <c r="AE755" s="168">
        <f>55298+574.3-574.3-5695.3</f>
        <v>49602.7</v>
      </c>
      <c r="AF755" s="168">
        <v>49602.7</v>
      </c>
      <c r="AG755" s="575">
        <f t="shared" si="275"/>
        <v>1</v>
      </c>
    </row>
    <row r="756" spans="24:34" ht="31.5" x14ac:dyDescent="0.25">
      <c r="X756" s="280" t="s">
        <v>547</v>
      </c>
      <c r="Y756" s="11">
        <v>901</v>
      </c>
      <c r="Z756" s="1" t="s">
        <v>8</v>
      </c>
      <c r="AA756" s="529" t="s">
        <v>7</v>
      </c>
      <c r="AB756" s="163" t="s">
        <v>548</v>
      </c>
      <c r="AC756" s="311"/>
      <c r="AD756" s="173">
        <f>AD757</f>
        <v>15961.100000000002</v>
      </c>
      <c r="AE756" s="173">
        <f>AE757</f>
        <v>15961.100000000002</v>
      </c>
      <c r="AF756" s="173">
        <f t="shared" ref="AF756" si="281">AF757</f>
        <v>13677.5</v>
      </c>
      <c r="AG756" s="575">
        <f t="shared" si="275"/>
        <v>0.85692715414351128</v>
      </c>
    </row>
    <row r="757" spans="24:34" ht="31.5" x14ac:dyDescent="0.25">
      <c r="X757" s="281" t="s">
        <v>160</v>
      </c>
      <c r="Y757" s="11">
        <v>901</v>
      </c>
      <c r="Z757" s="2" t="s">
        <v>8</v>
      </c>
      <c r="AA757" s="529" t="s">
        <v>7</v>
      </c>
      <c r="AB757" s="163" t="s">
        <v>549</v>
      </c>
      <c r="AC757" s="309"/>
      <c r="AD757" s="168">
        <f>AD758+AD762</f>
        <v>15961.100000000002</v>
      </c>
      <c r="AE757" s="168">
        <f>AE758+AE762</f>
        <v>15961.100000000002</v>
      </c>
      <c r="AF757" s="168">
        <f>AF758+AF762</f>
        <v>13677.5</v>
      </c>
      <c r="AG757" s="575">
        <f t="shared" si="275"/>
        <v>0.85692715414351128</v>
      </c>
    </row>
    <row r="758" spans="24:34" ht="31.5" x14ac:dyDescent="0.25">
      <c r="X758" s="278" t="s">
        <v>62</v>
      </c>
      <c r="Y758" s="11">
        <v>901</v>
      </c>
      <c r="Z758" s="2" t="s">
        <v>8</v>
      </c>
      <c r="AA758" s="529" t="s">
        <v>7</v>
      </c>
      <c r="AB758" s="163" t="s">
        <v>549</v>
      </c>
      <c r="AC758" s="309">
        <v>600</v>
      </c>
      <c r="AD758" s="168">
        <f>AD759+AD760+AD761</f>
        <v>15584.800000000003</v>
      </c>
      <c r="AE758" s="168">
        <f>AE759+AE760+AE761</f>
        <v>15584.800000000003</v>
      </c>
      <c r="AF758" s="168">
        <f t="shared" ref="AF758" si="282">AF759+AF760+AF761</f>
        <v>13677.5</v>
      </c>
      <c r="AG758" s="575">
        <f t="shared" si="275"/>
        <v>0.87761793542425937</v>
      </c>
    </row>
    <row r="759" spans="24:34" x14ac:dyDescent="0.25">
      <c r="X759" s="278" t="s">
        <v>63</v>
      </c>
      <c r="Y759" s="11">
        <v>901</v>
      </c>
      <c r="Z759" s="2" t="s">
        <v>8</v>
      </c>
      <c r="AA759" s="529" t="s">
        <v>7</v>
      </c>
      <c r="AB759" s="163" t="s">
        <v>549</v>
      </c>
      <c r="AC759" s="309">
        <v>610</v>
      </c>
      <c r="AD759" s="168">
        <f>12219.1+5695.3-787-2800</f>
        <v>14327.400000000001</v>
      </c>
      <c r="AE759" s="168">
        <f>12219.1+5695.3-787-2800</f>
        <v>14327.400000000001</v>
      </c>
      <c r="AF759" s="168">
        <v>13677.5</v>
      </c>
      <c r="AG759" s="575">
        <f t="shared" si="275"/>
        <v>0.9546393623406898</v>
      </c>
    </row>
    <row r="760" spans="24:34" x14ac:dyDescent="0.25">
      <c r="X760" s="278" t="s">
        <v>132</v>
      </c>
      <c r="Y760" s="11">
        <v>901</v>
      </c>
      <c r="Z760" s="2" t="s">
        <v>8</v>
      </c>
      <c r="AA760" s="529" t="s">
        <v>7</v>
      </c>
      <c r="AB760" s="163" t="s">
        <v>549</v>
      </c>
      <c r="AC760" s="309">
        <v>620</v>
      </c>
      <c r="AD760" s="168">
        <f t="shared" ref="AD760:AE761" si="283">235.2+393.5</f>
        <v>628.70000000000005</v>
      </c>
      <c r="AE760" s="168">
        <f t="shared" si="283"/>
        <v>628.70000000000005</v>
      </c>
      <c r="AF760" s="168">
        <v>0</v>
      </c>
      <c r="AG760" s="575">
        <f t="shared" si="275"/>
        <v>0</v>
      </c>
    </row>
    <row r="761" spans="24:34" ht="47.25" x14ac:dyDescent="0.25">
      <c r="X761" s="278" t="s">
        <v>394</v>
      </c>
      <c r="Y761" s="11">
        <v>901</v>
      </c>
      <c r="Z761" s="2" t="s">
        <v>8</v>
      </c>
      <c r="AA761" s="529" t="s">
        <v>7</v>
      </c>
      <c r="AB761" s="163" t="s">
        <v>549</v>
      </c>
      <c r="AC761" s="309">
        <v>630</v>
      </c>
      <c r="AD761" s="168">
        <f t="shared" si="283"/>
        <v>628.70000000000005</v>
      </c>
      <c r="AE761" s="168">
        <f t="shared" si="283"/>
        <v>628.70000000000005</v>
      </c>
      <c r="AF761" s="168">
        <v>0</v>
      </c>
      <c r="AG761" s="575">
        <f t="shared" si="275"/>
        <v>0</v>
      </c>
    </row>
    <row r="762" spans="24:34" x14ac:dyDescent="0.25">
      <c r="X762" s="278" t="s">
        <v>44</v>
      </c>
      <c r="Y762" s="11">
        <v>901</v>
      </c>
      <c r="Z762" s="2" t="s">
        <v>8</v>
      </c>
      <c r="AA762" s="529" t="s">
        <v>7</v>
      </c>
      <c r="AB762" s="163" t="s">
        <v>549</v>
      </c>
      <c r="AC762" s="309">
        <v>800</v>
      </c>
      <c r="AD762" s="168">
        <f>AD763</f>
        <v>376.3</v>
      </c>
      <c r="AE762" s="168">
        <f>AE763</f>
        <v>376.3</v>
      </c>
      <c r="AF762" s="168">
        <f>AF763</f>
        <v>0</v>
      </c>
      <c r="AG762" s="575">
        <f t="shared" si="275"/>
        <v>0</v>
      </c>
    </row>
    <row r="763" spans="24:34" ht="31.5" x14ac:dyDescent="0.25">
      <c r="X763" s="278" t="s">
        <v>124</v>
      </c>
      <c r="Y763" s="11">
        <v>901</v>
      </c>
      <c r="Z763" s="2" t="s">
        <v>8</v>
      </c>
      <c r="AA763" s="529" t="s">
        <v>7</v>
      </c>
      <c r="AB763" s="163" t="s">
        <v>549</v>
      </c>
      <c r="AC763" s="309">
        <v>810</v>
      </c>
      <c r="AD763" s="168">
        <f>376.3</f>
        <v>376.3</v>
      </c>
      <c r="AE763" s="168">
        <f>376.3</f>
        <v>376.3</v>
      </c>
      <c r="AF763" s="168">
        <v>0</v>
      </c>
      <c r="AG763" s="575">
        <f t="shared" si="275"/>
        <v>0</v>
      </c>
    </row>
    <row r="764" spans="24:34" x14ac:dyDescent="0.25">
      <c r="X764" s="278" t="s">
        <v>138</v>
      </c>
      <c r="Y764" s="11">
        <v>901</v>
      </c>
      <c r="Z764" s="1" t="s">
        <v>8</v>
      </c>
      <c r="AA764" s="529" t="s">
        <v>8</v>
      </c>
      <c r="AB764" s="163"/>
      <c r="AC764" s="309"/>
      <c r="AD764" s="168">
        <f t="shared" ref="AD764:AE769" si="284">AD765</f>
        <v>934.3</v>
      </c>
      <c r="AE764" s="168">
        <f t="shared" si="284"/>
        <v>934.3</v>
      </c>
      <c r="AF764" s="168">
        <f t="shared" ref="AF764" si="285">AF765</f>
        <v>934.3</v>
      </c>
      <c r="AG764" s="575">
        <f t="shared" si="275"/>
        <v>1</v>
      </c>
    </row>
    <row r="765" spans="24:34" ht="31.5" x14ac:dyDescent="0.25">
      <c r="X765" s="280" t="s">
        <v>315</v>
      </c>
      <c r="Y765" s="11">
        <v>901</v>
      </c>
      <c r="Z765" s="1" t="s">
        <v>8</v>
      </c>
      <c r="AA765" s="529" t="s">
        <v>8</v>
      </c>
      <c r="AB765" s="163" t="s">
        <v>134</v>
      </c>
      <c r="AC765" s="309"/>
      <c r="AD765" s="168">
        <f t="shared" si="284"/>
        <v>934.3</v>
      </c>
      <c r="AE765" s="168">
        <f t="shared" si="284"/>
        <v>934.3</v>
      </c>
      <c r="AF765" s="168">
        <f t="shared" ref="AF765" si="286">AF766</f>
        <v>934.3</v>
      </c>
      <c r="AG765" s="575">
        <f t="shared" si="275"/>
        <v>1</v>
      </c>
    </row>
    <row r="766" spans="24:34" x14ac:dyDescent="0.25">
      <c r="X766" s="280" t="s">
        <v>324</v>
      </c>
      <c r="Y766" s="11">
        <v>901</v>
      </c>
      <c r="Z766" s="18" t="s">
        <v>8</v>
      </c>
      <c r="AA766" s="559" t="s">
        <v>8</v>
      </c>
      <c r="AB766" s="163" t="s">
        <v>325</v>
      </c>
      <c r="AC766" s="309"/>
      <c r="AD766" s="168">
        <f t="shared" si="284"/>
        <v>934.3</v>
      </c>
      <c r="AE766" s="168">
        <f t="shared" si="284"/>
        <v>934.3</v>
      </c>
      <c r="AF766" s="168">
        <f t="shared" ref="AF766" si="287">AF767</f>
        <v>934.3</v>
      </c>
      <c r="AG766" s="575">
        <f t="shared" si="275"/>
        <v>1</v>
      </c>
    </row>
    <row r="767" spans="24:34" ht="63" x14ac:dyDescent="0.25">
      <c r="X767" s="402" t="s">
        <v>667</v>
      </c>
      <c r="Y767" s="11">
        <v>901</v>
      </c>
      <c r="Z767" s="18" t="s">
        <v>8</v>
      </c>
      <c r="AA767" s="559" t="s">
        <v>8</v>
      </c>
      <c r="AB767" s="333" t="s">
        <v>669</v>
      </c>
      <c r="AC767" s="309"/>
      <c r="AD767" s="168">
        <f t="shared" si="284"/>
        <v>934.3</v>
      </c>
      <c r="AE767" s="168">
        <f t="shared" si="284"/>
        <v>934.3</v>
      </c>
      <c r="AF767" s="168">
        <f t="shared" ref="AF767" si="288">AF768</f>
        <v>934.3</v>
      </c>
      <c r="AG767" s="575">
        <f t="shared" si="275"/>
        <v>1</v>
      </c>
    </row>
    <row r="768" spans="24:34" ht="31.5" x14ac:dyDescent="0.25">
      <c r="X768" s="402" t="s">
        <v>668</v>
      </c>
      <c r="Y768" s="11">
        <v>901</v>
      </c>
      <c r="Z768" s="1" t="s">
        <v>8</v>
      </c>
      <c r="AA768" s="529" t="s">
        <v>8</v>
      </c>
      <c r="AB768" s="333" t="s">
        <v>670</v>
      </c>
      <c r="AC768" s="309"/>
      <c r="AD768" s="168">
        <f t="shared" si="284"/>
        <v>934.3</v>
      </c>
      <c r="AE768" s="168">
        <f t="shared" si="284"/>
        <v>934.3</v>
      </c>
      <c r="AF768" s="168">
        <f t="shared" ref="AF768" si="289">AF769</f>
        <v>934.3</v>
      </c>
      <c r="AG768" s="575">
        <f t="shared" si="275"/>
        <v>1</v>
      </c>
    </row>
    <row r="769" spans="24:33" ht="31.5" x14ac:dyDescent="0.25">
      <c r="X769" s="278" t="s">
        <v>62</v>
      </c>
      <c r="Y769" s="11">
        <v>901</v>
      </c>
      <c r="Z769" s="18" t="s">
        <v>8</v>
      </c>
      <c r="AA769" s="559" t="s">
        <v>8</v>
      </c>
      <c r="AB769" s="333" t="s">
        <v>670</v>
      </c>
      <c r="AC769" s="309">
        <v>600</v>
      </c>
      <c r="AD769" s="168">
        <f t="shared" si="284"/>
        <v>934.3</v>
      </c>
      <c r="AE769" s="168">
        <f t="shared" si="284"/>
        <v>934.3</v>
      </c>
      <c r="AF769" s="168">
        <f t="shared" ref="AF769" si="290">AF770</f>
        <v>934.3</v>
      </c>
      <c r="AG769" s="575">
        <f t="shared" si="275"/>
        <v>1</v>
      </c>
    </row>
    <row r="770" spans="24:33" x14ac:dyDescent="0.25">
      <c r="X770" s="278" t="s">
        <v>63</v>
      </c>
      <c r="Y770" s="11">
        <v>901</v>
      </c>
      <c r="Z770" s="18" t="s">
        <v>8</v>
      </c>
      <c r="AA770" s="559" t="s">
        <v>8</v>
      </c>
      <c r="AB770" s="333" t="s">
        <v>670</v>
      </c>
      <c r="AC770" s="309">
        <v>610</v>
      </c>
      <c r="AD770" s="168">
        <f>886.8+55.3-7.8</f>
        <v>934.3</v>
      </c>
      <c r="AE770" s="168">
        <f>886.8+55.3-7.8</f>
        <v>934.3</v>
      </c>
      <c r="AF770" s="168">
        <v>934.3</v>
      </c>
      <c r="AG770" s="575">
        <f t="shared" si="275"/>
        <v>1</v>
      </c>
    </row>
    <row r="771" spans="24:33" x14ac:dyDescent="0.25">
      <c r="X771" s="278" t="s">
        <v>40</v>
      </c>
      <c r="Y771" s="11">
        <v>901</v>
      </c>
      <c r="Z771" s="1" t="s">
        <v>8</v>
      </c>
      <c r="AA771" s="529" t="s">
        <v>23</v>
      </c>
      <c r="AB771" s="33"/>
      <c r="AC771" s="309"/>
      <c r="AD771" s="168">
        <f>AD772+AD790+AD800</f>
        <v>25497.9</v>
      </c>
      <c r="AE771" s="168">
        <f>AE772+AE790+AE800</f>
        <v>26461.7</v>
      </c>
      <c r="AF771" s="168">
        <f>AF772+AF790+AF800</f>
        <v>26132.600000000002</v>
      </c>
      <c r="AG771" s="575">
        <f t="shared" si="275"/>
        <v>0.98756315731793498</v>
      </c>
    </row>
    <row r="772" spans="24:33" x14ac:dyDescent="0.25">
      <c r="X772" s="280" t="s">
        <v>278</v>
      </c>
      <c r="Y772" s="11">
        <v>901</v>
      </c>
      <c r="Z772" s="1" t="s">
        <v>8</v>
      </c>
      <c r="AA772" s="529" t="s">
        <v>23</v>
      </c>
      <c r="AB772" s="33" t="s">
        <v>103</v>
      </c>
      <c r="AC772" s="311"/>
      <c r="AD772" s="168">
        <f>AD773+AD778</f>
        <v>22593.200000000001</v>
      </c>
      <c r="AE772" s="168">
        <f>AE773+AE778</f>
        <v>22593.200000000001</v>
      </c>
      <c r="AF772" s="168">
        <f>AF773+AF778</f>
        <v>22264.100000000002</v>
      </c>
      <c r="AG772" s="575">
        <f t="shared" si="275"/>
        <v>0.98543367030788032</v>
      </c>
    </row>
    <row r="773" spans="24:33" ht="31.5" x14ac:dyDescent="0.25">
      <c r="X773" s="280" t="s">
        <v>516</v>
      </c>
      <c r="Y773" s="11" t="s">
        <v>457</v>
      </c>
      <c r="Z773" s="1" t="s">
        <v>8</v>
      </c>
      <c r="AA773" s="529" t="s">
        <v>23</v>
      </c>
      <c r="AB773" s="33" t="s">
        <v>104</v>
      </c>
      <c r="AC773" s="311"/>
      <c r="AD773" s="168">
        <f t="shared" ref="AD773:AE776" si="291">AD774</f>
        <v>220.89999999999998</v>
      </c>
      <c r="AE773" s="168">
        <f t="shared" si="291"/>
        <v>220.9</v>
      </c>
      <c r="AF773" s="168">
        <f t="shared" ref="AF773:AF776" si="292">AF774</f>
        <v>220.8</v>
      </c>
      <c r="AG773" s="575">
        <f t="shared" si="275"/>
        <v>0.99954730647351742</v>
      </c>
    </row>
    <row r="774" spans="24:33" x14ac:dyDescent="0.25">
      <c r="X774" s="280" t="s">
        <v>517</v>
      </c>
      <c r="Y774" s="11">
        <v>901</v>
      </c>
      <c r="Z774" s="1" t="s">
        <v>8</v>
      </c>
      <c r="AA774" s="529" t="s">
        <v>23</v>
      </c>
      <c r="AB774" s="33" t="s">
        <v>518</v>
      </c>
      <c r="AC774" s="311"/>
      <c r="AD774" s="168">
        <f>AD775</f>
        <v>220.89999999999998</v>
      </c>
      <c r="AE774" s="168">
        <f t="shared" si="291"/>
        <v>220.9</v>
      </c>
      <c r="AF774" s="168">
        <f t="shared" si="292"/>
        <v>220.8</v>
      </c>
      <c r="AG774" s="575">
        <f t="shared" si="275"/>
        <v>0.99954730647351742</v>
      </c>
    </row>
    <row r="775" spans="24:33" ht="47.25" x14ac:dyDescent="0.25">
      <c r="X775" s="280" t="s">
        <v>592</v>
      </c>
      <c r="Y775" s="11" t="s">
        <v>457</v>
      </c>
      <c r="Z775" s="1" t="s">
        <v>8</v>
      </c>
      <c r="AA775" s="529" t="s">
        <v>23</v>
      </c>
      <c r="AB775" s="448" t="s">
        <v>519</v>
      </c>
      <c r="AC775" s="311"/>
      <c r="AD775" s="168">
        <f t="shared" si="291"/>
        <v>220.89999999999998</v>
      </c>
      <c r="AE775" s="168">
        <f t="shared" si="291"/>
        <v>220.9</v>
      </c>
      <c r="AF775" s="168">
        <f t="shared" si="292"/>
        <v>220.8</v>
      </c>
      <c r="AG775" s="575">
        <f t="shared" si="275"/>
        <v>0.99954730647351742</v>
      </c>
    </row>
    <row r="776" spans="24:33" x14ac:dyDescent="0.25">
      <c r="X776" s="278" t="s">
        <v>123</v>
      </c>
      <c r="Y776" s="11" t="s">
        <v>457</v>
      </c>
      <c r="Z776" s="1" t="s">
        <v>8</v>
      </c>
      <c r="AA776" s="529" t="s">
        <v>23</v>
      </c>
      <c r="AB776" s="448" t="s">
        <v>519</v>
      </c>
      <c r="AC776" s="311">
        <v>200</v>
      </c>
      <c r="AD776" s="168">
        <f t="shared" si="291"/>
        <v>220.89999999999998</v>
      </c>
      <c r="AE776" s="168">
        <f t="shared" si="291"/>
        <v>220.9</v>
      </c>
      <c r="AF776" s="168">
        <f t="shared" si="292"/>
        <v>220.8</v>
      </c>
      <c r="AG776" s="575">
        <f t="shared" si="275"/>
        <v>0.99954730647351742</v>
      </c>
    </row>
    <row r="777" spans="24:33" ht="31.5" x14ac:dyDescent="0.25">
      <c r="X777" s="278" t="s">
        <v>54</v>
      </c>
      <c r="Y777" s="11" t="s">
        <v>457</v>
      </c>
      <c r="Z777" s="1" t="s">
        <v>8</v>
      </c>
      <c r="AA777" s="529" t="s">
        <v>23</v>
      </c>
      <c r="AB777" s="448" t="s">
        <v>519</v>
      </c>
      <c r="AC777" s="311">
        <v>240</v>
      </c>
      <c r="AD777" s="168">
        <f>656.3+8.2-281.3-3.5-156.8-2</f>
        <v>220.89999999999998</v>
      </c>
      <c r="AE777" s="168">
        <v>220.9</v>
      </c>
      <c r="AF777" s="168">
        <v>220.8</v>
      </c>
      <c r="AG777" s="575">
        <f t="shared" si="275"/>
        <v>0.99954730647351742</v>
      </c>
    </row>
    <row r="778" spans="24:33" x14ac:dyDescent="0.25">
      <c r="X778" s="280" t="s">
        <v>391</v>
      </c>
      <c r="Y778" s="11" t="s">
        <v>457</v>
      </c>
      <c r="Z778" s="1" t="s">
        <v>8</v>
      </c>
      <c r="AA778" s="529" t="s">
        <v>23</v>
      </c>
      <c r="AB778" s="163" t="s">
        <v>550</v>
      </c>
      <c r="AC778" s="309"/>
      <c r="AD778" s="168">
        <f>AD779</f>
        <v>22372.3</v>
      </c>
      <c r="AE778" s="168">
        <f>AE779</f>
        <v>22372.3</v>
      </c>
      <c r="AF778" s="168">
        <f>AF779</f>
        <v>22043.300000000003</v>
      </c>
      <c r="AG778" s="575">
        <f t="shared" si="275"/>
        <v>0.98529431484469654</v>
      </c>
    </row>
    <row r="779" spans="24:33" ht="31.5" x14ac:dyDescent="0.25">
      <c r="X779" s="280" t="s">
        <v>287</v>
      </c>
      <c r="Y779" s="11" t="s">
        <v>457</v>
      </c>
      <c r="Z779" s="1" t="s">
        <v>8</v>
      </c>
      <c r="AA779" s="529" t="s">
        <v>23</v>
      </c>
      <c r="AB779" s="163" t="s">
        <v>551</v>
      </c>
      <c r="AC779" s="309"/>
      <c r="AD779" s="168">
        <f>AD780</f>
        <v>22372.3</v>
      </c>
      <c r="AE779" s="168">
        <f t="shared" ref="AE779:AF779" si="293">AE780</f>
        <v>22372.3</v>
      </c>
      <c r="AF779" s="168">
        <f t="shared" si="293"/>
        <v>22043.300000000003</v>
      </c>
      <c r="AG779" s="575">
        <f t="shared" si="275"/>
        <v>0.98529431484469654</v>
      </c>
    </row>
    <row r="780" spans="24:33" x14ac:dyDescent="0.25">
      <c r="X780" s="281" t="s">
        <v>214</v>
      </c>
      <c r="Y780" s="11" t="s">
        <v>457</v>
      </c>
      <c r="Z780" s="1" t="s">
        <v>8</v>
      </c>
      <c r="AA780" s="529" t="s">
        <v>23</v>
      </c>
      <c r="AB780" s="163" t="s">
        <v>552</v>
      </c>
      <c r="AC780" s="309"/>
      <c r="AD780" s="168">
        <f>AD781+AD784+AD787</f>
        <v>22372.3</v>
      </c>
      <c r="AE780" s="168">
        <f>AE781+AE784+AE787</f>
        <v>22372.3</v>
      </c>
      <c r="AF780" s="168">
        <f>AF781+AF784+AF787</f>
        <v>22043.300000000003</v>
      </c>
      <c r="AG780" s="575">
        <f t="shared" si="275"/>
        <v>0.98529431484469654</v>
      </c>
    </row>
    <row r="781" spans="24:33" ht="31.5" x14ac:dyDescent="0.25">
      <c r="X781" s="278" t="s">
        <v>215</v>
      </c>
      <c r="Y781" s="11" t="s">
        <v>457</v>
      </c>
      <c r="Z781" s="1" t="s">
        <v>8</v>
      </c>
      <c r="AA781" s="529" t="s">
        <v>23</v>
      </c>
      <c r="AB781" s="163" t="s">
        <v>553</v>
      </c>
      <c r="AC781" s="309"/>
      <c r="AD781" s="168">
        <f>AD782</f>
        <v>1363.8</v>
      </c>
      <c r="AE781" s="168">
        <f>AE782</f>
        <v>1363.8</v>
      </c>
      <c r="AF781" s="168">
        <f t="shared" ref="AF781" si="294">AF782</f>
        <v>1186.5</v>
      </c>
      <c r="AG781" s="575">
        <f t="shared" si="275"/>
        <v>0.86999560052793667</v>
      </c>
    </row>
    <row r="782" spans="24:33" x14ac:dyDescent="0.25">
      <c r="X782" s="278" t="s">
        <v>123</v>
      </c>
      <c r="Y782" s="11" t="s">
        <v>457</v>
      </c>
      <c r="Z782" s="1" t="s">
        <v>8</v>
      </c>
      <c r="AA782" s="529" t="s">
        <v>23</v>
      </c>
      <c r="AB782" s="163" t="s">
        <v>553</v>
      </c>
      <c r="AC782" s="309">
        <v>200</v>
      </c>
      <c r="AD782" s="168">
        <f>AD783</f>
        <v>1363.8</v>
      </c>
      <c r="AE782" s="168">
        <f>AE783</f>
        <v>1363.8</v>
      </c>
      <c r="AF782" s="168">
        <f>AF783</f>
        <v>1186.5</v>
      </c>
      <c r="AG782" s="575">
        <f t="shared" si="275"/>
        <v>0.86999560052793667</v>
      </c>
    </row>
    <row r="783" spans="24:33" ht="31.5" x14ac:dyDescent="0.25">
      <c r="X783" s="278" t="s">
        <v>54</v>
      </c>
      <c r="Y783" s="11" t="s">
        <v>457</v>
      </c>
      <c r="Z783" s="1" t="s">
        <v>8</v>
      </c>
      <c r="AA783" s="529" t="s">
        <v>23</v>
      </c>
      <c r="AB783" s="163" t="s">
        <v>553</v>
      </c>
      <c r="AC783" s="309">
        <v>240</v>
      </c>
      <c r="AD783" s="168">
        <v>1363.8</v>
      </c>
      <c r="AE783" s="168">
        <v>1363.8</v>
      </c>
      <c r="AF783" s="168">
        <v>1186.5</v>
      </c>
      <c r="AG783" s="575">
        <f t="shared" si="275"/>
        <v>0.86999560052793667</v>
      </c>
    </row>
    <row r="784" spans="24:33" ht="31.5" x14ac:dyDescent="0.25">
      <c r="X784" s="278" t="s">
        <v>377</v>
      </c>
      <c r="Y784" s="11" t="s">
        <v>457</v>
      </c>
      <c r="Z784" s="1" t="s">
        <v>8</v>
      </c>
      <c r="AA784" s="529" t="s">
        <v>23</v>
      </c>
      <c r="AB784" s="163" t="s">
        <v>554</v>
      </c>
      <c r="AC784" s="309"/>
      <c r="AD784" s="168">
        <f t="shared" ref="AD784:AF785" si="295">AD785</f>
        <v>8518.5</v>
      </c>
      <c r="AE784" s="168">
        <f t="shared" si="295"/>
        <v>8518.5</v>
      </c>
      <c r="AF784" s="168">
        <f t="shared" si="295"/>
        <v>8425.1</v>
      </c>
      <c r="AG784" s="575">
        <f t="shared" si="275"/>
        <v>0.98903562833832248</v>
      </c>
    </row>
    <row r="785" spans="24:33" ht="47.25" x14ac:dyDescent="0.25">
      <c r="X785" s="278" t="s">
        <v>43</v>
      </c>
      <c r="Y785" s="11" t="s">
        <v>457</v>
      </c>
      <c r="Z785" s="1" t="s">
        <v>8</v>
      </c>
      <c r="AA785" s="529" t="s">
        <v>23</v>
      </c>
      <c r="AB785" s="163" t="s">
        <v>554</v>
      </c>
      <c r="AC785" s="309">
        <v>100</v>
      </c>
      <c r="AD785" s="168">
        <f t="shared" si="295"/>
        <v>8518.5</v>
      </c>
      <c r="AE785" s="168">
        <f t="shared" si="295"/>
        <v>8518.5</v>
      </c>
      <c r="AF785" s="168">
        <f t="shared" si="295"/>
        <v>8425.1</v>
      </c>
      <c r="AG785" s="575">
        <f t="shared" si="275"/>
        <v>0.98903562833832248</v>
      </c>
    </row>
    <row r="786" spans="24:33" x14ac:dyDescent="0.25">
      <c r="X786" s="278" t="s">
        <v>99</v>
      </c>
      <c r="Y786" s="11" t="s">
        <v>457</v>
      </c>
      <c r="Z786" s="1" t="s">
        <v>8</v>
      </c>
      <c r="AA786" s="529" t="s">
        <v>23</v>
      </c>
      <c r="AB786" s="163" t="s">
        <v>554</v>
      </c>
      <c r="AC786" s="309">
        <v>120</v>
      </c>
      <c r="AD786" s="168">
        <f>8644.5-126</f>
        <v>8518.5</v>
      </c>
      <c r="AE786" s="168">
        <f>8644.5-126</f>
        <v>8518.5</v>
      </c>
      <c r="AF786" s="168">
        <v>8425.1</v>
      </c>
      <c r="AG786" s="575">
        <f t="shared" si="275"/>
        <v>0.98903562833832248</v>
      </c>
    </row>
    <row r="787" spans="24:33" ht="31.5" x14ac:dyDescent="0.25">
      <c r="X787" s="278" t="s">
        <v>288</v>
      </c>
      <c r="Y787" s="11" t="s">
        <v>457</v>
      </c>
      <c r="Z787" s="1" t="s">
        <v>8</v>
      </c>
      <c r="AA787" s="529" t="s">
        <v>23</v>
      </c>
      <c r="AB787" s="163" t="s">
        <v>555</v>
      </c>
      <c r="AC787" s="309"/>
      <c r="AD787" s="168">
        <f t="shared" ref="AD787:AF788" si="296">AD788</f>
        <v>12490</v>
      </c>
      <c r="AE787" s="168">
        <f t="shared" si="296"/>
        <v>12490</v>
      </c>
      <c r="AF787" s="168">
        <f t="shared" si="296"/>
        <v>12431.7</v>
      </c>
      <c r="AG787" s="575">
        <f t="shared" si="275"/>
        <v>0.99533226581265022</v>
      </c>
    </row>
    <row r="788" spans="24:33" ht="47.25" x14ac:dyDescent="0.25">
      <c r="X788" s="278" t="s">
        <v>43</v>
      </c>
      <c r="Y788" s="11" t="s">
        <v>457</v>
      </c>
      <c r="Z788" s="1" t="s">
        <v>8</v>
      </c>
      <c r="AA788" s="529" t="s">
        <v>23</v>
      </c>
      <c r="AB788" s="163" t="s">
        <v>555</v>
      </c>
      <c r="AC788" s="309">
        <v>100</v>
      </c>
      <c r="AD788" s="168">
        <f t="shared" si="296"/>
        <v>12490</v>
      </c>
      <c r="AE788" s="168">
        <f t="shared" si="296"/>
        <v>12490</v>
      </c>
      <c r="AF788" s="168">
        <f t="shared" si="296"/>
        <v>12431.7</v>
      </c>
      <c r="AG788" s="575">
        <f t="shared" si="275"/>
        <v>0.99533226581265022</v>
      </c>
    </row>
    <row r="789" spans="24:33" x14ac:dyDescent="0.25">
      <c r="X789" s="278" t="s">
        <v>99</v>
      </c>
      <c r="Y789" s="11" t="s">
        <v>457</v>
      </c>
      <c r="Z789" s="1" t="s">
        <v>8</v>
      </c>
      <c r="AA789" s="529" t="s">
        <v>23</v>
      </c>
      <c r="AB789" s="163" t="s">
        <v>555</v>
      </c>
      <c r="AC789" s="309">
        <v>120</v>
      </c>
      <c r="AD789" s="168">
        <f>12665-175</f>
        <v>12490</v>
      </c>
      <c r="AE789" s="168">
        <f>12665-175</f>
        <v>12490</v>
      </c>
      <c r="AF789" s="168">
        <v>12431.7</v>
      </c>
      <c r="AG789" s="575">
        <f t="shared" si="275"/>
        <v>0.99533226581265022</v>
      </c>
    </row>
    <row r="790" spans="24:33" x14ac:dyDescent="0.25">
      <c r="X790" s="284" t="s">
        <v>309</v>
      </c>
      <c r="Y790" s="11" t="s">
        <v>457</v>
      </c>
      <c r="Z790" s="1" t="s">
        <v>8</v>
      </c>
      <c r="AA790" s="529" t="s">
        <v>23</v>
      </c>
      <c r="AB790" s="163" t="s">
        <v>112</v>
      </c>
      <c r="AC790" s="309"/>
      <c r="AD790" s="168">
        <f t="shared" ref="AD790:AF792" si="297">AD791</f>
        <v>2904.7</v>
      </c>
      <c r="AE790" s="168">
        <f t="shared" si="297"/>
        <v>2904.7</v>
      </c>
      <c r="AF790" s="168">
        <f t="shared" si="297"/>
        <v>2904.7</v>
      </c>
      <c r="AG790" s="575">
        <f t="shared" si="275"/>
        <v>1</v>
      </c>
    </row>
    <row r="791" spans="24:33" x14ac:dyDescent="0.25">
      <c r="X791" s="284" t="s">
        <v>313</v>
      </c>
      <c r="Y791" s="11" t="s">
        <v>457</v>
      </c>
      <c r="Z791" s="1" t="s">
        <v>8</v>
      </c>
      <c r="AA791" s="529" t="s">
        <v>23</v>
      </c>
      <c r="AB791" s="163" t="s">
        <v>113</v>
      </c>
      <c r="AC791" s="309"/>
      <c r="AD791" s="168">
        <f t="shared" si="297"/>
        <v>2904.7</v>
      </c>
      <c r="AE791" s="168">
        <f t="shared" si="297"/>
        <v>2904.7</v>
      </c>
      <c r="AF791" s="168">
        <f t="shared" si="297"/>
        <v>2904.7</v>
      </c>
      <c r="AG791" s="575">
        <f t="shared" si="275"/>
        <v>1</v>
      </c>
    </row>
    <row r="792" spans="24:33" x14ac:dyDescent="0.25">
      <c r="X792" s="283" t="s">
        <v>593</v>
      </c>
      <c r="Y792" s="11" t="s">
        <v>457</v>
      </c>
      <c r="Z792" s="1" t="s">
        <v>8</v>
      </c>
      <c r="AA792" s="529" t="s">
        <v>23</v>
      </c>
      <c r="AB792" s="163" t="s">
        <v>578</v>
      </c>
      <c r="AC792" s="309"/>
      <c r="AD792" s="168">
        <f>AD793</f>
        <v>2904.7</v>
      </c>
      <c r="AE792" s="168">
        <f>AE793</f>
        <v>2904.7</v>
      </c>
      <c r="AF792" s="168">
        <f t="shared" si="297"/>
        <v>2904.7</v>
      </c>
      <c r="AG792" s="575">
        <f t="shared" si="275"/>
        <v>1</v>
      </c>
    </row>
    <row r="793" spans="24:33" x14ac:dyDescent="0.25">
      <c r="X793" s="283" t="s">
        <v>314</v>
      </c>
      <c r="Y793" s="11" t="s">
        <v>457</v>
      </c>
      <c r="Z793" s="1" t="s">
        <v>8</v>
      </c>
      <c r="AA793" s="529" t="s">
        <v>23</v>
      </c>
      <c r="AB793" s="163" t="s">
        <v>580</v>
      </c>
      <c r="AC793" s="309"/>
      <c r="AD793" s="168">
        <f>AD797+AD794</f>
        <v>2904.7</v>
      </c>
      <c r="AE793" s="168">
        <f>AE797+AE794</f>
        <v>2904.7</v>
      </c>
      <c r="AF793" s="168">
        <f>AF797+AF794</f>
        <v>2904.7</v>
      </c>
      <c r="AG793" s="575">
        <f t="shared" si="275"/>
        <v>1</v>
      </c>
    </row>
    <row r="794" spans="24:33" ht="47.25" x14ac:dyDescent="0.25">
      <c r="X794" s="283" t="s">
        <v>335</v>
      </c>
      <c r="Y794" s="11" t="s">
        <v>457</v>
      </c>
      <c r="Z794" s="1" t="s">
        <v>8</v>
      </c>
      <c r="AA794" s="529" t="s">
        <v>23</v>
      </c>
      <c r="AB794" s="163" t="s">
        <v>581</v>
      </c>
      <c r="AC794" s="309"/>
      <c r="AD794" s="168">
        <f>AD795</f>
        <v>1393.7</v>
      </c>
      <c r="AE794" s="168">
        <f>AE795</f>
        <v>1393.7</v>
      </c>
      <c r="AF794" s="168">
        <f t="shared" ref="AF794" si="298">AF795</f>
        <v>1393.7</v>
      </c>
      <c r="AG794" s="575">
        <f t="shared" si="275"/>
        <v>1</v>
      </c>
    </row>
    <row r="795" spans="24:33" ht="31.5" x14ac:dyDescent="0.25">
      <c r="X795" s="278" t="s">
        <v>62</v>
      </c>
      <c r="Y795" s="11" t="s">
        <v>457</v>
      </c>
      <c r="Z795" s="1" t="s">
        <v>8</v>
      </c>
      <c r="AA795" s="529" t="s">
        <v>23</v>
      </c>
      <c r="AB795" s="163" t="s">
        <v>581</v>
      </c>
      <c r="AC795" s="309">
        <v>600</v>
      </c>
      <c r="AD795" s="168">
        <f>AD796</f>
        <v>1393.7</v>
      </c>
      <c r="AE795" s="168">
        <f>AE796</f>
        <v>1393.7</v>
      </c>
      <c r="AF795" s="168">
        <f t="shared" ref="AF795" si="299">AF796</f>
        <v>1393.7</v>
      </c>
      <c r="AG795" s="575">
        <f t="shared" si="275"/>
        <v>1</v>
      </c>
    </row>
    <row r="796" spans="24:33" x14ac:dyDescent="0.25">
      <c r="X796" s="278" t="s">
        <v>63</v>
      </c>
      <c r="Y796" s="11" t="s">
        <v>457</v>
      </c>
      <c r="Z796" s="1" t="s">
        <v>8</v>
      </c>
      <c r="AA796" s="529" t="s">
        <v>23</v>
      </c>
      <c r="AB796" s="163" t="s">
        <v>581</v>
      </c>
      <c r="AC796" s="309">
        <v>610</v>
      </c>
      <c r="AD796" s="168">
        <f>435+713+232+13.7</f>
        <v>1393.7</v>
      </c>
      <c r="AE796" s="168">
        <f>435+713+232+13.7</f>
        <v>1393.7</v>
      </c>
      <c r="AF796" s="168">
        <v>1393.7</v>
      </c>
      <c r="AG796" s="575">
        <f t="shared" si="275"/>
        <v>1</v>
      </c>
    </row>
    <row r="797" spans="24:33" ht="31.5" x14ac:dyDescent="0.25">
      <c r="X797" s="278" t="s">
        <v>336</v>
      </c>
      <c r="Y797" s="11" t="s">
        <v>457</v>
      </c>
      <c r="Z797" s="1" t="s">
        <v>8</v>
      </c>
      <c r="AA797" s="529" t="s">
        <v>23</v>
      </c>
      <c r="AB797" s="163" t="s">
        <v>582</v>
      </c>
      <c r="AC797" s="309"/>
      <c r="AD797" s="168">
        <f t="shared" ref="AD797:AF798" si="300">AD798</f>
        <v>1511</v>
      </c>
      <c r="AE797" s="168">
        <f t="shared" si="300"/>
        <v>1511</v>
      </c>
      <c r="AF797" s="168">
        <f t="shared" si="300"/>
        <v>1511</v>
      </c>
      <c r="AG797" s="575">
        <f t="shared" si="275"/>
        <v>1</v>
      </c>
    </row>
    <row r="798" spans="24:33" ht="31.5" x14ac:dyDescent="0.25">
      <c r="X798" s="278" t="s">
        <v>62</v>
      </c>
      <c r="Y798" s="11" t="s">
        <v>457</v>
      </c>
      <c r="Z798" s="1" t="s">
        <v>8</v>
      </c>
      <c r="AA798" s="529" t="s">
        <v>23</v>
      </c>
      <c r="AB798" s="163" t="s">
        <v>582</v>
      </c>
      <c r="AC798" s="309">
        <v>600</v>
      </c>
      <c r="AD798" s="168">
        <f t="shared" si="300"/>
        <v>1511</v>
      </c>
      <c r="AE798" s="168">
        <f t="shared" si="300"/>
        <v>1511</v>
      </c>
      <c r="AF798" s="168">
        <f t="shared" si="300"/>
        <v>1511</v>
      </c>
      <c r="AG798" s="575">
        <f t="shared" ref="AG798:AG859" si="301">AF798/AE798</f>
        <v>1</v>
      </c>
    </row>
    <row r="799" spans="24:33" x14ac:dyDescent="0.25">
      <c r="X799" s="278" t="s">
        <v>63</v>
      </c>
      <c r="Y799" s="11" t="s">
        <v>457</v>
      </c>
      <c r="Z799" s="1" t="s">
        <v>8</v>
      </c>
      <c r="AA799" s="529" t="s">
        <v>23</v>
      </c>
      <c r="AB799" s="163" t="s">
        <v>582</v>
      </c>
      <c r="AC799" s="309">
        <v>610</v>
      </c>
      <c r="AD799" s="168">
        <f>540+950+72-13.7-37.3</f>
        <v>1511</v>
      </c>
      <c r="AE799" s="168">
        <f>540+950+72-13.7-37.3</f>
        <v>1511</v>
      </c>
      <c r="AF799" s="168">
        <v>1511</v>
      </c>
      <c r="AG799" s="575">
        <f t="shared" si="301"/>
        <v>1</v>
      </c>
    </row>
    <row r="800" spans="24:33" x14ac:dyDescent="0.25">
      <c r="X800" s="437" t="s">
        <v>354</v>
      </c>
      <c r="Y800" s="11" t="s">
        <v>457</v>
      </c>
      <c r="Z800" s="1" t="s">
        <v>8</v>
      </c>
      <c r="AA800" s="529" t="s">
        <v>23</v>
      </c>
      <c r="AB800" s="163" t="s">
        <v>140</v>
      </c>
      <c r="AC800" s="322"/>
      <c r="AD800" s="168">
        <f t="shared" ref="AD800:AF802" si="302">AD801</f>
        <v>0</v>
      </c>
      <c r="AE800" s="168">
        <f t="shared" si="302"/>
        <v>963.8</v>
      </c>
      <c r="AF800" s="168">
        <f t="shared" si="302"/>
        <v>963.8</v>
      </c>
      <c r="AG800" s="575">
        <f t="shared" si="301"/>
        <v>1</v>
      </c>
    </row>
    <row r="801" spans="24:33" ht="36" customHeight="1" x14ac:dyDescent="0.25">
      <c r="X801" s="284" t="s">
        <v>798</v>
      </c>
      <c r="Y801" s="11" t="s">
        <v>457</v>
      </c>
      <c r="Z801" s="1" t="s">
        <v>8</v>
      </c>
      <c r="AA801" s="529" t="s">
        <v>23</v>
      </c>
      <c r="AB801" s="163" t="s">
        <v>799</v>
      </c>
      <c r="AC801" s="322"/>
      <c r="AD801" s="168">
        <f t="shared" ref="AD801:AE802" si="303">AD802</f>
        <v>0</v>
      </c>
      <c r="AE801" s="168">
        <f t="shared" si="303"/>
        <v>963.8</v>
      </c>
      <c r="AF801" s="168">
        <f t="shared" si="302"/>
        <v>963.8</v>
      </c>
      <c r="AG801" s="575">
        <f t="shared" si="301"/>
        <v>1</v>
      </c>
    </row>
    <row r="802" spans="24:33" ht="47.25" x14ac:dyDescent="0.25">
      <c r="X802" s="278" t="s">
        <v>43</v>
      </c>
      <c r="Y802" s="11" t="s">
        <v>457</v>
      </c>
      <c r="Z802" s="1" t="s">
        <v>8</v>
      </c>
      <c r="AA802" s="529" t="s">
        <v>23</v>
      </c>
      <c r="AB802" s="163" t="s">
        <v>799</v>
      </c>
      <c r="AC802" s="311">
        <v>100</v>
      </c>
      <c r="AD802" s="168">
        <f t="shared" si="303"/>
        <v>0</v>
      </c>
      <c r="AE802" s="168">
        <f t="shared" si="303"/>
        <v>963.8</v>
      </c>
      <c r="AF802" s="168">
        <f t="shared" si="302"/>
        <v>963.8</v>
      </c>
      <c r="AG802" s="575">
        <f t="shared" si="301"/>
        <v>1</v>
      </c>
    </row>
    <row r="803" spans="24:33" x14ac:dyDescent="0.25">
      <c r="X803" s="278" t="s">
        <v>99</v>
      </c>
      <c r="Y803" s="11" t="s">
        <v>457</v>
      </c>
      <c r="Z803" s="1" t="s">
        <v>8</v>
      </c>
      <c r="AA803" s="529" t="s">
        <v>23</v>
      </c>
      <c r="AB803" s="163" t="s">
        <v>799</v>
      </c>
      <c r="AC803" s="311">
        <v>120</v>
      </c>
      <c r="AD803" s="168">
        <v>0</v>
      </c>
      <c r="AE803" s="168">
        <v>963.8</v>
      </c>
      <c r="AF803" s="168">
        <v>963.8</v>
      </c>
      <c r="AG803" s="575">
        <f t="shared" si="301"/>
        <v>1</v>
      </c>
    </row>
    <row r="804" spans="24:33" x14ac:dyDescent="0.25">
      <c r="X804" s="279" t="s">
        <v>97</v>
      </c>
      <c r="Y804" s="199" t="s">
        <v>457</v>
      </c>
      <c r="Z804" s="12" t="s">
        <v>38</v>
      </c>
      <c r="AA804" s="561"/>
      <c r="AB804" s="305"/>
      <c r="AC804" s="310"/>
      <c r="AD804" s="170">
        <f>AD805+AD812</f>
        <v>18822.2</v>
      </c>
      <c r="AE804" s="170">
        <f>AE805+AE812</f>
        <v>17886.2</v>
      </c>
      <c r="AF804" s="170">
        <f>AF805+AF812</f>
        <v>15525.500000000002</v>
      </c>
      <c r="AG804" s="574">
        <f t="shared" si="301"/>
        <v>0.86801556507251409</v>
      </c>
    </row>
    <row r="805" spans="24:33" x14ac:dyDescent="0.25">
      <c r="X805" s="278" t="s">
        <v>58</v>
      </c>
      <c r="Y805" s="11" t="s">
        <v>457</v>
      </c>
      <c r="Z805" s="1">
        <v>10</v>
      </c>
      <c r="AA805" s="529" t="s">
        <v>31</v>
      </c>
      <c r="AB805" s="33"/>
      <c r="AC805" s="314"/>
      <c r="AD805" s="168">
        <f t="shared" ref="AD805:AF810" si="304">AD806</f>
        <v>848.2</v>
      </c>
      <c r="AE805" s="168">
        <f t="shared" si="304"/>
        <v>848.2</v>
      </c>
      <c r="AF805" s="168">
        <f t="shared" si="304"/>
        <v>848.2</v>
      </c>
      <c r="AG805" s="575">
        <f t="shared" si="301"/>
        <v>1</v>
      </c>
    </row>
    <row r="806" spans="24:33" x14ac:dyDescent="0.25">
      <c r="X806" s="284" t="s">
        <v>309</v>
      </c>
      <c r="Y806" s="11" t="s">
        <v>457</v>
      </c>
      <c r="Z806" s="1">
        <v>10</v>
      </c>
      <c r="AA806" s="529" t="s">
        <v>31</v>
      </c>
      <c r="AB806" s="163" t="s">
        <v>112</v>
      </c>
      <c r="AC806" s="314"/>
      <c r="AD806" s="168">
        <f t="shared" si="304"/>
        <v>848.2</v>
      </c>
      <c r="AE806" s="168">
        <f t="shared" si="304"/>
        <v>848.2</v>
      </c>
      <c r="AF806" s="168">
        <f t="shared" si="304"/>
        <v>848.2</v>
      </c>
      <c r="AG806" s="575">
        <f t="shared" si="301"/>
        <v>1</v>
      </c>
    </row>
    <row r="807" spans="24:33" x14ac:dyDescent="0.25">
      <c r="X807" s="284" t="s">
        <v>310</v>
      </c>
      <c r="Y807" s="11" t="s">
        <v>457</v>
      </c>
      <c r="Z807" s="1">
        <v>10</v>
      </c>
      <c r="AA807" s="529" t="s">
        <v>31</v>
      </c>
      <c r="AB807" s="163" t="s">
        <v>121</v>
      </c>
      <c r="AC807" s="314"/>
      <c r="AD807" s="168">
        <f t="shared" si="304"/>
        <v>848.2</v>
      </c>
      <c r="AE807" s="168">
        <f t="shared" si="304"/>
        <v>848.2</v>
      </c>
      <c r="AF807" s="168">
        <f t="shared" si="304"/>
        <v>848.2</v>
      </c>
      <c r="AG807" s="575">
        <f t="shared" si="301"/>
        <v>1</v>
      </c>
    </row>
    <row r="808" spans="24:33" ht="31.5" x14ac:dyDescent="0.25">
      <c r="X808" s="284" t="s">
        <v>311</v>
      </c>
      <c r="Y808" s="11" t="s">
        <v>457</v>
      </c>
      <c r="Z808" s="1">
        <v>10</v>
      </c>
      <c r="AA808" s="529" t="s">
        <v>31</v>
      </c>
      <c r="AB808" s="163" t="s">
        <v>526</v>
      </c>
      <c r="AC808" s="314"/>
      <c r="AD808" s="168">
        <f t="shared" si="304"/>
        <v>848.2</v>
      </c>
      <c r="AE808" s="168">
        <f t="shared" si="304"/>
        <v>848.2</v>
      </c>
      <c r="AF808" s="168">
        <f t="shared" si="304"/>
        <v>848.2</v>
      </c>
      <c r="AG808" s="575">
        <f t="shared" si="301"/>
        <v>1</v>
      </c>
    </row>
    <row r="809" spans="24:33" ht="31.5" x14ac:dyDescent="0.25">
      <c r="X809" s="282" t="s">
        <v>312</v>
      </c>
      <c r="Y809" s="11" t="s">
        <v>457</v>
      </c>
      <c r="Z809" s="1">
        <v>10</v>
      </c>
      <c r="AA809" s="529" t="s">
        <v>31</v>
      </c>
      <c r="AB809" s="163" t="s">
        <v>525</v>
      </c>
      <c r="AC809" s="314"/>
      <c r="AD809" s="168">
        <f t="shared" si="304"/>
        <v>848.2</v>
      </c>
      <c r="AE809" s="168">
        <f t="shared" si="304"/>
        <v>848.2</v>
      </c>
      <c r="AF809" s="168">
        <f t="shared" si="304"/>
        <v>848.2</v>
      </c>
      <c r="AG809" s="575">
        <f t="shared" si="301"/>
        <v>1</v>
      </c>
    </row>
    <row r="810" spans="24:33" x14ac:dyDescent="0.25">
      <c r="X810" s="278" t="s">
        <v>100</v>
      </c>
      <c r="Y810" s="11" t="s">
        <v>457</v>
      </c>
      <c r="Z810" s="1">
        <v>10</v>
      </c>
      <c r="AA810" s="529" t="s">
        <v>31</v>
      </c>
      <c r="AB810" s="163" t="s">
        <v>525</v>
      </c>
      <c r="AC810" s="309">
        <v>300</v>
      </c>
      <c r="AD810" s="168">
        <f t="shared" si="304"/>
        <v>848.2</v>
      </c>
      <c r="AE810" s="168">
        <f t="shared" si="304"/>
        <v>848.2</v>
      </c>
      <c r="AF810" s="168">
        <f t="shared" si="304"/>
        <v>848.2</v>
      </c>
      <c r="AG810" s="575">
        <f t="shared" si="301"/>
        <v>1</v>
      </c>
    </row>
    <row r="811" spans="24:33" x14ac:dyDescent="0.25">
      <c r="X811" s="278" t="s">
        <v>42</v>
      </c>
      <c r="Y811" s="11" t="s">
        <v>457</v>
      </c>
      <c r="Z811" s="1">
        <v>10</v>
      </c>
      <c r="AA811" s="529" t="s">
        <v>31</v>
      </c>
      <c r="AB811" s="163" t="s">
        <v>525</v>
      </c>
      <c r="AC811" s="309">
        <v>320</v>
      </c>
      <c r="AD811" s="168">
        <v>848.2</v>
      </c>
      <c r="AE811" s="168">
        <v>848.2</v>
      </c>
      <c r="AF811" s="168">
        <v>848.2</v>
      </c>
      <c r="AG811" s="575">
        <f t="shared" si="301"/>
        <v>1</v>
      </c>
    </row>
    <row r="812" spans="24:33" x14ac:dyDescent="0.25">
      <c r="X812" s="278" t="s">
        <v>33</v>
      </c>
      <c r="Y812" s="11" t="s">
        <v>457</v>
      </c>
      <c r="Z812" s="1">
        <v>10</v>
      </c>
      <c r="AA812" s="529" t="s">
        <v>51</v>
      </c>
      <c r="AB812" s="163"/>
      <c r="AC812" s="309"/>
      <c r="AD812" s="168">
        <f>AD813</f>
        <v>17974</v>
      </c>
      <c r="AE812" s="168">
        <f>AE813</f>
        <v>17038</v>
      </c>
      <c r="AF812" s="168">
        <f>AF813</f>
        <v>14677.300000000001</v>
      </c>
      <c r="AG812" s="575">
        <f t="shared" si="301"/>
        <v>0.86144500528231016</v>
      </c>
    </row>
    <row r="813" spans="24:33" x14ac:dyDescent="0.25">
      <c r="X813" s="280" t="s">
        <v>278</v>
      </c>
      <c r="Y813" s="11" t="s">
        <v>457</v>
      </c>
      <c r="Z813" s="1">
        <v>10</v>
      </c>
      <c r="AA813" s="529" t="s">
        <v>51</v>
      </c>
      <c r="AB813" s="33" t="s">
        <v>103</v>
      </c>
      <c r="AC813" s="309"/>
      <c r="AD813" s="168">
        <f t="shared" ref="AD813:AF815" si="305">AD814</f>
        <v>17974</v>
      </c>
      <c r="AE813" s="168">
        <f t="shared" si="305"/>
        <v>17038</v>
      </c>
      <c r="AF813" s="168">
        <f t="shared" si="305"/>
        <v>14677.300000000001</v>
      </c>
      <c r="AG813" s="575">
        <f t="shared" si="301"/>
        <v>0.86144500528231016</v>
      </c>
    </row>
    <row r="814" spans="24:33" x14ac:dyDescent="0.25">
      <c r="X814" s="280" t="s">
        <v>595</v>
      </c>
      <c r="Y814" s="11" t="s">
        <v>457</v>
      </c>
      <c r="Z814" s="1">
        <v>10</v>
      </c>
      <c r="AA814" s="529" t="s">
        <v>51</v>
      </c>
      <c r="AB814" s="33" t="s">
        <v>120</v>
      </c>
      <c r="AC814" s="309"/>
      <c r="AD814" s="168">
        <f>AD815</f>
        <v>17974</v>
      </c>
      <c r="AE814" s="168">
        <f>AE815</f>
        <v>17038</v>
      </c>
      <c r="AF814" s="168">
        <f>AF815</f>
        <v>14677.300000000001</v>
      </c>
      <c r="AG814" s="575">
        <f t="shared" si="301"/>
        <v>0.86144500528231016</v>
      </c>
    </row>
    <row r="815" spans="24:33" ht="31.5" x14ac:dyDescent="0.25">
      <c r="X815" s="280" t="s">
        <v>283</v>
      </c>
      <c r="Y815" s="11" t="s">
        <v>457</v>
      </c>
      <c r="Z815" s="1">
        <v>10</v>
      </c>
      <c r="AA815" s="529" t="s">
        <v>51</v>
      </c>
      <c r="AB815" s="163" t="s">
        <v>505</v>
      </c>
      <c r="AC815" s="309"/>
      <c r="AD815" s="168">
        <f t="shared" si="305"/>
        <v>17974</v>
      </c>
      <c r="AE815" s="168">
        <f t="shared" si="305"/>
        <v>17038</v>
      </c>
      <c r="AF815" s="168">
        <f t="shared" si="305"/>
        <v>14677.300000000001</v>
      </c>
      <c r="AG815" s="575">
        <f t="shared" si="301"/>
        <v>0.86144500528231016</v>
      </c>
    </row>
    <row r="816" spans="24:33" ht="47.25" x14ac:dyDescent="0.25">
      <c r="X816" s="281" t="s">
        <v>279</v>
      </c>
      <c r="Y816" s="11" t="s">
        <v>457</v>
      </c>
      <c r="Z816" s="1">
        <v>10</v>
      </c>
      <c r="AA816" s="529" t="s">
        <v>51</v>
      </c>
      <c r="AB816" s="163" t="s">
        <v>529</v>
      </c>
      <c r="AC816" s="309"/>
      <c r="AD816" s="168">
        <f>AD819+AD817+AD821</f>
        <v>17974</v>
      </c>
      <c r="AE816" s="168">
        <f>AE819+AE817+AE821</f>
        <v>17038</v>
      </c>
      <c r="AF816" s="168">
        <f t="shared" ref="AF816" si="306">AF819+AF817+AF821</f>
        <v>14677.300000000001</v>
      </c>
      <c r="AG816" s="575">
        <f t="shared" si="301"/>
        <v>0.86144500528231016</v>
      </c>
    </row>
    <row r="817" spans="24:33" x14ac:dyDescent="0.25">
      <c r="X817" s="278" t="s">
        <v>123</v>
      </c>
      <c r="Y817" s="11" t="s">
        <v>457</v>
      </c>
      <c r="Z817" s="1">
        <v>10</v>
      </c>
      <c r="AA817" s="529" t="s">
        <v>51</v>
      </c>
      <c r="AB817" s="163" t="s">
        <v>529</v>
      </c>
      <c r="AC817" s="309">
        <v>200</v>
      </c>
      <c r="AD817" s="168">
        <f>AD818</f>
        <v>170</v>
      </c>
      <c r="AE817" s="168">
        <f>AE818</f>
        <v>161</v>
      </c>
      <c r="AF817" s="168">
        <f>AF818</f>
        <v>65.099999999999994</v>
      </c>
      <c r="AG817" s="575">
        <f t="shared" si="301"/>
        <v>0.40434782608695646</v>
      </c>
    </row>
    <row r="818" spans="24:33" ht="31.5" x14ac:dyDescent="0.25">
      <c r="X818" s="278" t="s">
        <v>54</v>
      </c>
      <c r="Y818" s="11" t="s">
        <v>457</v>
      </c>
      <c r="Z818" s="1">
        <v>10</v>
      </c>
      <c r="AA818" s="529" t="s">
        <v>51</v>
      </c>
      <c r="AB818" s="163" t="s">
        <v>529</v>
      </c>
      <c r="AC818" s="309">
        <v>240</v>
      </c>
      <c r="AD818" s="168">
        <v>170</v>
      </c>
      <c r="AE818" s="168">
        <v>161</v>
      </c>
      <c r="AF818" s="168">
        <v>65.099999999999994</v>
      </c>
      <c r="AG818" s="575">
        <f t="shared" si="301"/>
        <v>0.40434782608695646</v>
      </c>
    </row>
    <row r="819" spans="24:33" x14ac:dyDescent="0.25">
      <c r="X819" s="278" t="s">
        <v>100</v>
      </c>
      <c r="Y819" s="11" t="s">
        <v>457</v>
      </c>
      <c r="Z819" s="1">
        <v>10</v>
      </c>
      <c r="AA819" s="529" t="s">
        <v>51</v>
      </c>
      <c r="AB819" s="163" t="s">
        <v>529</v>
      </c>
      <c r="AC819" s="309">
        <v>300</v>
      </c>
      <c r="AD819" s="168">
        <f>AD820</f>
        <v>16978</v>
      </c>
      <c r="AE819" s="168">
        <f>AE820</f>
        <v>16077</v>
      </c>
      <c r="AF819" s="168">
        <f>AF820</f>
        <v>13812.2</v>
      </c>
      <c r="AG819" s="575">
        <f t="shared" si="301"/>
        <v>0.85912794675623572</v>
      </c>
    </row>
    <row r="820" spans="24:33" x14ac:dyDescent="0.25">
      <c r="X820" s="278" t="s">
        <v>133</v>
      </c>
      <c r="Y820" s="11" t="s">
        <v>457</v>
      </c>
      <c r="Z820" s="1">
        <v>10</v>
      </c>
      <c r="AA820" s="529" t="s">
        <v>51</v>
      </c>
      <c r="AB820" s="163" t="s">
        <v>529</v>
      </c>
      <c r="AC820" s="309">
        <v>310</v>
      </c>
      <c r="AD820" s="168">
        <v>16978</v>
      </c>
      <c r="AE820" s="168">
        <v>16077</v>
      </c>
      <c r="AF820" s="168">
        <v>13812.2</v>
      </c>
      <c r="AG820" s="575">
        <f t="shared" si="301"/>
        <v>0.85912794675623572</v>
      </c>
    </row>
    <row r="821" spans="24:33" ht="31.5" x14ac:dyDescent="0.25">
      <c r="X821" s="278" t="s">
        <v>62</v>
      </c>
      <c r="Y821" s="11" t="s">
        <v>457</v>
      </c>
      <c r="Z821" s="1">
        <v>10</v>
      </c>
      <c r="AA821" s="529" t="s">
        <v>51</v>
      </c>
      <c r="AB821" s="163" t="s">
        <v>529</v>
      </c>
      <c r="AC821" s="309">
        <v>600</v>
      </c>
      <c r="AD821" s="168">
        <f>AD822</f>
        <v>826</v>
      </c>
      <c r="AE821" s="168">
        <f>AE822</f>
        <v>800</v>
      </c>
      <c r="AF821" s="168">
        <f t="shared" ref="AF821" si="307">AF822</f>
        <v>800</v>
      </c>
      <c r="AG821" s="575">
        <f t="shared" si="301"/>
        <v>1</v>
      </c>
    </row>
    <row r="822" spans="24:33" x14ac:dyDescent="0.25">
      <c r="X822" s="278" t="s">
        <v>63</v>
      </c>
      <c r="Y822" s="11" t="s">
        <v>457</v>
      </c>
      <c r="Z822" s="1">
        <v>10</v>
      </c>
      <c r="AA822" s="529" t="s">
        <v>51</v>
      </c>
      <c r="AB822" s="163" t="s">
        <v>529</v>
      </c>
      <c r="AC822" s="309">
        <v>610</v>
      </c>
      <c r="AD822" s="168">
        <v>826</v>
      </c>
      <c r="AE822" s="168">
        <v>800</v>
      </c>
      <c r="AF822" s="168">
        <v>800</v>
      </c>
      <c r="AG822" s="575">
        <f t="shared" si="301"/>
        <v>1</v>
      </c>
    </row>
    <row r="823" spans="24:33" ht="32.25" x14ac:dyDescent="0.3">
      <c r="X823" s="279" t="s">
        <v>458</v>
      </c>
      <c r="Y823" s="199">
        <v>902</v>
      </c>
      <c r="Z823" s="277"/>
      <c r="AA823" s="563"/>
      <c r="AB823" s="568"/>
      <c r="AC823" s="331"/>
      <c r="AD823" s="170">
        <f>AD830+AD863+AD972+AD995+AD963+AD824</f>
        <v>1985237.9999999998</v>
      </c>
      <c r="AE823" s="170">
        <f>AE830+AE863+AE972+AE995+AE963+AE824</f>
        <v>1978446.8</v>
      </c>
      <c r="AF823" s="170">
        <f>AF830+AF863+AF972+AF995+AF963+AF824</f>
        <v>1970829.0999999999</v>
      </c>
      <c r="AG823" s="574">
        <f t="shared" si="301"/>
        <v>0.99614965638702024</v>
      </c>
    </row>
    <row r="824" spans="24:33" ht="18.75" x14ac:dyDescent="0.3">
      <c r="X824" s="279" t="s">
        <v>27</v>
      </c>
      <c r="Y824" s="11" t="s">
        <v>459</v>
      </c>
      <c r="Z824" s="23" t="s">
        <v>31</v>
      </c>
      <c r="AA824" s="557"/>
      <c r="AB824" s="33"/>
      <c r="AC824" s="331"/>
      <c r="AD824" s="170">
        <f t="shared" ref="AD824:AE828" si="308">AD825</f>
        <v>809.5</v>
      </c>
      <c r="AE824" s="170">
        <f t="shared" si="308"/>
        <v>809.5</v>
      </c>
      <c r="AF824" s="170">
        <f t="shared" ref="AF824" si="309">AF825</f>
        <v>809.5</v>
      </c>
      <c r="AG824" s="575">
        <f t="shared" si="301"/>
        <v>1</v>
      </c>
    </row>
    <row r="825" spans="24:33" ht="18.75" x14ac:dyDescent="0.3">
      <c r="X825" s="278" t="s">
        <v>15</v>
      </c>
      <c r="Y825" s="11" t="s">
        <v>459</v>
      </c>
      <c r="Z825" s="18" t="s">
        <v>31</v>
      </c>
      <c r="AA825" s="559">
        <v>13</v>
      </c>
      <c r="AB825" s="163"/>
      <c r="AC825" s="331"/>
      <c r="AD825" s="168">
        <f t="shared" si="308"/>
        <v>809.5</v>
      </c>
      <c r="AE825" s="168">
        <f t="shared" si="308"/>
        <v>809.5</v>
      </c>
      <c r="AF825" s="168">
        <f t="shared" ref="AF825" si="310">AF826</f>
        <v>809.5</v>
      </c>
      <c r="AG825" s="575">
        <f t="shared" si="301"/>
        <v>1</v>
      </c>
    </row>
    <row r="826" spans="24:33" x14ac:dyDescent="0.25">
      <c r="X826" s="280" t="s">
        <v>234</v>
      </c>
      <c r="Y826" s="11" t="s">
        <v>459</v>
      </c>
      <c r="Z826" s="209" t="s">
        <v>31</v>
      </c>
      <c r="AA826" s="529">
        <v>13</v>
      </c>
      <c r="AB826" s="163" t="s">
        <v>140</v>
      </c>
      <c r="AC826" s="317"/>
      <c r="AD826" s="168">
        <f t="shared" si="308"/>
        <v>809.5</v>
      </c>
      <c r="AE826" s="168">
        <f t="shared" si="308"/>
        <v>809.5</v>
      </c>
      <c r="AF826" s="168">
        <f t="shared" ref="AF826" si="311">AF827</f>
        <v>809.5</v>
      </c>
      <c r="AG826" s="575">
        <f t="shared" si="301"/>
        <v>1</v>
      </c>
    </row>
    <row r="827" spans="24:33" x14ac:dyDescent="0.25">
      <c r="X827" s="302" t="s">
        <v>235</v>
      </c>
      <c r="Y827" s="11" t="s">
        <v>459</v>
      </c>
      <c r="Z827" s="210" t="s">
        <v>31</v>
      </c>
      <c r="AA827" s="531">
        <v>13</v>
      </c>
      <c r="AB827" s="163" t="s">
        <v>236</v>
      </c>
      <c r="AC827" s="321"/>
      <c r="AD827" s="168">
        <f t="shared" si="308"/>
        <v>809.5</v>
      </c>
      <c r="AE827" s="168">
        <f t="shared" si="308"/>
        <v>809.5</v>
      </c>
      <c r="AF827" s="168">
        <f t="shared" ref="AF827" si="312">AF828</f>
        <v>809.5</v>
      </c>
      <c r="AG827" s="575">
        <f t="shared" si="301"/>
        <v>1</v>
      </c>
    </row>
    <row r="828" spans="24:33" x14ac:dyDescent="0.25">
      <c r="X828" s="401" t="s">
        <v>44</v>
      </c>
      <c r="Y828" s="11" t="s">
        <v>459</v>
      </c>
      <c r="Z828" s="210" t="s">
        <v>31</v>
      </c>
      <c r="AA828" s="531">
        <v>13</v>
      </c>
      <c r="AB828" s="163" t="s">
        <v>236</v>
      </c>
      <c r="AC828" s="321">
        <v>800</v>
      </c>
      <c r="AD828" s="168">
        <f t="shared" si="308"/>
        <v>809.5</v>
      </c>
      <c r="AE828" s="168">
        <f t="shared" si="308"/>
        <v>809.5</v>
      </c>
      <c r="AF828" s="168">
        <f t="shared" ref="AF828" si="313">AF829</f>
        <v>809.5</v>
      </c>
      <c r="AG828" s="575">
        <f t="shared" si="301"/>
        <v>1</v>
      </c>
    </row>
    <row r="829" spans="24:33" x14ac:dyDescent="0.25">
      <c r="X829" s="401" t="s">
        <v>135</v>
      </c>
      <c r="Y829" s="11" t="s">
        <v>459</v>
      </c>
      <c r="Z829" s="210" t="s">
        <v>31</v>
      </c>
      <c r="AA829" s="531">
        <v>13</v>
      </c>
      <c r="AB829" s="163" t="s">
        <v>236</v>
      </c>
      <c r="AC829" s="321">
        <v>830</v>
      </c>
      <c r="AD829" s="168">
        <f>257.2+552.3</f>
        <v>809.5</v>
      </c>
      <c r="AE829" s="168">
        <f>257.2+552.3</f>
        <v>809.5</v>
      </c>
      <c r="AF829" s="168">
        <v>809.5</v>
      </c>
      <c r="AG829" s="575">
        <f t="shared" si="301"/>
        <v>1</v>
      </c>
    </row>
    <row r="830" spans="24:33" ht="18.75" x14ac:dyDescent="0.3">
      <c r="X830" s="279" t="s">
        <v>47</v>
      </c>
      <c r="Y830" s="199" t="s">
        <v>459</v>
      </c>
      <c r="Z830" s="12" t="s">
        <v>51</v>
      </c>
      <c r="AA830" s="564"/>
      <c r="AB830" s="348"/>
      <c r="AC830" s="316"/>
      <c r="AD830" s="170">
        <f>AD831+AD840</f>
        <v>100943</v>
      </c>
      <c r="AE830" s="170">
        <f>AE831+AE840</f>
        <v>100868.4</v>
      </c>
      <c r="AF830" s="170">
        <f>AF831+AF840</f>
        <v>100759.6</v>
      </c>
      <c r="AG830" s="574">
        <f t="shared" si="301"/>
        <v>0.99892136685027233</v>
      </c>
    </row>
    <row r="831" spans="24:33" ht="18.75" x14ac:dyDescent="0.3">
      <c r="X831" s="278" t="s">
        <v>16</v>
      </c>
      <c r="Y831" s="11" t="s">
        <v>459</v>
      </c>
      <c r="Z831" s="18" t="s">
        <v>51</v>
      </c>
      <c r="AA831" s="529" t="s">
        <v>5</v>
      </c>
      <c r="AB831" s="348"/>
      <c r="AC831" s="316"/>
      <c r="AD831" s="168">
        <f t="shared" ref="AD831:AF838" si="314">AD832</f>
        <v>1350</v>
      </c>
      <c r="AE831" s="168">
        <f t="shared" si="314"/>
        <v>1350</v>
      </c>
      <c r="AF831" s="168">
        <f t="shared" si="314"/>
        <v>1302.0999999999999</v>
      </c>
      <c r="AG831" s="575">
        <f t="shared" si="301"/>
        <v>0.96451851851851844</v>
      </c>
    </row>
    <row r="832" spans="24:33" ht="18.75" x14ac:dyDescent="0.3">
      <c r="X832" s="280" t="s">
        <v>251</v>
      </c>
      <c r="Y832" s="11" t="s">
        <v>459</v>
      </c>
      <c r="Z832" s="18" t="s">
        <v>51</v>
      </c>
      <c r="AA832" s="529" t="s">
        <v>5</v>
      </c>
      <c r="AB832" s="163" t="s">
        <v>141</v>
      </c>
      <c r="AC832" s="316"/>
      <c r="AD832" s="168">
        <f t="shared" si="314"/>
        <v>1350</v>
      </c>
      <c r="AE832" s="168">
        <f t="shared" si="314"/>
        <v>1350</v>
      </c>
      <c r="AF832" s="168">
        <f t="shared" si="314"/>
        <v>1302.0999999999999</v>
      </c>
      <c r="AG832" s="575">
        <f t="shared" si="301"/>
        <v>0.96451851851851844</v>
      </c>
    </row>
    <row r="833" spans="24:33" ht="31.5" x14ac:dyDescent="0.3">
      <c r="X833" s="295" t="s">
        <v>604</v>
      </c>
      <c r="Y833" s="11" t="s">
        <v>459</v>
      </c>
      <c r="Z833" s="18" t="s">
        <v>51</v>
      </c>
      <c r="AA833" s="529" t="s">
        <v>5</v>
      </c>
      <c r="AB833" s="163" t="s">
        <v>252</v>
      </c>
      <c r="AC833" s="316"/>
      <c r="AD833" s="168">
        <f t="shared" si="314"/>
        <v>1350</v>
      </c>
      <c r="AE833" s="168">
        <f t="shared" si="314"/>
        <v>1350</v>
      </c>
      <c r="AF833" s="168">
        <f t="shared" si="314"/>
        <v>1302.0999999999999</v>
      </c>
      <c r="AG833" s="575">
        <f t="shared" si="301"/>
        <v>0.96451851851851844</v>
      </c>
    </row>
    <row r="834" spans="24:33" ht="18.75" x14ac:dyDescent="0.3">
      <c r="X834" s="280" t="s">
        <v>605</v>
      </c>
      <c r="Y834" s="11" t="s">
        <v>459</v>
      </c>
      <c r="Z834" s="18" t="s">
        <v>51</v>
      </c>
      <c r="AA834" s="529" t="s">
        <v>5</v>
      </c>
      <c r="AB834" s="163" t="s">
        <v>253</v>
      </c>
      <c r="AC834" s="316"/>
      <c r="AD834" s="168">
        <f t="shared" si="314"/>
        <v>1350</v>
      </c>
      <c r="AE834" s="168">
        <f t="shared" si="314"/>
        <v>1350</v>
      </c>
      <c r="AF834" s="168">
        <f t="shared" si="314"/>
        <v>1302.0999999999999</v>
      </c>
      <c r="AG834" s="575">
        <f t="shared" si="301"/>
        <v>0.96451851851851844</v>
      </c>
    </row>
    <row r="835" spans="24:33" ht="31.5" x14ac:dyDescent="0.25">
      <c r="X835" s="280" t="s">
        <v>465</v>
      </c>
      <c r="Y835" s="11" t="s">
        <v>459</v>
      </c>
      <c r="Z835" s="18" t="s">
        <v>51</v>
      </c>
      <c r="AA835" s="529" t="s">
        <v>5</v>
      </c>
      <c r="AB835" s="163" t="s">
        <v>254</v>
      </c>
      <c r="AC835" s="309"/>
      <c r="AD835" s="168">
        <f>AD838+AD836</f>
        <v>1350</v>
      </c>
      <c r="AE835" s="168">
        <f>AE838+AE836</f>
        <v>1350</v>
      </c>
      <c r="AF835" s="168">
        <f t="shared" ref="AF835" si="315">AF838+AF836</f>
        <v>1302.0999999999999</v>
      </c>
      <c r="AG835" s="575">
        <f t="shared" si="301"/>
        <v>0.96451851851851844</v>
      </c>
    </row>
    <row r="836" spans="24:33" ht="47.25" x14ac:dyDescent="0.25">
      <c r="X836" s="278" t="s">
        <v>43</v>
      </c>
      <c r="Y836" s="11" t="s">
        <v>459</v>
      </c>
      <c r="Z836" s="18" t="s">
        <v>51</v>
      </c>
      <c r="AA836" s="529" t="s">
        <v>5</v>
      </c>
      <c r="AB836" s="163" t="s">
        <v>254</v>
      </c>
      <c r="AC836" s="309">
        <v>100</v>
      </c>
      <c r="AD836" s="168">
        <f>AD837</f>
        <v>46</v>
      </c>
      <c r="AE836" s="168">
        <f>AE837</f>
        <v>46</v>
      </c>
      <c r="AF836" s="168">
        <f t="shared" ref="AF836" si="316">AF837</f>
        <v>44.5</v>
      </c>
      <c r="AG836" s="575">
        <f t="shared" si="301"/>
        <v>0.96739130434782605</v>
      </c>
    </row>
    <row r="837" spans="24:33" x14ac:dyDescent="0.25">
      <c r="X837" s="278" t="s">
        <v>99</v>
      </c>
      <c r="Y837" s="11" t="s">
        <v>459</v>
      </c>
      <c r="Z837" s="18" t="s">
        <v>51</v>
      </c>
      <c r="AA837" s="529" t="s">
        <v>5</v>
      </c>
      <c r="AB837" s="163" t="s">
        <v>254</v>
      </c>
      <c r="AC837" s="309">
        <v>120</v>
      </c>
      <c r="AD837" s="168">
        <f>178-132</f>
        <v>46</v>
      </c>
      <c r="AE837" s="168">
        <f>178-132</f>
        <v>46</v>
      </c>
      <c r="AF837" s="168">
        <v>44.5</v>
      </c>
      <c r="AG837" s="575">
        <f t="shared" si="301"/>
        <v>0.96739130434782605</v>
      </c>
    </row>
    <row r="838" spans="24:33" x14ac:dyDescent="0.25">
      <c r="X838" s="278" t="s">
        <v>123</v>
      </c>
      <c r="Y838" s="11" t="s">
        <v>459</v>
      </c>
      <c r="Z838" s="18" t="s">
        <v>51</v>
      </c>
      <c r="AA838" s="529" t="s">
        <v>5</v>
      </c>
      <c r="AB838" s="163" t="s">
        <v>254</v>
      </c>
      <c r="AC838" s="311">
        <v>200</v>
      </c>
      <c r="AD838" s="168">
        <f t="shared" si="314"/>
        <v>1304</v>
      </c>
      <c r="AE838" s="168">
        <f t="shared" si="314"/>
        <v>1304</v>
      </c>
      <c r="AF838" s="168">
        <f t="shared" si="314"/>
        <v>1257.5999999999999</v>
      </c>
      <c r="AG838" s="575">
        <f t="shared" si="301"/>
        <v>0.96441717791411041</v>
      </c>
    </row>
    <row r="839" spans="24:33" ht="31.5" x14ac:dyDescent="0.25">
      <c r="X839" s="278" t="s">
        <v>54</v>
      </c>
      <c r="Y839" s="11" t="s">
        <v>459</v>
      </c>
      <c r="Z839" s="18" t="s">
        <v>51</v>
      </c>
      <c r="AA839" s="529" t="s">
        <v>5</v>
      </c>
      <c r="AB839" s="163" t="s">
        <v>254</v>
      </c>
      <c r="AC839" s="309">
        <v>240</v>
      </c>
      <c r="AD839" s="168">
        <f>1482-178</f>
        <v>1304</v>
      </c>
      <c r="AE839" s="168">
        <f>1482-178</f>
        <v>1304</v>
      </c>
      <c r="AF839" s="168">
        <v>1257.5999999999999</v>
      </c>
      <c r="AG839" s="575">
        <f t="shared" si="301"/>
        <v>0.96441717791411041</v>
      </c>
    </row>
    <row r="840" spans="24:33" ht="18.75" x14ac:dyDescent="0.3">
      <c r="X840" s="278" t="s">
        <v>96</v>
      </c>
      <c r="Y840" s="11" t="s">
        <v>459</v>
      </c>
      <c r="Z840" s="1" t="s">
        <v>51</v>
      </c>
      <c r="AA840" s="529" t="s">
        <v>23</v>
      </c>
      <c r="AB840" s="568"/>
      <c r="AC840" s="331"/>
      <c r="AD840" s="168">
        <f>AD841+AD853</f>
        <v>99593</v>
      </c>
      <c r="AE840" s="168">
        <f>AE841+AE853</f>
        <v>99518.399999999994</v>
      </c>
      <c r="AF840" s="168">
        <f>AF841+AF853</f>
        <v>99457.5</v>
      </c>
      <c r="AG840" s="575">
        <f t="shared" si="301"/>
        <v>0.99938805286258625</v>
      </c>
    </row>
    <row r="841" spans="24:33" ht="31.5" x14ac:dyDescent="0.25">
      <c r="X841" s="284" t="s">
        <v>237</v>
      </c>
      <c r="Y841" s="11" t="s">
        <v>459</v>
      </c>
      <c r="Z841" s="1" t="s">
        <v>51</v>
      </c>
      <c r="AA841" s="529" t="s">
        <v>23</v>
      </c>
      <c r="AB841" s="163" t="s">
        <v>238</v>
      </c>
      <c r="AC841" s="309"/>
      <c r="AD841" s="168">
        <f t="shared" ref="AD841:AF842" si="317">AD842</f>
        <v>35148.800000000003</v>
      </c>
      <c r="AE841" s="168">
        <f t="shared" si="317"/>
        <v>35163.800000000003</v>
      </c>
      <c r="AF841" s="168">
        <f t="shared" si="317"/>
        <v>35102.9</v>
      </c>
      <c r="AG841" s="575">
        <f t="shared" si="301"/>
        <v>0.99826810526734877</v>
      </c>
    </row>
    <row r="842" spans="24:33" x14ac:dyDescent="0.25">
      <c r="X842" s="284" t="s">
        <v>243</v>
      </c>
      <c r="Y842" s="11" t="s">
        <v>459</v>
      </c>
      <c r="Z842" s="1" t="s">
        <v>51</v>
      </c>
      <c r="AA842" s="529" t="s">
        <v>23</v>
      </c>
      <c r="AB842" s="163" t="s">
        <v>244</v>
      </c>
      <c r="AC842" s="309"/>
      <c r="AD842" s="168">
        <f>AD843</f>
        <v>35148.800000000003</v>
      </c>
      <c r="AE842" s="168">
        <f>AE843</f>
        <v>35163.800000000003</v>
      </c>
      <c r="AF842" s="168">
        <f t="shared" si="317"/>
        <v>35102.9</v>
      </c>
      <c r="AG842" s="575">
        <f t="shared" si="301"/>
        <v>0.99826810526734877</v>
      </c>
    </row>
    <row r="843" spans="24:33" ht="31.5" x14ac:dyDescent="0.25">
      <c r="X843" s="282" t="s">
        <v>242</v>
      </c>
      <c r="Y843" s="11" t="s">
        <v>459</v>
      </c>
      <c r="Z843" s="17" t="s">
        <v>51</v>
      </c>
      <c r="AA843" s="530" t="s">
        <v>23</v>
      </c>
      <c r="AB843" s="163" t="s">
        <v>574</v>
      </c>
      <c r="AC843" s="311"/>
      <c r="AD843" s="168">
        <f>AD847+AD850+AD844</f>
        <v>35148.800000000003</v>
      </c>
      <c r="AE843" s="168">
        <f>AE847+AE850+AE844</f>
        <v>35163.800000000003</v>
      </c>
      <c r="AF843" s="168">
        <f>AF847+AF850+AF844</f>
        <v>35102.9</v>
      </c>
      <c r="AG843" s="575">
        <f t="shared" si="301"/>
        <v>0.99826810526734877</v>
      </c>
    </row>
    <row r="844" spans="24:33" ht="31.5" x14ac:dyDescent="0.25">
      <c r="X844" s="410" t="s">
        <v>383</v>
      </c>
      <c r="Y844" s="11" t="s">
        <v>459</v>
      </c>
      <c r="Z844" s="1" t="s">
        <v>51</v>
      </c>
      <c r="AA844" s="529" t="s">
        <v>23</v>
      </c>
      <c r="AB844" s="163" t="s">
        <v>575</v>
      </c>
      <c r="AC844" s="311"/>
      <c r="AD844" s="168">
        <f t="shared" ref="AD844:AF845" si="318">AD845</f>
        <v>630.79999999999995</v>
      </c>
      <c r="AE844" s="168">
        <f t="shared" si="318"/>
        <v>645.79999999999995</v>
      </c>
      <c r="AF844" s="168">
        <f t="shared" si="318"/>
        <v>630.6</v>
      </c>
      <c r="AG844" s="575">
        <f t="shared" si="301"/>
        <v>0.97646330133168169</v>
      </c>
    </row>
    <row r="845" spans="24:33" x14ac:dyDescent="0.25">
      <c r="X845" s="278" t="s">
        <v>123</v>
      </c>
      <c r="Y845" s="11" t="s">
        <v>459</v>
      </c>
      <c r="Z845" s="1" t="s">
        <v>51</v>
      </c>
      <c r="AA845" s="529" t="s">
        <v>23</v>
      </c>
      <c r="AB845" s="163" t="s">
        <v>575</v>
      </c>
      <c r="AC845" s="309">
        <v>200</v>
      </c>
      <c r="AD845" s="168">
        <f t="shared" si="318"/>
        <v>630.79999999999995</v>
      </c>
      <c r="AE845" s="168">
        <f t="shared" si="318"/>
        <v>645.79999999999995</v>
      </c>
      <c r="AF845" s="168">
        <f t="shared" si="318"/>
        <v>630.6</v>
      </c>
      <c r="AG845" s="575">
        <f t="shared" si="301"/>
        <v>0.97646330133168169</v>
      </c>
    </row>
    <row r="846" spans="24:33" ht="31.5" x14ac:dyDescent="0.25">
      <c r="X846" s="278" t="s">
        <v>54</v>
      </c>
      <c r="Y846" s="11" t="s">
        <v>459</v>
      </c>
      <c r="Z846" s="17" t="s">
        <v>51</v>
      </c>
      <c r="AA846" s="530" t="s">
        <v>23</v>
      </c>
      <c r="AB846" s="163" t="s">
        <v>575</v>
      </c>
      <c r="AC846" s="309">
        <v>240</v>
      </c>
      <c r="AD846" s="168">
        <v>630.79999999999995</v>
      </c>
      <c r="AE846" s="168">
        <v>645.79999999999995</v>
      </c>
      <c r="AF846" s="168">
        <v>630.6</v>
      </c>
      <c r="AG846" s="575">
        <f t="shared" si="301"/>
        <v>0.97646330133168169</v>
      </c>
    </row>
    <row r="847" spans="24:33" x14ac:dyDescent="0.25">
      <c r="X847" s="283" t="s">
        <v>370</v>
      </c>
      <c r="Y847" s="11" t="s">
        <v>459</v>
      </c>
      <c r="Z847" s="17" t="s">
        <v>51</v>
      </c>
      <c r="AA847" s="530" t="s">
        <v>23</v>
      </c>
      <c r="AB847" s="163" t="s">
        <v>576</v>
      </c>
      <c r="AC847" s="309"/>
      <c r="AD847" s="168">
        <f t="shared" ref="AD847:AF848" si="319">AD848</f>
        <v>7318</v>
      </c>
      <c r="AE847" s="168">
        <f t="shared" si="319"/>
        <v>7318</v>
      </c>
      <c r="AF847" s="168">
        <f t="shared" si="319"/>
        <v>7273</v>
      </c>
      <c r="AG847" s="575">
        <f t="shared" si="301"/>
        <v>0.99385077890133922</v>
      </c>
    </row>
    <row r="848" spans="24:33" x14ac:dyDescent="0.25">
      <c r="X848" s="278" t="s">
        <v>123</v>
      </c>
      <c r="Y848" s="11" t="s">
        <v>459</v>
      </c>
      <c r="Z848" s="17" t="s">
        <v>51</v>
      </c>
      <c r="AA848" s="530" t="s">
        <v>23</v>
      </c>
      <c r="AB848" s="163" t="s">
        <v>576</v>
      </c>
      <c r="AC848" s="309">
        <v>200</v>
      </c>
      <c r="AD848" s="168">
        <f t="shared" si="319"/>
        <v>7318</v>
      </c>
      <c r="AE848" s="168">
        <f t="shared" si="319"/>
        <v>7318</v>
      </c>
      <c r="AF848" s="168">
        <f t="shared" si="319"/>
        <v>7273</v>
      </c>
      <c r="AG848" s="575">
        <f t="shared" si="301"/>
        <v>0.99385077890133922</v>
      </c>
    </row>
    <row r="849" spans="24:33" ht="31.5" x14ac:dyDescent="0.25">
      <c r="X849" s="278" t="s">
        <v>54</v>
      </c>
      <c r="Y849" s="11" t="s">
        <v>459</v>
      </c>
      <c r="Z849" s="17" t="s">
        <v>51</v>
      </c>
      <c r="AA849" s="530" t="s">
        <v>23</v>
      </c>
      <c r="AB849" s="163" t="s">
        <v>576</v>
      </c>
      <c r="AC849" s="309">
        <v>240</v>
      </c>
      <c r="AD849" s="168">
        <f>5000+700+418+1200</f>
        <v>7318</v>
      </c>
      <c r="AE849" s="168">
        <f>5000+700+418+1200</f>
        <v>7318</v>
      </c>
      <c r="AF849" s="168">
        <v>7273</v>
      </c>
      <c r="AG849" s="575">
        <f t="shared" si="301"/>
        <v>0.99385077890133922</v>
      </c>
    </row>
    <row r="850" spans="24:33" ht="31.5" x14ac:dyDescent="0.25">
      <c r="X850" s="282" t="s">
        <v>342</v>
      </c>
      <c r="Y850" s="11" t="s">
        <v>459</v>
      </c>
      <c r="Z850" s="17" t="s">
        <v>51</v>
      </c>
      <c r="AA850" s="530" t="s">
        <v>23</v>
      </c>
      <c r="AB850" s="163" t="s">
        <v>577</v>
      </c>
      <c r="AC850" s="309"/>
      <c r="AD850" s="168">
        <f t="shared" ref="AD850:AF851" si="320">AD851</f>
        <v>27200</v>
      </c>
      <c r="AE850" s="168">
        <f t="shared" si="320"/>
        <v>27200</v>
      </c>
      <c r="AF850" s="168">
        <f t="shared" si="320"/>
        <v>27199.3</v>
      </c>
      <c r="AG850" s="575">
        <f t="shared" si="301"/>
        <v>0.99997426470588235</v>
      </c>
    </row>
    <row r="851" spans="24:33" x14ac:dyDescent="0.25">
      <c r="X851" s="278" t="s">
        <v>123</v>
      </c>
      <c r="Y851" s="11" t="s">
        <v>459</v>
      </c>
      <c r="Z851" s="17" t="s">
        <v>51</v>
      </c>
      <c r="AA851" s="530" t="s">
        <v>23</v>
      </c>
      <c r="AB851" s="163" t="s">
        <v>577</v>
      </c>
      <c r="AC851" s="309">
        <v>200</v>
      </c>
      <c r="AD851" s="168">
        <f t="shared" si="320"/>
        <v>27200</v>
      </c>
      <c r="AE851" s="168">
        <f t="shared" si="320"/>
        <v>27200</v>
      </c>
      <c r="AF851" s="168">
        <f t="shared" si="320"/>
        <v>27199.3</v>
      </c>
      <c r="AG851" s="575">
        <f t="shared" si="301"/>
        <v>0.99997426470588235</v>
      </c>
    </row>
    <row r="852" spans="24:33" ht="31.5" x14ac:dyDescent="0.25">
      <c r="X852" s="278" t="s">
        <v>54</v>
      </c>
      <c r="Y852" s="11" t="s">
        <v>459</v>
      </c>
      <c r="Z852" s="17" t="s">
        <v>51</v>
      </c>
      <c r="AA852" s="530" t="s">
        <v>23</v>
      </c>
      <c r="AB852" s="163" t="s">
        <v>577</v>
      </c>
      <c r="AC852" s="309">
        <v>240</v>
      </c>
      <c r="AD852" s="168">
        <f>24700+4988-2070-418</f>
        <v>27200</v>
      </c>
      <c r="AE852" s="168">
        <f>24700+4988-2070-418</f>
        <v>27200</v>
      </c>
      <c r="AF852" s="168">
        <v>27199.3</v>
      </c>
      <c r="AG852" s="575">
        <f t="shared" si="301"/>
        <v>0.99997426470588235</v>
      </c>
    </row>
    <row r="853" spans="24:33" x14ac:dyDescent="0.25">
      <c r="X853" s="284" t="s">
        <v>255</v>
      </c>
      <c r="Y853" s="11" t="s">
        <v>459</v>
      </c>
      <c r="Z853" s="17" t="s">
        <v>51</v>
      </c>
      <c r="AA853" s="530" t="s">
        <v>23</v>
      </c>
      <c r="AB853" s="163" t="s">
        <v>256</v>
      </c>
      <c r="AC853" s="309"/>
      <c r="AD853" s="168">
        <f>AD854</f>
        <v>64444.2</v>
      </c>
      <c r="AE853" s="168">
        <f>AE854</f>
        <v>64354.6</v>
      </c>
      <c r="AF853" s="168">
        <f>AF854</f>
        <v>64354.6</v>
      </c>
      <c r="AG853" s="575">
        <f t="shared" si="301"/>
        <v>1</v>
      </c>
    </row>
    <row r="854" spans="24:33" ht="31.5" x14ac:dyDescent="0.25">
      <c r="X854" s="299" t="s">
        <v>626</v>
      </c>
      <c r="Y854" s="11" t="s">
        <v>459</v>
      </c>
      <c r="Z854" s="17" t="s">
        <v>51</v>
      </c>
      <c r="AA854" s="530" t="s">
        <v>23</v>
      </c>
      <c r="AB854" s="163" t="s">
        <v>257</v>
      </c>
      <c r="AC854" s="317"/>
      <c r="AD854" s="168">
        <f>AD855+AD860</f>
        <v>64444.2</v>
      </c>
      <c r="AE854" s="168">
        <f>AE855+AE860</f>
        <v>64354.6</v>
      </c>
      <c r="AF854" s="168">
        <f>AF855+AF860</f>
        <v>64354.6</v>
      </c>
      <c r="AG854" s="575">
        <f t="shared" si="301"/>
        <v>1</v>
      </c>
    </row>
    <row r="855" spans="24:33" ht="36" customHeight="1" x14ac:dyDescent="0.25">
      <c r="X855" s="282" t="s">
        <v>627</v>
      </c>
      <c r="Y855" s="11" t="s">
        <v>459</v>
      </c>
      <c r="Z855" s="17" t="s">
        <v>51</v>
      </c>
      <c r="AA855" s="530" t="s">
        <v>23</v>
      </c>
      <c r="AB855" s="163" t="s">
        <v>258</v>
      </c>
      <c r="AC855" s="309"/>
      <c r="AD855" s="168">
        <f t="shared" ref="AD855:AF857" si="321">AD856</f>
        <v>7578</v>
      </c>
      <c r="AE855" s="168">
        <f t="shared" si="321"/>
        <v>7577.9</v>
      </c>
      <c r="AF855" s="168">
        <f t="shared" si="321"/>
        <v>7577.9</v>
      </c>
      <c r="AG855" s="575">
        <f t="shared" si="301"/>
        <v>1</v>
      </c>
    </row>
    <row r="856" spans="24:33" x14ac:dyDescent="0.25">
      <c r="X856" s="278" t="s">
        <v>498</v>
      </c>
      <c r="Y856" s="11" t="s">
        <v>459</v>
      </c>
      <c r="Z856" s="17" t="s">
        <v>51</v>
      </c>
      <c r="AA856" s="530" t="s">
        <v>23</v>
      </c>
      <c r="AB856" s="163" t="s">
        <v>499</v>
      </c>
      <c r="AC856" s="317"/>
      <c r="AD856" s="168">
        <f t="shared" si="321"/>
        <v>7578</v>
      </c>
      <c r="AE856" s="168">
        <f t="shared" si="321"/>
        <v>7577.9</v>
      </c>
      <c r="AF856" s="168">
        <f t="shared" si="321"/>
        <v>7577.9</v>
      </c>
      <c r="AG856" s="575">
        <f t="shared" si="301"/>
        <v>1</v>
      </c>
    </row>
    <row r="857" spans="24:33" x14ac:dyDescent="0.25">
      <c r="X857" s="278" t="s">
        <v>123</v>
      </c>
      <c r="Y857" s="11" t="s">
        <v>459</v>
      </c>
      <c r="Z857" s="17" t="s">
        <v>51</v>
      </c>
      <c r="AA857" s="530" t="s">
        <v>23</v>
      </c>
      <c r="AB857" s="163" t="s">
        <v>499</v>
      </c>
      <c r="AC857" s="317" t="s">
        <v>39</v>
      </c>
      <c r="AD857" s="168">
        <f t="shared" si="321"/>
        <v>7578</v>
      </c>
      <c r="AE857" s="168">
        <f t="shared" si="321"/>
        <v>7577.9</v>
      </c>
      <c r="AF857" s="168">
        <f t="shared" si="321"/>
        <v>7577.9</v>
      </c>
      <c r="AG857" s="575">
        <f t="shared" si="301"/>
        <v>1</v>
      </c>
    </row>
    <row r="858" spans="24:33" ht="31.5" x14ac:dyDescent="0.25">
      <c r="X858" s="278" t="s">
        <v>54</v>
      </c>
      <c r="Y858" s="11" t="s">
        <v>459</v>
      </c>
      <c r="Z858" s="17" t="s">
        <v>51</v>
      </c>
      <c r="AA858" s="530" t="s">
        <v>23</v>
      </c>
      <c r="AB858" s="163" t="s">
        <v>499</v>
      </c>
      <c r="AC858" s="317" t="s">
        <v>67</v>
      </c>
      <c r="AD858" s="168">
        <f>2760.2+557.3+3544.7+715.8</f>
        <v>7578</v>
      </c>
      <c r="AE858" s="168">
        <v>7577.9</v>
      </c>
      <c r="AF858" s="168">
        <v>7577.9</v>
      </c>
      <c r="AG858" s="575">
        <f t="shared" si="301"/>
        <v>1</v>
      </c>
    </row>
    <row r="859" spans="24:33" x14ac:dyDescent="0.25">
      <c r="X859" s="282" t="s">
        <v>402</v>
      </c>
      <c r="Y859" s="11" t="s">
        <v>459</v>
      </c>
      <c r="Z859" s="17" t="s">
        <v>51</v>
      </c>
      <c r="AA859" s="530" t="s">
        <v>23</v>
      </c>
      <c r="AB859" s="448" t="s">
        <v>474</v>
      </c>
      <c r="AC859" s="309"/>
      <c r="AD859" s="168">
        <f>AD860</f>
        <v>56866.2</v>
      </c>
      <c r="AE859" s="168">
        <f>AE860</f>
        <v>56776.7</v>
      </c>
      <c r="AF859" s="168">
        <f t="shared" ref="AF859" si="322">AF860</f>
        <v>56776.7</v>
      </c>
      <c r="AG859" s="575">
        <f t="shared" si="301"/>
        <v>1</v>
      </c>
    </row>
    <row r="860" spans="24:33" x14ac:dyDescent="0.25">
      <c r="X860" s="278" t="s">
        <v>431</v>
      </c>
      <c r="Y860" s="11" t="s">
        <v>459</v>
      </c>
      <c r="Z860" s="17" t="s">
        <v>51</v>
      </c>
      <c r="AA860" s="530" t="s">
        <v>23</v>
      </c>
      <c r="AB860" s="448" t="s">
        <v>473</v>
      </c>
      <c r="AC860" s="309"/>
      <c r="AD860" s="168">
        <f t="shared" ref="AD860:AF861" si="323">AD861</f>
        <v>56866.2</v>
      </c>
      <c r="AE860" s="168">
        <f t="shared" si="323"/>
        <v>56776.7</v>
      </c>
      <c r="AF860" s="168">
        <f t="shared" si="323"/>
        <v>56776.7</v>
      </c>
      <c r="AG860" s="575">
        <f t="shared" ref="AG860:AG916" si="324">AF860/AE860</f>
        <v>1</v>
      </c>
    </row>
    <row r="861" spans="24:33" x14ac:dyDescent="0.25">
      <c r="X861" s="278" t="s">
        <v>123</v>
      </c>
      <c r="Y861" s="11" t="s">
        <v>459</v>
      </c>
      <c r="Z861" s="17" t="s">
        <v>51</v>
      </c>
      <c r="AA861" s="530" t="s">
        <v>23</v>
      </c>
      <c r="AB861" s="448" t="s">
        <v>473</v>
      </c>
      <c r="AC861" s="309">
        <v>200</v>
      </c>
      <c r="AD861" s="168">
        <f t="shared" si="323"/>
        <v>56866.2</v>
      </c>
      <c r="AE861" s="168">
        <f t="shared" si="323"/>
        <v>56776.7</v>
      </c>
      <c r="AF861" s="168">
        <f t="shared" si="323"/>
        <v>56776.7</v>
      </c>
      <c r="AG861" s="575">
        <f t="shared" si="324"/>
        <v>1</v>
      </c>
    </row>
    <row r="862" spans="24:33" ht="31.5" x14ac:dyDescent="0.25">
      <c r="X862" s="278" t="s">
        <v>54</v>
      </c>
      <c r="Y862" s="11" t="s">
        <v>459</v>
      </c>
      <c r="Z862" s="17" t="s">
        <v>51</v>
      </c>
      <c r="AA862" s="530" t="s">
        <v>23</v>
      </c>
      <c r="AB862" s="448" t="s">
        <v>473</v>
      </c>
      <c r="AC862" s="309">
        <v>240</v>
      </c>
      <c r="AD862" s="168">
        <f>16224+3276+33991.7+6863.7-2903-586.2</f>
        <v>56866.2</v>
      </c>
      <c r="AE862" s="168">
        <v>56776.7</v>
      </c>
      <c r="AF862" s="168">
        <v>56776.7</v>
      </c>
      <c r="AG862" s="575">
        <f t="shared" si="324"/>
        <v>1</v>
      </c>
    </row>
    <row r="863" spans="24:33" x14ac:dyDescent="0.25">
      <c r="X863" s="279" t="s">
        <v>3</v>
      </c>
      <c r="Y863" s="199" t="s">
        <v>459</v>
      </c>
      <c r="Z863" s="12" t="s">
        <v>5</v>
      </c>
      <c r="AA863" s="557"/>
      <c r="AB863" s="305"/>
      <c r="AC863" s="310"/>
      <c r="AD863" s="170">
        <f>AD864+AD882+AD922+AD871</f>
        <v>732413.7</v>
      </c>
      <c r="AE863" s="170">
        <f>AE864+AE882+AE922+AE871</f>
        <v>732528.9</v>
      </c>
      <c r="AF863" s="170">
        <f>AF864+AF882+AF922+AF871</f>
        <v>726570.39999999991</v>
      </c>
      <c r="AG863" s="574">
        <f t="shared" si="324"/>
        <v>0.99186584993438465</v>
      </c>
    </row>
    <row r="864" spans="24:33" x14ac:dyDescent="0.25">
      <c r="X864" s="278" t="s">
        <v>71</v>
      </c>
      <c r="Y864" s="11" t="s">
        <v>459</v>
      </c>
      <c r="Z864" s="1" t="s">
        <v>5</v>
      </c>
      <c r="AA864" s="529" t="s">
        <v>31</v>
      </c>
      <c r="AB864" s="33"/>
      <c r="AC864" s="311"/>
      <c r="AD864" s="168">
        <f>AD865</f>
        <v>100</v>
      </c>
      <c r="AE864" s="168">
        <f>AE865</f>
        <v>100</v>
      </c>
      <c r="AF864" s="168">
        <f t="shared" ref="AF864" si="325">AF865</f>
        <v>100</v>
      </c>
      <c r="AG864" s="575">
        <f t="shared" si="324"/>
        <v>1</v>
      </c>
    </row>
    <row r="865" spans="24:33" x14ac:dyDescent="0.25">
      <c r="X865" s="284" t="s">
        <v>255</v>
      </c>
      <c r="Y865" s="11" t="s">
        <v>459</v>
      </c>
      <c r="Z865" s="1" t="s">
        <v>5</v>
      </c>
      <c r="AA865" s="529" t="s">
        <v>31</v>
      </c>
      <c r="AB865" s="163" t="s">
        <v>256</v>
      </c>
      <c r="AC865" s="311"/>
      <c r="AD865" s="168">
        <f t="shared" ref="AD865:AF869" si="326">AD866</f>
        <v>100</v>
      </c>
      <c r="AE865" s="168">
        <f t="shared" si="326"/>
        <v>100</v>
      </c>
      <c r="AF865" s="168">
        <f t="shared" si="326"/>
        <v>100</v>
      </c>
      <c r="AG865" s="575">
        <f t="shared" si="324"/>
        <v>1</v>
      </c>
    </row>
    <row r="866" spans="24:33" ht="31.5" x14ac:dyDescent="0.25">
      <c r="X866" s="299" t="s">
        <v>626</v>
      </c>
      <c r="Y866" s="11" t="s">
        <v>459</v>
      </c>
      <c r="Z866" s="1" t="s">
        <v>5</v>
      </c>
      <c r="AA866" s="529" t="s">
        <v>31</v>
      </c>
      <c r="AB866" s="163" t="s">
        <v>257</v>
      </c>
      <c r="AC866" s="311"/>
      <c r="AD866" s="168">
        <f>AD867</f>
        <v>100</v>
      </c>
      <c r="AE866" s="168">
        <f>AE867</f>
        <v>100</v>
      </c>
      <c r="AF866" s="168">
        <f>AF867</f>
        <v>100</v>
      </c>
      <c r="AG866" s="575">
        <f t="shared" si="324"/>
        <v>1</v>
      </c>
    </row>
    <row r="867" spans="24:33" ht="31.5" x14ac:dyDescent="0.25">
      <c r="X867" s="301" t="s">
        <v>341</v>
      </c>
      <c r="Y867" s="11" t="s">
        <v>459</v>
      </c>
      <c r="Z867" s="1" t="s">
        <v>5</v>
      </c>
      <c r="AA867" s="529" t="s">
        <v>31</v>
      </c>
      <c r="AB867" s="163" t="s">
        <v>630</v>
      </c>
      <c r="AC867" s="311"/>
      <c r="AD867" s="168">
        <f t="shared" si="326"/>
        <v>100</v>
      </c>
      <c r="AE867" s="168">
        <f t="shared" si="326"/>
        <v>100</v>
      </c>
      <c r="AF867" s="168">
        <f t="shared" si="326"/>
        <v>100</v>
      </c>
      <c r="AG867" s="575">
        <f t="shared" si="324"/>
        <v>1</v>
      </c>
    </row>
    <row r="868" spans="24:33" x14ac:dyDescent="0.25">
      <c r="X868" s="301" t="s">
        <v>368</v>
      </c>
      <c r="Y868" s="11" t="s">
        <v>459</v>
      </c>
      <c r="Z868" s="1" t="s">
        <v>5</v>
      </c>
      <c r="AA868" s="529" t="s">
        <v>31</v>
      </c>
      <c r="AB868" s="163" t="s">
        <v>631</v>
      </c>
      <c r="AC868" s="311"/>
      <c r="AD868" s="168">
        <f t="shared" si="326"/>
        <v>100</v>
      </c>
      <c r="AE868" s="168">
        <f t="shared" si="326"/>
        <v>100</v>
      </c>
      <c r="AF868" s="168">
        <f t="shared" si="326"/>
        <v>100</v>
      </c>
      <c r="AG868" s="575">
        <f t="shared" si="324"/>
        <v>1</v>
      </c>
    </row>
    <row r="869" spans="24:33" x14ac:dyDescent="0.25">
      <c r="X869" s="297" t="s">
        <v>123</v>
      </c>
      <c r="Y869" s="11" t="s">
        <v>459</v>
      </c>
      <c r="Z869" s="1" t="s">
        <v>5</v>
      </c>
      <c r="AA869" s="529" t="s">
        <v>31</v>
      </c>
      <c r="AB869" s="163" t="s">
        <v>631</v>
      </c>
      <c r="AC869" s="317" t="s">
        <v>39</v>
      </c>
      <c r="AD869" s="168">
        <f t="shared" si="326"/>
        <v>100</v>
      </c>
      <c r="AE869" s="168">
        <f t="shared" si="326"/>
        <v>100</v>
      </c>
      <c r="AF869" s="168">
        <f t="shared" si="326"/>
        <v>100</v>
      </c>
      <c r="AG869" s="575">
        <f t="shared" si="324"/>
        <v>1</v>
      </c>
    </row>
    <row r="870" spans="24:33" ht="31.5" x14ac:dyDescent="0.25">
      <c r="X870" s="297" t="s">
        <v>54</v>
      </c>
      <c r="Y870" s="11" t="s">
        <v>459</v>
      </c>
      <c r="Z870" s="1" t="s">
        <v>5</v>
      </c>
      <c r="AA870" s="529" t="s">
        <v>31</v>
      </c>
      <c r="AB870" s="163" t="s">
        <v>631</v>
      </c>
      <c r="AC870" s="317" t="s">
        <v>67</v>
      </c>
      <c r="AD870" s="168">
        <v>100</v>
      </c>
      <c r="AE870" s="168">
        <v>100</v>
      </c>
      <c r="AF870" s="168">
        <v>100</v>
      </c>
      <c r="AG870" s="575">
        <f t="shared" si="324"/>
        <v>1</v>
      </c>
    </row>
    <row r="871" spans="24:33" x14ac:dyDescent="0.25">
      <c r="X871" s="278" t="s">
        <v>345</v>
      </c>
      <c r="Y871" s="11" t="s">
        <v>459</v>
      </c>
      <c r="Z871" s="1" t="s">
        <v>5</v>
      </c>
      <c r="AA871" s="529" t="s">
        <v>32</v>
      </c>
      <c r="AB871" s="311"/>
      <c r="AC871" s="317"/>
      <c r="AD871" s="168">
        <f>AD872</f>
        <v>28295.5</v>
      </c>
      <c r="AE871" s="168">
        <f>AE872</f>
        <v>28295.5</v>
      </c>
      <c r="AF871" s="168">
        <f t="shared" ref="AF871" si="327">AF872</f>
        <v>23590.400000000001</v>
      </c>
      <c r="AG871" s="575">
        <f t="shared" si="324"/>
        <v>0.83371560848898241</v>
      </c>
    </row>
    <row r="872" spans="24:33" ht="33.6" customHeight="1" x14ac:dyDescent="0.25">
      <c r="X872" s="278" t="s">
        <v>685</v>
      </c>
      <c r="Y872" s="11" t="s">
        <v>459</v>
      </c>
      <c r="Z872" s="1" t="s">
        <v>5</v>
      </c>
      <c r="AA872" s="529" t="s">
        <v>32</v>
      </c>
      <c r="AB872" s="163" t="s">
        <v>114</v>
      </c>
      <c r="AC872" s="317"/>
      <c r="AD872" s="168">
        <f t="shared" ref="AD872:AF873" si="328">AD873</f>
        <v>28295.5</v>
      </c>
      <c r="AE872" s="168">
        <f t="shared" si="328"/>
        <v>28295.5</v>
      </c>
      <c r="AF872" s="168">
        <f t="shared" si="328"/>
        <v>23590.400000000001</v>
      </c>
      <c r="AG872" s="575">
        <f t="shared" si="324"/>
        <v>0.83371560848898241</v>
      </c>
    </row>
    <row r="873" spans="24:33" x14ac:dyDescent="0.25">
      <c r="X873" s="278" t="s">
        <v>608</v>
      </c>
      <c r="Y873" s="11" t="s">
        <v>459</v>
      </c>
      <c r="Z873" s="1" t="s">
        <v>5</v>
      </c>
      <c r="AA873" s="529" t="s">
        <v>32</v>
      </c>
      <c r="AB873" s="163" t="s">
        <v>424</v>
      </c>
      <c r="AC873" s="317"/>
      <c r="AD873" s="168">
        <f>AD874</f>
        <v>28295.5</v>
      </c>
      <c r="AE873" s="168">
        <f>AE874</f>
        <v>28295.5</v>
      </c>
      <c r="AF873" s="168">
        <f t="shared" si="328"/>
        <v>23590.400000000001</v>
      </c>
      <c r="AG873" s="575">
        <f t="shared" si="324"/>
        <v>0.83371560848898241</v>
      </c>
    </row>
    <row r="874" spans="24:33" ht="33" customHeight="1" x14ac:dyDescent="0.25">
      <c r="X874" s="278" t="s">
        <v>674</v>
      </c>
      <c r="Y874" s="11" t="s">
        <v>459</v>
      </c>
      <c r="Z874" s="1" t="s">
        <v>5</v>
      </c>
      <c r="AA874" s="529" t="s">
        <v>32</v>
      </c>
      <c r="AB874" s="448" t="s">
        <v>500</v>
      </c>
      <c r="AC874" s="317"/>
      <c r="AD874" s="168">
        <f>AD880+AD875</f>
        <v>28295.5</v>
      </c>
      <c r="AE874" s="168">
        <f t="shared" ref="AE874:AF874" si="329">AE880+AE875</f>
        <v>28295.5</v>
      </c>
      <c r="AF874" s="168">
        <f t="shared" si="329"/>
        <v>23590.400000000001</v>
      </c>
      <c r="AG874" s="575">
        <f t="shared" si="324"/>
        <v>0.83371560848898241</v>
      </c>
    </row>
    <row r="875" spans="24:33" ht="25.9" customHeight="1" x14ac:dyDescent="0.25">
      <c r="X875" s="403" t="s">
        <v>756</v>
      </c>
      <c r="Y875" s="11" t="s">
        <v>459</v>
      </c>
      <c r="Z875" s="1" t="s">
        <v>5</v>
      </c>
      <c r="AA875" s="529" t="s">
        <v>32</v>
      </c>
      <c r="AB875" s="448" t="s">
        <v>757</v>
      </c>
      <c r="AC875" s="317"/>
      <c r="AD875" s="168">
        <f>AD876</f>
        <v>4693.5</v>
      </c>
      <c r="AE875" s="168">
        <f>AE876</f>
        <v>4693.5</v>
      </c>
      <c r="AF875" s="168">
        <f t="shared" ref="AF875" si="330">AF876</f>
        <v>0</v>
      </c>
      <c r="AG875" s="575">
        <f t="shared" si="324"/>
        <v>0</v>
      </c>
    </row>
    <row r="876" spans="24:33" ht="22.9" customHeight="1" x14ac:dyDescent="0.25">
      <c r="X876" s="278" t="s">
        <v>123</v>
      </c>
      <c r="Y876" s="11" t="s">
        <v>459</v>
      </c>
      <c r="Z876" s="1" t="s">
        <v>5</v>
      </c>
      <c r="AA876" s="529" t="s">
        <v>32</v>
      </c>
      <c r="AB876" s="448" t="s">
        <v>757</v>
      </c>
      <c r="AC876" s="317" t="s">
        <v>39</v>
      </c>
      <c r="AD876" s="168">
        <f>AD877</f>
        <v>4693.5</v>
      </c>
      <c r="AE876" s="168">
        <f>AE877</f>
        <v>4693.5</v>
      </c>
      <c r="AF876" s="168">
        <f t="shared" ref="AF876" si="331">AF877</f>
        <v>0</v>
      </c>
      <c r="AG876" s="575">
        <f t="shared" si="324"/>
        <v>0</v>
      </c>
    </row>
    <row r="877" spans="24:33" ht="33" customHeight="1" x14ac:dyDescent="0.25">
      <c r="X877" s="278" t="s">
        <v>54</v>
      </c>
      <c r="Y877" s="11" t="s">
        <v>459</v>
      </c>
      <c r="Z877" s="1" t="s">
        <v>5</v>
      </c>
      <c r="AA877" s="529" t="s">
        <v>32</v>
      </c>
      <c r="AB877" s="448" t="s">
        <v>757</v>
      </c>
      <c r="AC877" s="317" t="s">
        <v>67</v>
      </c>
      <c r="AD877" s="168">
        <f>7245-2551.5</f>
        <v>4693.5</v>
      </c>
      <c r="AE877" s="168">
        <f>7245-2551.5</f>
        <v>4693.5</v>
      </c>
      <c r="AF877" s="168">
        <v>0</v>
      </c>
      <c r="AG877" s="575">
        <f t="shared" si="324"/>
        <v>0</v>
      </c>
    </row>
    <row r="878" spans="24:33" x14ac:dyDescent="0.25">
      <c r="X878" s="278" t="s">
        <v>638</v>
      </c>
      <c r="Y878" s="11" t="s">
        <v>459</v>
      </c>
      <c r="Z878" s="1" t="s">
        <v>5</v>
      </c>
      <c r="AA878" s="529" t="s">
        <v>32</v>
      </c>
      <c r="AB878" s="448" t="s">
        <v>639</v>
      </c>
      <c r="AC878" s="317"/>
      <c r="AD878" s="168">
        <f t="shared" ref="AD878:AE880" si="332">AD879</f>
        <v>23602</v>
      </c>
      <c r="AE878" s="168">
        <f t="shared" si="332"/>
        <v>23602</v>
      </c>
      <c r="AF878" s="168">
        <f t="shared" ref="AF878" si="333">AF879</f>
        <v>23590.400000000001</v>
      </c>
      <c r="AG878" s="575">
        <f t="shared" si="324"/>
        <v>0.99950851622743841</v>
      </c>
    </row>
    <row r="879" spans="24:33" ht="34.15" customHeight="1" x14ac:dyDescent="0.25">
      <c r="X879" s="403" t="s">
        <v>673</v>
      </c>
      <c r="Y879" s="11" t="s">
        <v>459</v>
      </c>
      <c r="Z879" s="1" t="s">
        <v>5</v>
      </c>
      <c r="AA879" s="529" t="s">
        <v>32</v>
      </c>
      <c r="AB879" s="448" t="s">
        <v>672</v>
      </c>
      <c r="AC879" s="317"/>
      <c r="AD879" s="168">
        <f t="shared" si="332"/>
        <v>23602</v>
      </c>
      <c r="AE879" s="168">
        <f t="shared" si="332"/>
        <v>23602</v>
      </c>
      <c r="AF879" s="168">
        <f t="shared" ref="AF879" si="334">AF880</f>
        <v>23590.400000000001</v>
      </c>
      <c r="AG879" s="575">
        <f t="shared" si="324"/>
        <v>0.99950851622743841</v>
      </c>
    </row>
    <row r="880" spans="24:33" x14ac:dyDescent="0.25">
      <c r="X880" s="411" t="s">
        <v>460</v>
      </c>
      <c r="Y880" s="11" t="s">
        <v>459</v>
      </c>
      <c r="Z880" s="1" t="s">
        <v>5</v>
      </c>
      <c r="AA880" s="529" t="s">
        <v>32</v>
      </c>
      <c r="AB880" s="448" t="s">
        <v>672</v>
      </c>
      <c r="AC880" s="317" t="s">
        <v>158</v>
      </c>
      <c r="AD880" s="168">
        <f t="shared" si="332"/>
        <v>23602</v>
      </c>
      <c r="AE880" s="168">
        <f t="shared" si="332"/>
        <v>23602</v>
      </c>
      <c r="AF880" s="168">
        <f t="shared" ref="AF880" si="335">AF881</f>
        <v>23590.400000000001</v>
      </c>
      <c r="AG880" s="575">
        <f t="shared" si="324"/>
        <v>0.99950851622743841</v>
      </c>
    </row>
    <row r="881" spans="24:33" x14ac:dyDescent="0.25">
      <c r="X881" s="278" t="s">
        <v>9</v>
      </c>
      <c r="Y881" s="11" t="s">
        <v>459</v>
      </c>
      <c r="Z881" s="1" t="s">
        <v>5</v>
      </c>
      <c r="AA881" s="529" t="s">
        <v>32</v>
      </c>
      <c r="AB881" s="448" t="s">
        <v>672</v>
      </c>
      <c r="AC881" s="317" t="s">
        <v>159</v>
      </c>
      <c r="AD881" s="168">
        <f>19636.9+3965.1</f>
        <v>23602</v>
      </c>
      <c r="AE881" s="168">
        <f>19636.9+3965.1</f>
        <v>23602</v>
      </c>
      <c r="AF881" s="168">
        <v>23590.400000000001</v>
      </c>
      <c r="AG881" s="575">
        <f t="shared" si="324"/>
        <v>0.99950851622743841</v>
      </c>
    </row>
    <row r="882" spans="24:33" ht="23.45" customHeight="1" x14ac:dyDescent="0.25">
      <c r="X882" s="278" t="s">
        <v>19</v>
      </c>
      <c r="Y882" s="11" t="s">
        <v>459</v>
      </c>
      <c r="Z882" s="1" t="s">
        <v>5</v>
      </c>
      <c r="AA882" s="529" t="s">
        <v>7</v>
      </c>
      <c r="AB882" s="33"/>
      <c r="AC882" s="317"/>
      <c r="AD882" s="168">
        <f>AD883+AD917</f>
        <v>681202.5</v>
      </c>
      <c r="AE882" s="168">
        <f t="shared" ref="AE882:AF882" si="336">AE883+AE917</f>
        <v>681182.5</v>
      </c>
      <c r="AF882" s="168">
        <f t="shared" si="336"/>
        <v>680123.49999999988</v>
      </c>
      <c r="AG882" s="575">
        <f t="shared" si="324"/>
        <v>0.99844535054849459</v>
      </c>
    </row>
    <row r="883" spans="24:33" x14ac:dyDescent="0.25">
      <c r="X883" s="284" t="s">
        <v>255</v>
      </c>
      <c r="Y883" s="11" t="s">
        <v>459</v>
      </c>
      <c r="Z883" s="1" t="s">
        <v>5</v>
      </c>
      <c r="AA883" s="529" t="s">
        <v>7</v>
      </c>
      <c r="AB883" s="163" t="s">
        <v>256</v>
      </c>
      <c r="AC883" s="317"/>
      <c r="AD883" s="168">
        <f>AD902+AD884</f>
        <v>680814.9</v>
      </c>
      <c r="AE883" s="168">
        <f>AE902+AE884</f>
        <v>680794.9</v>
      </c>
      <c r="AF883" s="168">
        <f>AF902+AF884</f>
        <v>679735.89999999991</v>
      </c>
      <c r="AG883" s="575">
        <f t="shared" si="324"/>
        <v>0.99844446543298115</v>
      </c>
    </row>
    <row r="884" spans="24:33" x14ac:dyDescent="0.25">
      <c r="X884" s="284" t="s">
        <v>400</v>
      </c>
      <c r="Y884" s="11" t="s">
        <v>459</v>
      </c>
      <c r="Z884" s="1" t="s">
        <v>5</v>
      </c>
      <c r="AA884" s="529" t="s">
        <v>7</v>
      </c>
      <c r="AB884" s="163" t="s">
        <v>401</v>
      </c>
      <c r="AC884" s="317"/>
      <c r="AD884" s="168">
        <f>AD885+AD898</f>
        <v>626942.20000000007</v>
      </c>
      <c r="AE884" s="168">
        <f>AE885+AE898</f>
        <v>626942.20000000007</v>
      </c>
      <c r="AF884" s="168">
        <f>AF885+AF898</f>
        <v>626868.69999999995</v>
      </c>
      <c r="AG884" s="575">
        <f t="shared" si="324"/>
        <v>0.99988276431224421</v>
      </c>
    </row>
    <row r="885" spans="24:33" ht="31.5" x14ac:dyDescent="0.25">
      <c r="X885" s="284" t="s">
        <v>429</v>
      </c>
      <c r="Y885" s="11" t="s">
        <v>459</v>
      </c>
      <c r="Z885" s="1" t="s">
        <v>5</v>
      </c>
      <c r="AA885" s="529" t="s">
        <v>7</v>
      </c>
      <c r="AB885" s="163" t="s">
        <v>430</v>
      </c>
      <c r="AC885" s="317"/>
      <c r="AD885" s="168">
        <f>AD889+AD892+AD895+AD886</f>
        <v>587960.70000000007</v>
      </c>
      <c r="AE885" s="168">
        <f>AE889+AE892+AE895+AE886</f>
        <v>587960.70000000007</v>
      </c>
      <c r="AF885" s="168">
        <f>AF889+AF892+AF895+AF886</f>
        <v>587960.29999999993</v>
      </c>
      <c r="AG885" s="575">
        <f t="shared" si="324"/>
        <v>0.99999931968242073</v>
      </c>
    </row>
    <row r="886" spans="24:33" ht="35.450000000000003" customHeight="1" x14ac:dyDescent="0.25">
      <c r="X886" s="284" t="s">
        <v>746</v>
      </c>
      <c r="Y886" s="11" t="s">
        <v>459</v>
      </c>
      <c r="Z886" s="1" t="s">
        <v>5</v>
      </c>
      <c r="AA886" s="529" t="s">
        <v>7</v>
      </c>
      <c r="AB886" s="163" t="s">
        <v>747</v>
      </c>
      <c r="AC886" s="317"/>
      <c r="AD886" s="168">
        <f>AD887</f>
        <v>120</v>
      </c>
      <c r="AE886" s="168">
        <f>AE887</f>
        <v>120</v>
      </c>
      <c r="AF886" s="168">
        <f t="shared" ref="AF886:AF887" si="337">AF887</f>
        <v>119.6</v>
      </c>
      <c r="AG886" s="575">
        <f t="shared" si="324"/>
        <v>0.99666666666666659</v>
      </c>
    </row>
    <row r="887" spans="24:33" x14ac:dyDescent="0.25">
      <c r="X887" s="278" t="s">
        <v>123</v>
      </c>
      <c r="Y887" s="11" t="s">
        <v>459</v>
      </c>
      <c r="Z887" s="1" t="s">
        <v>5</v>
      </c>
      <c r="AA887" s="529" t="s">
        <v>7</v>
      </c>
      <c r="AB887" s="163" t="s">
        <v>747</v>
      </c>
      <c r="AC887" s="317" t="s">
        <v>39</v>
      </c>
      <c r="AD887" s="168">
        <f>AD888</f>
        <v>120</v>
      </c>
      <c r="AE887" s="168">
        <f>AE888</f>
        <v>120</v>
      </c>
      <c r="AF887" s="168">
        <f t="shared" si="337"/>
        <v>119.6</v>
      </c>
      <c r="AG887" s="575">
        <f t="shared" si="324"/>
        <v>0.99666666666666659</v>
      </c>
    </row>
    <row r="888" spans="24:33" ht="31.5" x14ac:dyDescent="0.25">
      <c r="X888" s="278" t="s">
        <v>54</v>
      </c>
      <c r="Y888" s="11" t="s">
        <v>459</v>
      </c>
      <c r="Z888" s="1" t="s">
        <v>5</v>
      </c>
      <c r="AA888" s="529" t="s">
        <v>7</v>
      </c>
      <c r="AB888" s="163" t="s">
        <v>747</v>
      </c>
      <c r="AC888" s="317" t="s">
        <v>67</v>
      </c>
      <c r="AD888" s="168">
        <f>100+100-100+20</f>
        <v>120</v>
      </c>
      <c r="AE888" s="168">
        <f>100+100-100+20</f>
        <v>120</v>
      </c>
      <c r="AF888" s="168">
        <v>119.6</v>
      </c>
      <c r="AG888" s="575">
        <f t="shared" si="324"/>
        <v>0.99666666666666659</v>
      </c>
    </row>
    <row r="889" spans="24:33" ht="31.5" x14ac:dyDescent="0.25">
      <c r="X889" s="278" t="s">
        <v>649</v>
      </c>
      <c r="Y889" s="11" t="s">
        <v>459</v>
      </c>
      <c r="Z889" s="1" t="s">
        <v>5</v>
      </c>
      <c r="AA889" s="529" t="s">
        <v>7</v>
      </c>
      <c r="AB889" s="163" t="s">
        <v>439</v>
      </c>
      <c r="AC889" s="309"/>
      <c r="AD889" s="168">
        <f t="shared" ref="AD889:AF890" si="338">AD890</f>
        <v>8523.7000000000007</v>
      </c>
      <c r="AE889" s="168">
        <f t="shared" si="338"/>
        <v>8523.7000000000007</v>
      </c>
      <c r="AF889" s="168">
        <f t="shared" si="338"/>
        <v>8523.7000000000007</v>
      </c>
      <c r="AG889" s="575">
        <f t="shared" si="324"/>
        <v>1</v>
      </c>
    </row>
    <row r="890" spans="24:33" x14ac:dyDescent="0.25">
      <c r="X890" s="278" t="s">
        <v>123</v>
      </c>
      <c r="Y890" s="11" t="s">
        <v>459</v>
      </c>
      <c r="Z890" s="1" t="s">
        <v>5</v>
      </c>
      <c r="AA890" s="529" t="s">
        <v>7</v>
      </c>
      <c r="AB890" s="163" t="s">
        <v>439</v>
      </c>
      <c r="AC890" s="317" t="s">
        <v>39</v>
      </c>
      <c r="AD890" s="168">
        <f t="shared" si="338"/>
        <v>8523.7000000000007</v>
      </c>
      <c r="AE890" s="168">
        <f t="shared" si="338"/>
        <v>8523.7000000000007</v>
      </c>
      <c r="AF890" s="168">
        <f t="shared" si="338"/>
        <v>8523.7000000000007</v>
      </c>
      <c r="AG890" s="575">
        <f t="shared" si="324"/>
        <v>1</v>
      </c>
    </row>
    <row r="891" spans="24:33" ht="31.5" x14ac:dyDescent="0.25">
      <c r="X891" s="278" t="s">
        <v>54</v>
      </c>
      <c r="Y891" s="11" t="s">
        <v>459</v>
      </c>
      <c r="Z891" s="1" t="s">
        <v>5</v>
      </c>
      <c r="AA891" s="529" t="s">
        <v>7</v>
      </c>
      <c r="AB891" s="163" t="s">
        <v>439</v>
      </c>
      <c r="AC891" s="317" t="s">
        <v>67</v>
      </c>
      <c r="AD891" s="168">
        <f>2656.5+6198.5-99.4-231.9</f>
        <v>8523.7000000000007</v>
      </c>
      <c r="AE891" s="168">
        <f>2656.5+6198.5-99.4-231.9</f>
        <v>8523.7000000000007</v>
      </c>
      <c r="AF891" s="168">
        <v>8523.7000000000007</v>
      </c>
      <c r="AG891" s="575">
        <f t="shared" si="324"/>
        <v>1</v>
      </c>
    </row>
    <row r="892" spans="24:33" x14ac:dyDescent="0.25">
      <c r="X892" s="282" t="s">
        <v>486</v>
      </c>
      <c r="Y892" s="11" t="s">
        <v>459</v>
      </c>
      <c r="Z892" s="1" t="s">
        <v>5</v>
      </c>
      <c r="AA892" s="529" t="s">
        <v>7</v>
      </c>
      <c r="AB892" s="163" t="s">
        <v>438</v>
      </c>
      <c r="AC892" s="317"/>
      <c r="AD892" s="168">
        <f>AD893</f>
        <v>9146.4</v>
      </c>
      <c r="AE892" s="168">
        <f>AE893</f>
        <v>9146.4</v>
      </c>
      <c r="AF892" s="168">
        <f t="shared" ref="AF892:AF893" si="339">AF893</f>
        <v>9146.4</v>
      </c>
      <c r="AG892" s="575">
        <f t="shared" si="324"/>
        <v>1</v>
      </c>
    </row>
    <row r="893" spans="24:33" x14ac:dyDescent="0.25">
      <c r="X893" s="278" t="s">
        <v>123</v>
      </c>
      <c r="Y893" s="11" t="s">
        <v>459</v>
      </c>
      <c r="Z893" s="1" t="s">
        <v>5</v>
      </c>
      <c r="AA893" s="529" t="s">
        <v>7</v>
      </c>
      <c r="AB893" s="163" t="s">
        <v>438</v>
      </c>
      <c r="AC893" s="317" t="s">
        <v>39</v>
      </c>
      <c r="AD893" s="168">
        <f>AD894</f>
        <v>9146.4</v>
      </c>
      <c r="AE893" s="168">
        <f>AE894</f>
        <v>9146.4</v>
      </c>
      <c r="AF893" s="168">
        <f t="shared" si="339"/>
        <v>9146.4</v>
      </c>
      <c r="AG893" s="575">
        <f t="shared" si="324"/>
        <v>1</v>
      </c>
    </row>
    <row r="894" spans="24:33" ht="31.5" x14ac:dyDescent="0.25">
      <c r="X894" s="278" t="s">
        <v>54</v>
      </c>
      <c r="Y894" s="11" t="s">
        <v>459</v>
      </c>
      <c r="Z894" s="1" t="s">
        <v>5</v>
      </c>
      <c r="AA894" s="529" t="s">
        <v>7</v>
      </c>
      <c r="AB894" s="163" t="s">
        <v>438</v>
      </c>
      <c r="AC894" s="317" t="s">
        <v>67</v>
      </c>
      <c r="AD894" s="168">
        <f>750+1750+262.3+612+2504.1+5400.9+442-772.5-1802.4</f>
        <v>9146.4</v>
      </c>
      <c r="AE894" s="168">
        <f>750+1750+262.3+612+2504.1+5400.9+442-772.5-1802.4</f>
        <v>9146.4</v>
      </c>
      <c r="AF894" s="168">
        <v>9146.4</v>
      </c>
      <c r="AG894" s="575">
        <f t="shared" si="324"/>
        <v>1</v>
      </c>
    </row>
    <row r="895" spans="24:33" x14ac:dyDescent="0.25">
      <c r="X895" s="278" t="s">
        <v>436</v>
      </c>
      <c r="Y895" s="11" t="s">
        <v>459</v>
      </c>
      <c r="Z895" s="1" t="s">
        <v>5</v>
      </c>
      <c r="AA895" s="529" t="s">
        <v>7</v>
      </c>
      <c r="AB895" s="163" t="s">
        <v>437</v>
      </c>
      <c r="AC895" s="317"/>
      <c r="AD895" s="168">
        <f>AD896</f>
        <v>570170.60000000009</v>
      </c>
      <c r="AE895" s="168">
        <f>AE896</f>
        <v>570170.60000000009</v>
      </c>
      <c r="AF895" s="168">
        <f t="shared" ref="AF895:AF896" si="340">AF896</f>
        <v>570170.6</v>
      </c>
      <c r="AG895" s="575">
        <f t="shared" si="324"/>
        <v>0.99999999999999978</v>
      </c>
    </row>
    <row r="896" spans="24:33" x14ac:dyDescent="0.25">
      <c r="X896" s="278" t="s">
        <v>123</v>
      </c>
      <c r="Y896" s="11" t="s">
        <v>459</v>
      </c>
      <c r="Z896" s="1" t="s">
        <v>5</v>
      </c>
      <c r="AA896" s="529" t="s">
        <v>7</v>
      </c>
      <c r="AB896" s="163" t="s">
        <v>437</v>
      </c>
      <c r="AC896" s="317" t="s">
        <v>39</v>
      </c>
      <c r="AD896" s="168">
        <f>AD897</f>
        <v>570170.60000000009</v>
      </c>
      <c r="AE896" s="168">
        <f>AE897</f>
        <v>570170.60000000009</v>
      </c>
      <c r="AF896" s="168">
        <f t="shared" si="340"/>
        <v>570170.6</v>
      </c>
      <c r="AG896" s="575">
        <f t="shared" si="324"/>
        <v>0.99999999999999978</v>
      </c>
    </row>
    <row r="897" spans="24:33" ht="31.5" x14ac:dyDescent="0.25">
      <c r="X897" s="278" t="s">
        <v>54</v>
      </c>
      <c r="Y897" s="11" t="s">
        <v>459</v>
      </c>
      <c r="Z897" s="1" t="s">
        <v>5</v>
      </c>
      <c r="AA897" s="529" t="s">
        <v>7</v>
      </c>
      <c r="AB897" s="163" t="s">
        <v>437</v>
      </c>
      <c r="AC897" s="317" t="s">
        <v>67</v>
      </c>
      <c r="AD897" s="168">
        <f>589672.4+119068.5-138570.3</f>
        <v>570170.60000000009</v>
      </c>
      <c r="AE897" s="168">
        <f>589672.4+119068.5-138570.3</f>
        <v>570170.60000000009</v>
      </c>
      <c r="AF897" s="168">
        <v>570170.6</v>
      </c>
      <c r="AG897" s="575">
        <f t="shared" si="324"/>
        <v>0.99999999999999978</v>
      </c>
    </row>
    <row r="898" spans="24:33" x14ac:dyDescent="0.25">
      <c r="X898" s="282" t="s">
        <v>402</v>
      </c>
      <c r="Y898" s="11" t="s">
        <v>459</v>
      </c>
      <c r="Z898" s="1" t="s">
        <v>5</v>
      </c>
      <c r="AA898" s="529" t="s">
        <v>7</v>
      </c>
      <c r="AB898" s="163" t="s">
        <v>403</v>
      </c>
      <c r="AC898" s="317"/>
      <c r="AD898" s="168">
        <f>AD899</f>
        <v>38981.5</v>
      </c>
      <c r="AE898" s="168">
        <f t="shared" ref="AE898:AF898" si="341">AE899</f>
        <v>38981.5</v>
      </c>
      <c r="AF898" s="168">
        <f t="shared" si="341"/>
        <v>38908.400000000001</v>
      </c>
      <c r="AG898" s="575">
        <f t="shared" si="324"/>
        <v>0.99812475148467872</v>
      </c>
    </row>
    <row r="899" spans="24:33" ht="47.25" x14ac:dyDescent="0.25">
      <c r="X899" s="278" t="s">
        <v>625</v>
      </c>
      <c r="Y899" s="11" t="s">
        <v>459</v>
      </c>
      <c r="Z899" s="209" t="s">
        <v>5</v>
      </c>
      <c r="AA899" s="529" t="s">
        <v>7</v>
      </c>
      <c r="AB899" s="163" t="s">
        <v>624</v>
      </c>
      <c r="AC899" s="317"/>
      <c r="AD899" s="168">
        <f t="shared" ref="AD899:AF900" si="342">AD900</f>
        <v>38981.5</v>
      </c>
      <c r="AE899" s="168">
        <f t="shared" si="342"/>
        <v>38981.5</v>
      </c>
      <c r="AF899" s="168">
        <f t="shared" si="342"/>
        <v>38908.400000000001</v>
      </c>
      <c r="AG899" s="575">
        <f t="shared" si="324"/>
        <v>0.99812475148467872</v>
      </c>
    </row>
    <row r="900" spans="24:33" x14ac:dyDescent="0.25">
      <c r="X900" s="278" t="s">
        <v>123</v>
      </c>
      <c r="Y900" s="11" t="s">
        <v>459</v>
      </c>
      <c r="Z900" s="209" t="s">
        <v>5</v>
      </c>
      <c r="AA900" s="529" t="s">
        <v>7</v>
      </c>
      <c r="AB900" s="163" t="s">
        <v>624</v>
      </c>
      <c r="AC900" s="317" t="s">
        <v>39</v>
      </c>
      <c r="AD900" s="168">
        <f t="shared" si="342"/>
        <v>38981.5</v>
      </c>
      <c r="AE900" s="168">
        <f t="shared" si="342"/>
        <v>38981.5</v>
      </c>
      <c r="AF900" s="168">
        <f t="shared" si="342"/>
        <v>38908.400000000001</v>
      </c>
      <c r="AG900" s="575">
        <f t="shared" si="324"/>
        <v>0.99812475148467872</v>
      </c>
    </row>
    <row r="901" spans="24:33" ht="31.5" x14ac:dyDescent="0.25">
      <c r="X901" s="278" t="s">
        <v>54</v>
      </c>
      <c r="Y901" s="11" t="s">
        <v>459</v>
      </c>
      <c r="Z901" s="209" t="s">
        <v>5</v>
      </c>
      <c r="AA901" s="529" t="s">
        <v>7</v>
      </c>
      <c r="AB901" s="163" t="s">
        <v>624</v>
      </c>
      <c r="AC901" s="317" t="s">
        <v>67</v>
      </c>
      <c r="AD901" s="168">
        <f>33280+6720-847.4-171.1</f>
        <v>38981.5</v>
      </c>
      <c r="AE901" s="168">
        <f>33280+6720-847.4-171.1</f>
        <v>38981.5</v>
      </c>
      <c r="AF901" s="168">
        <v>38908.400000000001</v>
      </c>
      <c r="AG901" s="575">
        <f t="shared" si="324"/>
        <v>0.99812475148467872</v>
      </c>
    </row>
    <row r="902" spans="24:33" ht="39.6" customHeight="1" x14ac:dyDescent="0.25">
      <c r="X902" s="284" t="s">
        <v>626</v>
      </c>
      <c r="Y902" s="11" t="s">
        <v>459</v>
      </c>
      <c r="Z902" s="1" t="s">
        <v>5</v>
      </c>
      <c r="AA902" s="529" t="s">
        <v>7</v>
      </c>
      <c r="AB902" s="163" t="s">
        <v>257</v>
      </c>
      <c r="AC902" s="317"/>
      <c r="AD902" s="168">
        <f t="shared" ref="AD902:AF909" si="343">AD903</f>
        <v>53872.7</v>
      </c>
      <c r="AE902" s="168">
        <f t="shared" si="343"/>
        <v>53852.7</v>
      </c>
      <c r="AF902" s="168">
        <f t="shared" si="343"/>
        <v>52867.199999999997</v>
      </c>
      <c r="AG902" s="575">
        <f t="shared" si="324"/>
        <v>0.98170008189004454</v>
      </c>
    </row>
    <row r="903" spans="24:33" ht="31.5" x14ac:dyDescent="0.25">
      <c r="X903" s="282" t="s">
        <v>627</v>
      </c>
      <c r="Y903" s="11" t="s">
        <v>459</v>
      </c>
      <c r="Z903" s="1" t="s">
        <v>5</v>
      </c>
      <c r="AA903" s="529" t="s">
        <v>7</v>
      </c>
      <c r="AB903" s="163" t="s">
        <v>258</v>
      </c>
      <c r="AC903" s="309"/>
      <c r="AD903" s="168">
        <f>AD908+AD911+AD904+AD914</f>
        <v>53872.7</v>
      </c>
      <c r="AE903" s="168">
        <f>AE908+AE911+AE904+AE914</f>
        <v>53852.7</v>
      </c>
      <c r="AF903" s="168">
        <f t="shared" ref="AF903" si="344">AF908+AF911+AF904+AF914</f>
        <v>52867.199999999997</v>
      </c>
      <c r="AG903" s="575">
        <f t="shared" si="324"/>
        <v>0.98170008189004454</v>
      </c>
    </row>
    <row r="904" spans="24:33" x14ac:dyDescent="0.25">
      <c r="X904" s="282" t="s">
        <v>671</v>
      </c>
      <c r="Y904" s="11" t="s">
        <v>459</v>
      </c>
      <c r="Z904" s="1" t="s">
        <v>5</v>
      </c>
      <c r="AA904" s="529" t="s">
        <v>7</v>
      </c>
      <c r="AB904" s="163" t="s">
        <v>259</v>
      </c>
      <c r="AC904" s="309"/>
      <c r="AD904" s="168">
        <f t="shared" ref="AD904:AE906" si="345">AD905</f>
        <v>20083.399999999998</v>
      </c>
      <c r="AE904" s="168">
        <f t="shared" si="345"/>
        <v>20083.399999999998</v>
      </c>
      <c r="AF904" s="168">
        <f t="shared" ref="AF904" si="346">AF905</f>
        <v>19764.2</v>
      </c>
      <c r="AG904" s="575">
        <f t="shared" si="324"/>
        <v>0.98410627682563723</v>
      </c>
    </row>
    <row r="905" spans="24:33" x14ac:dyDescent="0.25">
      <c r="X905" s="282" t="s">
        <v>698</v>
      </c>
      <c r="Y905" s="11" t="s">
        <v>459</v>
      </c>
      <c r="Z905" s="1" t="s">
        <v>5</v>
      </c>
      <c r="AA905" s="529" t="s">
        <v>7</v>
      </c>
      <c r="AB905" s="163" t="s">
        <v>699</v>
      </c>
      <c r="AC905" s="309"/>
      <c r="AD905" s="168">
        <f t="shared" si="345"/>
        <v>20083.399999999998</v>
      </c>
      <c r="AE905" s="168">
        <f t="shared" si="345"/>
        <v>20083.399999999998</v>
      </c>
      <c r="AF905" s="168">
        <f t="shared" ref="AF905" si="347">AF906</f>
        <v>19764.2</v>
      </c>
      <c r="AG905" s="575">
        <f t="shared" si="324"/>
        <v>0.98410627682563723</v>
      </c>
    </row>
    <row r="906" spans="24:33" x14ac:dyDescent="0.25">
      <c r="X906" s="278" t="s">
        <v>123</v>
      </c>
      <c r="Y906" s="11" t="s">
        <v>459</v>
      </c>
      <c r="Z906" s="1" t="s">
        <v>5</v>
      </c>
      <c r="AA906" s="529" t="s">
        <v>7</v>
      </c>
      <c r="AB906" s="163" t="s">
        <v>699</v>
      </c>
      <c r="AC906" s="311">
        <v>200</v>
      </c>
      <c r="AD906" s="168">
        <f t="shared" si="345"/>
        <v>20083.399999999998</v>
      </c>
      <c r="AE906" s="168">
        <f t="shared" si="345"/>
        <v>20083.399999999998</v>
      </c>
      <c r="AF906" s="168">
        <f t="shared" ref="AF906" si="348">AF907</f>
        <v>19764.2</v>
      </c>
      <c r="AG906" s="575">
        <f t="shared" si="324"/>
        <v>0.98410627682563723</v>
      </c>
    </row>
    <row r="907" spans="24:33" ht="31.5" x14ac:dyDescent="0.25">
      <c r="X907" s="278" t="s">
        <v>54</v>
      </c>
      <c r="Y907" s="11" t="s">
        <v>459</v>
      </c>
      <c r="Z907" s="1" t="s">
        <v>5</v>
      </c>
      <c r="AA907" s="529" t="s">
        <v>7</v>
      </c>
      <c r="AB907" s="163" t="s">
        <v>699</v>
      </c>
      <c r="AC907" s="309">
        <v>240</v>
      </c>
      <c r="AD907" s="168">
        <f>11470.1-11470.1+14403.4+1000+23279.8-23279.8+3500-100+100-20+1200</f>
        <v>20083.399999999998</v>
      </c>
      <c r="AE907" s="168">
        <f>11470.1-11470.1+14403.4+1000+23279.8-23279.8+3500-100+100-20+1200</f>
        <v>20083.399999999998</v>
      </c>
      <c r="AF907" s="168">
        <v>19764.2</v>
      </c>
      <c r="AG907" s="575">
        <f t="shared" si="324"/>
        <v>0.98410627682563723</v>
      </c>
    </row>
    <row r="908" spans="24:33" x14ac:dyDescent="0.25">
      <c r="X908" s="301" t="s">
        <v>666</v>
      </c>
      <c r="Y908" s="11" t="s">
        <v>459</v>
      </c>
      <c r="Z908" s="1" t="s">
        <v>5</v>
      </c>
      <c r="AA908" s="529" t="s">
        <v>7</v>
      </c>
      <c r="AB908" s="163" t="s">
        <v>665</v>
      </c>
      <c r="AC908" s="309"/>
      <c r="AD908" s="168">
        <f>AD909</f>
        <v>10154.1</v>
      </c>
      <c r="AE908" s="168">
        <f>AE909</f>
        <v>10154.1</v>
      </c>
      <c r="AF908" s="168">
        <f t="shared" si="343"/>
        <v>10019</v>
      </c>
      <c r="AG908" s="575">
        <f t="shared" si="324"/>
        <v>0.98669502959395705</v>
      </c>
    </row>
    <row r="909" spans="24:33" x14ac:dyDescent="0.25">
      <c r="X909" s="278" t="s">
        <v>123</v>
      </c>
      <c r="Y909" s="11" t="s">
        <v>459</v>
      </c>
      <c r="Z909" s="1" t="s">
        <v>5</v>
      </c>
      <c r="AA909" s="529" t="s">
        <v>7</v>
      </c>
      <c r="AB909" s="163" t="s">
        <v>665</v>
      </c>
      <c r="AC909" s="311">
        <v>200</v>
      </c>
      <c r="AD909" s="168">
        <f t="shared" si="343"/>
        <v>10154.1</v>
      </c>
      <c r="AE909" s="168">
        <f t="shared" si="343"/>
        <v>10154.1</v>
      </c>
      <c r="AF909" s="168">
        <f t="shared" si="343"/>
        <v>10019</v>
      </c>
      <c r="AG909" s="575">
        <f t="shared" si="324"/>
        <v>0.98669502959395705</v>
      </c>
    </row>
    <row r="910" spans="24:33" ht="31.5" x14ac:dyDescent="0.25">
      <c r="X910" s="278" t="s">
        <v>54</v>
      </c>
      <c r="Y910" s="11" t="s">
        <v>459</v>
      </c>
      <c r="Z910" s="1" t="s">
        <v>5</v>
      </c>
      <c r="AA910" s="529" t="s">
        <v>7</v>
      </c>
      <c r="AB910" s="163" t="s">
        <v>665</v>
      </c>
      <c r="AC910" s="309">
        <v>240</v>
      </c>
      <c r="AD910" s="168">
        <f>14403.4-14403.4+11470.1-966+231.9-350-231.9</f>
        <v>10154.1</v>
      </c>
      <c r="AE910" s="168">
        <f>14403.4-14403.4+11470.1-966+231.9-350-231.9</f>
        <v>10154.1</v>
      </c>
      <c r="AF910" s="168">
        <v>10019</v>
      </c>
      <c r="AG910" s="575">
        <f t="shared" si="324"/>
        <v>0.98669502959395705</v>
      </c>
    </row>
    <row r="911" spans="24:33" x14ac:dyDescent="0.25">
      <c r="X911" s="278" t="s">
        <v>489</v>
      </c>
      <c r="Y911" s="11" t="s">
        <v>459</v>
      </c>
      <c r="Z911" s="1" t="s">
        <v>5</v>
      </c>
      <c r="AA911" s="529" t="s">
        <v>7</v>
      </c>
      <c r="AB911" s="163" t="s">
        <v>445</v>
      </c>
      <c r="AC911" s="309"/>
      <c r="AD911" s="168">
        <f>AD912</f>
        <v>19689.900000000001</v>
      </c>
      <c r="AE911" s="168">
        <f>AE912</f>
        <v>19689.900000000001</v>
      </c>
      <c r="AF911" s="168">
        <f t="shared" ref="AF911" si="349">AF912</f>
        <v>19162.8</v>
      </c>
      <c r="AG911" s="575">
        <f t="shared" si="324"/>
        <v>0.97322993006566805</v>
      </c>
    </row>
    <row r="912" spans="24:33" x14ac:dyDescent="0.25">
      <c r="X912" s="278" t="s">
        <v>123</v>
      </c>
      <c r="Y912" s="11" t="s">
        <v>459</v>
      </c>
      <c r="Z912" s="1" t="s">
        <v>5</v>
      </c>
      <c r="AA912" s="529" t="s">
        <v>7</v>
      </c>
      <c r="AB912" s="163" t="s">
        <v>445</v>
      </c>
      <c r="AC912" s="311">
        <v>200</v>
      </c>
      <c r="AD912" s="168">
        <f>AD913</f>
        <v>19689.900000000001</v>
      </c>
      <c r="AE912" s="168">
        <f>AE913</f>
        <v>19689.900000000001</v>
      </c>
      <c r="AF912" s="168">
        <f t="shared" ref="AF912" si="350">AF913</f>
        <v>19162.8</v>
      </c>
      <c r="AG912" s="575">
        <f t="shared" si="324"/>
        <v>0.97322993006566805</v>
      </c>
    </row>
    <row r="913" spans="24:33" ht="31.5" x14ac:dyDescent="0.25">
      <c r="X913" s="278" t="s">
        <v>54</v>
      </c>
      <c r="Y913" s="11" t="s">
        <v>459</v>
      </c>
      <c r="Z913" s="1" t="s">
        <v>5</v>
      </c>
      <c r="AA913" s="529" t="s">
        <v>7</v>
      </c>
      <c r="AB913" s="163" t="s">
        <v>445</v>
      </c>
      <c r="AC913" s="309">
        <v>240</v>
      </c>
      <c r="AD913" s="168">
        <f>12115+6533.4+476.4-1434.9-3000+5000</f>
        <v>19689.900000000001</v>
      </c>
      <c r="AE913" s="168">
        <f>12115+6533.4+476.4-1434.9-3000+5000</f>
        <v>19689.900000000001</v>
      </c>
      <c r="AF913" s="168">
        <v>19162.8</v>
      </c>
      <c r="AG913" s="575">
        <f t="shared" si="324"/>
        <v>0.97322993006566805</v>
      </c>
    </row>
    <row r="914" spans="24:33" x14ac:dyDescent="0.25">
      <c r="X914" s="278" t="s">
        <v>475</v>
      </c>
      <c r="Y914" s="11" t="s">
        <v>459</v>
      </c>
      <c r="Z914" s="1" t="s">
        <v>5</v>
      </c>
      <c r="AA914" s="529" t="s">
        <v>7</v>
      </c>
      <c r="AB914" s="163" t="s">
        <v>476</v>
      </c>
      <c r="AC914" s="309"/>
      <c r="AD914" s="168">
        <f>AD915</f>
        <v>3945.3</v>
      </c>
      <c r="AE914" s="168">
        <f>AE915</f>
        <v>3925.3</v>
      </c>
      <c r="AF914" s="168">
        <f t="shared" ref="AF914:AF915" si="351">AF915</f>
        <v>3921.2</v>
      </c>
      <c r="AG914" s="575">
        <f t="shared" si="324"/>
        <v>0.99895549384760396</v>
      </c>
    </row>
    <row r="915" spans="24:33" x14ac:dyDescent="0.25">
      <c r="X915" s="278" t="s">
        <v>123</v>
      </c>
      <c r="Y915" s="11" t="s">
        <v>459</v>
      </c>
      <c r="Z915" s="1" t="s">
        <v>5</v>
      </c>
      <c r="AA915" s="529" t="s">
        <v>7</v>
      </c>
      <c r="AB915" s="163" t="s">
        <v>476</v>
      </c>
      <c r="AC915" s="311">
        <v>200</v>
      </c>
      <c r="AD915" s="168">
        <f>AD916</f>
        <v>3945.3</v>
      </c>
      <c r="AE915" s="168">
        <f>AE916</f>
        <v>3925.3</v>
      </c>
      <c r="AF915" s="168">
        <f t="shared" si="351"/>
        <v>3921.2</v>
      </c>
      <c r="AG915" s="575">
        <f t="shared" si="324"/>
        <v>0.99895549384760396</v>
      </c>
    </row>
    <row r="916" spans="24:33" ht="31.5" x14ac:dyDescent="0.25">
      <c r="X916" s="278" t="s">
        <v>54</v>
      </c>
      <c r="Y916" s="11" t="s">
        <v>459</v>
      </c>
      <c r="Z916" s="1" t="s">
        <v>5</v>
      </c>
      <c r="AA916" s="529" t="s">
        <v>7</v>
      </c>
      <c r="AB916" s="163" t="s">
        <v>476</v>
      </c>
      <c r="AC916" s="309">
        <v>240</v>
      </c>
      <c r="AD916" s="168">
        <f>3579.6+722.8-59.9-297.2</f>
        <v>3945.3</v>
      </c>
      <c r="AE916" s="168">
        <v>3925.3</v>
      </c>
      <c r="AF916" s="168">
        <v>3921.2</v>
      </c>
      <c r="AG916" s="575">
        <f t="shared" si="324"/>
        <v>0.99895549384760396</v>
      </c>
    </row>
    <row r="917" spans="24:33" x14ac:dyDescent="0.25">
      <c r="X917" s="284" t="s">
        <v>234</v>
      </c>
      <c r="Y917" s="11" t="s">
        <v>459</v>
      </c>
      <c r="Z917" s="1" t="s">
        <v>5</v>
      </c>
      <c r="AA917" s="529" t="s">
        <v>7</v>
      </c>
      <c r="AB917" s="163" t="s">
        <v>140</v>
      </c>
      <c r="AC917" s="309"/>
      <c r="AD917" s="168">
        <f t="shared" ref="AD917:AE920" si="352">AD918</f>
        <v>387.6</v>
      </c>
      <c r="AE917" s="168">
        <f t="shared" si="352"/>
        <v>387.6</v>
      </c>
      <c r="AF917" s="168">
        <f t="shared" ref="AF917:AF920" si="353">AF918</f>
        <v>387.6</v>
      </c>
      <c r="AG917" s="575">
        <f t="shared" ref="AG917:AG984" si="354">AF917/AE917</f>
        <v>1</v>
      </c>
    </row>
    <row r="918" spans="24:33" x14ac:dyDescent="0.25">
      <c r="X918" s="469" t="s">
        <v>470</v>
      </c>
      <c r="Y918" s="11" t="s">
        <v>459</v>
      </c>
      <c r="Z918" s="1" t="s">
        <v>5</v>
      </c>
      <c r="AA918" s="529" t="s">
        <v>7</v>
      </c>
      <c r="AB918" s="163" t="s">
        <v>471</v>
      </c>
      <c r="AC918" s="309"/>
      <c r="AD918" s="168">
        <f t="shared" si="352"/>
        <v>387.6</v>
      </c>
      <c r="AE918" s="168">
        <f t="shared" si="352"/>
        <v>387.6</v>
      </c>
      <c r="AF918" s="168">
        <f t="shared" si="353"/>
        <v>387.6</v>
      </c>
      <c r="AG918" s="575">
        <f t="shared" si="354"/>
        <v>1</v>
      </c>
    </row>
    <row r="919" spans="24:33" ht="47.25" x14ac:dyDescent="0.25">
      <c r="X919" s="278" t="s">
        <v>714</v>
      </c>
      <c r="Y919" s="11" t="s">
        <v>459</v>
      </c>
      <c r="Z919" s="1" t="s">
        <v>5</v>
      </c>
      <c r="AA919" s="529" t="s">
        <v>7</v>
      </c>
      <c r="AB919" s="163" t="s">
        <v>713</v>
      </c>
      <c r="AC919" s="309"/>
      <c r="AD919" s="168">
        <f t="shared" si="352"/>
        <v>387.6</v>
      </c>
      <c r="AE919" s="168">
        <f t="shared" si="352"/>
        <v>387.6</v>
      </c>
      <c r="AF919" s="168">
        <f t="shared" si="353"/>
        <v>387.6</v>
      </c>
      <c r="AG919" s="575">
        <f t="shared" si="354"/>
        <v>1</v>
      </c>
    </row>
    <row r="920" spans="24:33" x14ac:dyDescent="0.25">
      <c r="X920" s="278" t="s">
        <v>44</v>
      </c>
      <c r="Y920" s="11" t="s">
        <v>459</v>
      </c>
      <c r="Z920" s="1" t="s">
        <v>5</v>
      </c>
      <c r="AA920" s="529" t="s">
        <v>7</v>
      </c>
      <c r="AB920" s="163" t="s">
        <v>713</v>
      </c>
      <c r="AC920" s="309">
        <v>800</v>
      </c>
      <c r="AD920" s="168">
        <f t="shared" si="352"/>
        <v>387.6</v>
      </c>
      <c r="AE920" s="168">
        <f t="shared" si="352"/>
        <v>387.6</v>
      </c>
      <c r="AF920" s="168">
        <f t="shared" si="353"/>
        <v>387.6</v>
      </c>
      <c r="AG920" s="575">
        <f t="shared" si="354"/>
        <v>1</v>
      </c>
    </row>
    <row r="921" spans="24:33" x14ac:dyDescent="0.25">
      <c r="X921" s="278" t="s">
        <v>60</v>
      </c>
      <c r="Y921" s="11" t="s">
        <v>459</v>
      </c>
      <c r="Z921" s="1" t="s">
        <v>5</v>
      </c>
      <c r="AA921" s="529" t="s">
        <v>7</v>
      </c>
      <c r="AB921" s="163" t="s">
        <v>713</v>
      </c>
      <c r="AC921" s="309">
        <v>850</v>
      </c>
      <c r="AD921" s="168">
        <v>387.6</v>
      </c>
      <c r="AE921" s="168">
        <v>387.6</v>
      </c>
      <c r="AF921" s="168">
        <v>387.6</v>
      </c>
      <c r="AG921" s="575">
        <f t="shared" si="354"/>
        <v>1</v>
      </c>
    </row>
    <row r="922" spans="24:33" x14ac:dyDescent="0.25">
      <c r="X922" s="278" t="s">
        <v>29</v>
      </c>
      <c r="Y922" s="11" t="s">
        <v>459</v>
      </c>
      <c r="Z922" s="1" t="s">
        <v>5</v>
      </c>
      <c r="AA922" s="529" t="s">
        <v>5</v>
      </c>
      <c r="AB922" s="33"/>
      <c r="AC922" s="311"/>
      <c r="AD922" s="168">
        <f>AD937+AD923+AD931+AD959</f>
        <v>22815.7</v>
      </c>
      <c r="AE922" s="168">
        <f t="shared" ref="AE922:AF922" si="355">AE937+AE923+AE931+AE959</f>
        <v>22950.9</v>
      </c>
      <c r="AF922" s="168">
        <f t="shared" si="355"/>
        <v>22756.500000000004</v>
      </c>
      <c r="AG922" s="575">
        <f t="shared" si="354"/>
        <v>0.99152974393161064</v>
      </c>
    </row>
    <row r="923" spans="24:33" ht="39" customHeight="1" x14ac:dyDescent="0.25">
      <c r="X923" s="278" t="s">
        <v>685</v>
      </c>
      <c r="Y923" s="11" t="s">
        <v>459</v>
      </c>
      <c r="Z923" s="1" t="s">
        <v>5</v>
      </c>
      <c r="AA923" s="529" t="s">
        <v>5</v>
      </c>
      <c r="AB923" s="163" t="s">
        <v>114</v>
      </c>
      <c r="AC923" s="309"/>
      <c r="AD923" s="168">
        <f t="shared" ref="AD923:AE925" si="356">AD924</f>
        <v>435</v>
      </c>
      <c r="AE923" s="168">
        <f t="shared" si="356"/>
        <v>435</v>
      </c>
      <c r="AF923" s="168">
        <f t="shared" ref="AF923" si="357">AF924</f>
        <v>431.4</v>
      </c>
      <c r="AG923" s="575">
        <f t="shared" si="354"/>
        <v>0.99172413793103442</v>
      </c>
    </row>
    <row r="924" spans="24:33" x14ac:dyDescent="0.25">
      <c r="X924" s="278" t="s">
        <v>609</v>
      </c>
      <c r="Y924" s="11" t="s">
        <v>459</v>
      </c>
      <c r="Z924" s="1" t="s">
        <v>5</v>
      </c>
      <c r="AA924" s="529" t="s">
        <v>5</v>
      </c>
      <c r="AB924" s="163" t="s">
        <v>483</v>
      </c>
      <c r="AC924" s="309"/>
      <c r="AD924" s="168">
        <f t="shared" si="356"/>
        <v>435</v>
      </c>
      <c r="AE924" s="168">
        <f t="shared" si="356"/>
        <v>435</v>
      </c>
      <c r="AF924" s="168">
        <f t="shared" ref="AF924" si="358">AF925</f>
        <v>431.4</v>
      </c>
      <c r="AG924" s="575">
        <f t="shared" si="354"/>
        <v>0.99172413793103442</v>
      </c>
    </row>
    <row r="925" spans="24:33" ht="35.450000000000003" customHeight="1" x14ac:dyDescent="0.25">
      <c r="X925" s="278" t="s">
        <v>643</v>
      </c>
      <c r="Y925" s="11" t="s">
        <v>459</v>
      </c>
      <c r="Z925" s="1" t="s">
        <v>5</v>
      </c>
      <c r="AA925" s="529" t="s">
        <v>5</v>
      </c>
      <c r="AB925" s="163" t="s">
        <v>641</v>
      </c>
      <c r="AC925" s="309"/>
      <c r="AD925" s="168">
        <f t="shared" si="356"/>
        <v>435</v>
      </c>
      <c r="AE925" s="168">
        <f t="shared" si="356"/>
        <v>435</v>
      </c>
      <c r="AF925" s="168">
        <f t="shared" ref="AF925" si="359">AF926</f>
        <v>431.4</v>
      </c>
      <c r="AG925" s="575">
        <f t="shared" si="354"/>
        <v>0.99172413793103442</v>
      </c>
    </row>
    <row r="926" spans="24:33" ht="47.25" x14ac:dyDescent="0.25">
      <c r="X926" s="278" t="s">
        <v>484</v>
      </c>
      <c r="Y926" s="11" t="s">
        <v>459</v>
      </c>
      <c r="Z926" s="1" t="s">
        <v>5</v>
      </c>
      <c r="AA926" s="529" t="s">
        <v>5</v>
      </c>
      <c r="AB926" s="163" t="s">
        <v>642</v>
      </c>
      <c r="AC926" s="309"/>
      <c r="AD926" s="168">
        <f>AD927+AD929</f>
        <v>435</v>
      </c>
      <c r="AE926" s="168">
        <f>AE927+AE929</f>
        <v>435</v>
      </c>
      <c r="AF926" s="168">
        <f t="shared" ref="AF926" si="360">AF927+AF929</f>
        <v>431.4</v>
      </c>
      <c r="AG926" s="575">
        <f t="shared" si="354"/>
        <v>0.99172413793103442</v>
      </c>
    </row>
    <row r="927" spans="24:33" ht="47.25" x14ac:dyDescent="0.25">
      <c r="X927" s="278" t="s">
        <v>43</v>
      </c>
      <c r="Y927" s="11" t="s">
        <v>459</v>
      </c>
      <c r="Z927" s="1" t="s">
        <v>5</v>
      </c>
      <c r="AA927" s="529" t="s">
        <v>5</v>
      </c>
      <c r="AB927" s="163" t="s">
        <v>642</v>
      </c>
      <c r="AC927" s="309">
        <v>100</v>
      </c>
      <c r="AD927" s="168">
        <f>AD928</f>
        <v>412</v>
      </c>
      <c r="AE927" s="168">
        <f>AE928</f>
        <v>412</v>
      </c>
      <c r="AF927" s="168">
        <f t="shared" ref="AF927" si="361">AF928</f>
        <v>411.4</v>
      </c>
      <c r="AG927" s="575">
        <f t="shared" si="354"/>
        <v>0.99854368932038828</v>
      </c>
    </row>
    <row r="928" spans="24:33" x14ac:dyDescent="0.25">
      <c r="X928" s="278" t="s">
        <v>99</v>
      </c>
      <c r="Y928" s="11" t="s">
        <v>459</v>
      </c>
      <c r="Z928" s="1" t="s">
        <v>5</v>
      </c>
      <c r="AA928" s="529" t="s">
        <v>5</v>
      </c>
      <c r="AB928" s="163" t="s">
        <v>642</v>
      </c>
      <c r="AC928" s="309">
        <v>120</v>
      </c>
      <c r="AD928" s="168">
        <f>245+167</f>
        <v>412</v>
      </c>
      <c r="AE928" s="168">
        <f>245+167</f>
        <v>412</v>
      </c>
      <c r="AF928" s="168">
        <v>411.4</v>
      </c>
      <c r="AG928" s="575">
        <f t="shared" si="354"/>
        <v>0.99854368932038828</v>
      </c>
    </row>
    <row r="929" spans="24:33" x14ac:dyDescent="0.25">
      <c r="X929" s="278" t="s">
        <v>123</v>
      </c>
      <c r="Y929" s="11" t="s">
        <v>459</v>
      </c>
      <c r="Z929" s="1" t="s">
        <v>5</v>
      </c>
      <c r="AA929" s="529" t="s">
        <v>5</v>
      </c>
      <c r="AB929" s="163" t="s">
        <v>642</v>
      </c>
      <c r="AC929" s="309">
        <v>200</v>
      </c>
      <c r="AD929" s="168">
        <f>AD930</f>
        <v>23</v>
      </c>
      <c r="AE929" s="168">
        <f>AE930</f>
        <v>23</v>
      </c>
      <c r="AF929" s="168">
        <f t="shared" ref="AF929" si="362">AF930</f>
        <v>20</v>
      </c>
      <c r="AG929" s="575">
        <f t="shared" si="354"/>
        <v>0.86956521739130432</v>
      </c>
    </row>
    <row r="930" spans="24:33" ht="31.5" x14ac:dyDescent="0.25">
      <c r="X930" s="278" t="s">
        <v>54</v>
      </c>
      <c r="Y930" s="11" t="s">
        <v>459</v>
      </c>
      <c r="Z930" s="1" t="s">
        <v>5</v>
      </c>
      <c r="AA930" s="529" t="s">
        <v>5</v>
      </c>
      <c r="AB930" s="163" t="s">
        <v>642</v>
      </c>
      <c r="AC930" s="309">
        <v>240</v>
      </c>
      <c r="AD930" s="168">
        <v>23</v>
      </c>
      <c r="AE930" s="168">
        <v>23</v>
      </c>
      <c r="AF930" s="168">
        <v>20</v>
      </c>
      <c r="AG930" s="575">
        <f t="shared" si="354"/>
        <v>0.86956521739130432</v>
      </c>
    </row>
    <row r="931" spans="24:33" x14ac:dyDescent="0.25">
      <c r="X931" s="284" t="s">
        <v>193</v>
      </c>
      <c r="Y931" s="11" t="s">
        <v>459</v>
      </c>
      <c r="Z931" s="1" t="s">
        <v>5</v>
      </c>
      <c r="AA931" s="529" t="s">
        <v>5</v>
      </c>
      <c r="AB931" s="163" t="s">
        <v>115</v>
      </c>
      <c r="AC931" s="309"/>
      <c r="AD931" s="168">
        <f t="shared" ref="AD931:AE935" si="363">AD932</f>
        <v>111.19999999999999</v>
      </c>
      <c r="AE931" s="168">
        <f t="shared" si="363"/>
        <v>111.19999999999999</v>
      </c>
      <c r="AF931" s="168">
        <f t="shared" ref="AF931" si="364">AF932</f>
        <v>111.2</v>
      </c>
      <c r="AG931" s="575">
        <f t="shared" si="354"/>
        <v>1.0000000000000002</v>
      </c>
    </row>
    <row r="932" spans="24:33" x14ac:dyDescent="0.25">
      <c r="X932" s="284" t="s">
        <v>198</v>
      </c>
      <c r="Y932" s="11" t="s">
        <v>459</v>
      </c>
      <c r="Z932" s="1" t="s">
        <v>5</v>
      </c>
      <c r="AA932" s="529" t="s">
        <v>5</v>
      </c>
      <c r="AB932" s="163" t="s">
        <v>199</v>
      </c>
      <c r="AC932" s="309"/>
      <c r="AD932" s="168">
        <f t="shared" si="363"/>
        <v>111.19999999999999</v>
      </c>
      <c r="AE932" s="168">
        <f t="shared" si="363"/>
        <v>111.19999999999999</v>
      </c>
      <c r="AF932" s="168">
        <f t="shared" ref="AF932:AF935" si="365">AF933</f>
        <v>111.2</v>
      </c>
      <c r="AG932" s="575">
        <f t="shared" si="354"/>
        <v>1.0000000000000002</v>
      </c>
    </row>
    <row r="933" spans="24:33" ht="31.5" x14ac:dyDescent="0.25">
      <c r="X933" s="278" t="s">
        <v>615</v>
      </c>
      <c r="Y933" s="11" t="s">
        <v>459</v>
      </c>
      <c r="Z933" s="1" t="s">
        <v>5</v>
      </c>
      <c r="AA933" s="529" t="s">
        <v>5</v>
      </c>
      <c r="AB933" s="306" t="s">
        <v>616</v>
      </c>
      <c r="AC933" s="309"/>
      <c r="AD933" s="168">
        <f t="shared" si="363"/>
        <v>111.19999999999999</v>
      </c>
      <c r="AE933" s="168">
        <f t="shared" si="363"/>
        <v>111.19999999999999</v>
      </c>
      <c r="AF933" s="168">
        <f t="shared" si="365"/>
        <v>111.2</v>
      </c>
      <c r="AG933" s="575">
        <f t="shared" si="354"/>
        <v>1.0000000000000002</v>
      </c>
    </row>
    <row r="934" spans="24:33" ht="78.75" x14ac:dyDescent="0.25">
      <c r="X934" s="278" t="s">
        <v>449</v>
      </c>
      <c r="Y934" s="11" t="s">
        <v>459</v>
      </c>
      <c r="Z934" s="1" t="s">
        <v>5</v>
      </c>
      <c r="AA934" s="529" t="s">
        <v>5</v>
      </c>
      <c r="AB934" s="163" t="s">
        <v>617</v>
      </c>
      <c r="AC934" s="309"/>
      <c r="AD934" s="168">
        <f t="shared" si="363"/>
        <v>111.19999999999999</v>
      </c>
      <c r="AE934" s="168">
        <f t="shared" si="363"/>
        <v>111.19999999999999</v>
      </c>
      <c r="AF934" s="168">
        <f t="shared" si="365"/>
        <v>111.2</v>
      </c>
      <c r="AG934" s="575">
        <f t="shared" si="354"/>
        <v>1.0000000000000002</v>
      </c>
    </row>
    <row r="935" spans="24:33" x14ac:dyDescent="0.25">
      <c r="X935" s="278" t="s">
        <v>123</v>
      </c>
      <c r="Y935" s="11" t="s">
        <v>459</v>
      </c>
      <c r="Z935" s="1" t="s">
        <v>5</v>
      </c>
      <c r="AA935" s="529" t="s">
        <v>5</v>
      </c>
      <c r="AB935" s="163" t="s">
        <v>617</v>
      </c>
      <c r="AC935" s="309">
        <v>200</v>
      </c>
      <c r="AD935" s="168">
        <f t="shared" si="363"/>
        <v>111.19999999999999</v>
      </c>
      <c r="AE935" s="168">
        <f t="shared" si="363"/>
        <v>111.19999999999999</v>
      </c>
      <c r="AF935" s="168">
        <f t="shared" si="365"/>
        <v>111.2</v>
      </c>
      <c r="AG935" s="575">
        <f t="shared" si="354"/>
        <v>1.0000000000000002</v>
      </c>
    </row>
    <row r="936" spans="24:33" ht="31.5" x14ac:dyDescent="0.25">
      <c r="X936" s="278" t="s">
        <v>54</v>
      </c>
      <c r="Y936" s="11" t="s">
        <v>459</v>
      </c>
      <c r="Z936" s="1" t="s">
        <v>5</v>
      </c>
      <c r="AA936" s="529" t="s">
        <v>5</v>
      </c>
      <c r="AB936" s="163" t="s">
        <v>617</v>
      </c>
      <c r="AC936" s="309">
        <v>240</v>
      </c>
      <c r="AD936" s="168">
        <f>29.9+81.3</f>
        <v>111.19999999999999</v>
      </c>
      <c r="AE936" s="168">
        <f>29.9+81.3</f>
        <v>111.19999999999999</v>
      </c>
      <c r="AF936" s="168">
        <v>111.2</v>
      </c>
      <c r="AG936" s="575">
        <f t="shared" si="354"/>
        <v>1.0000000000000002</v>
      </c>
    </row>
    <row r="937" spans="24:33" x14ac:dyDescent="0.25">
      <c r="X937" s="284" t="s">
        <v>255</v>
      </c>
      <c r="Y937" s="11" t="s">
        <v>459</v>
      </c>
      <c r="Z937" s="1" t="s">
        <v>5</v>
      </c>
      <c r="AA937" s="529" t="s">
        <v>5</v>
      </c>
      <c r="AB937" s="163" t="s">
        <v>256</v>
      </c>
      <c r="AC937" s="311"/>
      <c r="AD937" s="168">
        <f>AD945+AD938</f>
        <v>22269.5</v>
      </c>
      <c r="AE937" s="168">
        <f>AE945+AE938</f>
        <v>22269.5</v>
      </c>
      <c r="AF937" s="168">
        <f t="shared" ref="AF937" si="366">AF945+AF938</f>
        <v>22078.7</v>
      </c>
      <c r="AG937" s="575">
        <f t="shared" si="354"/>
        <v>0.99143222793506813</v>
      </c>
    </row>
    <row r="938" spans="24:33" ht="37.15" customHeight="1" x14ac:dyDescent="0.25">
      <c r="X938" s="284" t="s">
        <v>626</v>
      </c>
      <c r="Y938" s="11" t="s">
        <v>459</v>
      </c>
      <c r="Z938" s="1" t="s">
        <v>5</v>
      </c>
      <c r="AA938" s="529" t="s">
        <v>5</v>
      </c>
      <c r="AB938" s="163" t="s">
        <v>257</v>
      </c>
      <c r="AC938" s="311"/>
      <c r="AD938" s="168">
        <f>AD939</f>
        <v>1395</v>
      </c>
      <c r="AE938" s="168">
        <f>AE939</f>
        <v>1395</v>
      </c>
      <c r="AF938" s="168">
        <f t="shared" ref="AF938:AF939" si="367">AF939</f>
        <v>1386.2</v>
      </c>
      <c r="AG938" s="575">
        <f t="shared" si="354"/>
        <v>0.99369175627240147</v>
      </c>
    </row>
    <row r="939" spans="24:33" ht="35.450000000000003" customHeight="1" x14ac:dyDescent="0.25">
      <c r="X939" s="282" t="s">
        <v>627</v>
      </c>
      <c r="Y939" s="11" t="s">
        <v>459</v>
      </c>
      <c r="Z939" s="1" t="s">
        <v>5</v>
      </c>
      <c r="AA939" s="529" t="s">
        <v>5</v>
      </c>
      <c r="AB939" s="163" t="s">
        <v>258</v>
      </c>
      <c r="AC939" s="311"/>
      <c r="AD939" s="168">
        <f>AD940</f>
        <v>1395</v>
      </c>
      <c r="AE939" s="168">
        <f>AE940</f>
        <v>1395</v>
      </c>
      <c r="AF939" s="168">
        <f t="shared" si="367"/>
        <v>1386.2</v>
      </c>
      <c r="AG939" s="575">
        <f t="shared" si="354"/>
        <v>0.99369175627240147</v>
      </c>
    </row>
    <row r="940" spans="24:33" ht="39" customHeight="1" x14ac:dyDescent="0.25">
      <c r="X940" s="297" t="s">
        <v>350</v>
      </c>
      <c r="Y940" s="11" t="s">
        <v>459</v>
      </c>
      <c r="Z940" s="1" t="s">
        <v>5</v>
      </c>
      <c r="AA940" s="529" t="s">
        <v>5</v>
      </c>
      <c r="AB940" s="163" t="s">
        <v>629</v>
      </c>
      <c r="AC940" s="309"/>
      <c r="AD940" s="168">
        <f>AD941+AD943</f>
        <v>1395</v>
      </c>
      <c r="AE940" s="168">
        <f>AE941+AE943</f>
        <v>1395</v>
      </c>
      <c r="AF940" s="168">
        <f t="shared" ref="AF940" si="368">AF941+AF943</f>
        <v>1386.2</v>
      </c>
      <c r="AG940" s="575">
        <f t="shared" si="354"/>
        <v>0.99369175627240147</v>
      </c>
    </row>
    <row r="941" spans="24:33" ht="47.25" x14ac:dyDescent="0.25">
      <c r="X941" s="297" t="s">
        <v>43</v>
      </c>
      <c r="Y941" s="11" t="s">
        <v>459</v>
      </c>
      <c r="Z941" s="1" t="s">
        <v>5</v>
      </c>
      <c r="AA941" s="529" t="s">
        <v>5</v>
      </c>
      <c r="AB941" s="163" t="s">
        <v>629</v>
      </c>
      <c r="AC941" s="309">
        <v>100</v>
      </c>
      <c r="AD941" s="168">
        <f>AD942</f>
        <v>1331</v>
      </c>
      <c r="AE941" s="168">
        <f>AE942</f>
        <v>1331</v>
      </c>
      <c r="AF941" s="168">
        <f>AF942</f>
        <v>1328.3</v>
      </c>
      <c r="AG941" s="575">
        <f t="shared" si="354"/>
        <v>0.99797145003756571</v>
      </c>
    </row>
    <row r="942" spans="24:33" x14ac:dyDescent="0.25">
      <c r="X942" s="297" t="s">
        <v>99</v>
      </c>
      <c r="Y942" s="11" t="s">
        <v>459</v>
      </c>
      <c r="Z942" s="1" t="s">
        <v>5</v>
      </c>
      <c r="AA942" s="529" t="s">
        <v>5</v>
      </c>
      <c r="AB942" s="163" t="s">
        <v>629</v>
      </c>
      <c r="AC942" s="309">
        <v>120</v>
      </c>
      <c r="AD942" s="168">
        <f>607+724</f>
        <v>1331</v>
      </c>
      <c r="AE942" s="168">
        <f>607+724</f>
        <v>1331</v>
      </c>
      <c r="AF942" s="168">
        <v>1328.3</v>
      </c>
      <c r="AG942" s="575">
        <f t="shared" si="354"/>
        <v>0.99797145003756571</v>
      </c>
    </row>
    <row r="943" spans="24:33" x14ac:dyDescent="0.25">
      <c r="X943" s="297" t="s">
        <v>123</v>
      </c>
      <c r="Y943" s="11" t="s">
        <v>459</v>
      </c>
      <c r="Z943" s="1" t="s">
        <v>5</v>
      </c>
      <c r="AA943" s="529" t="s">
        <v>5</v>
      </c>
      <c r="AB943" s="163" t="s">
        <v>629</v>
      </c>
      <c r="AC943" s="309">
        <v>200</v>
      </c>
      <c r="AD943" s="168">
        <f>AD944</f>
        <v>64</v>
      </c>
      <c r="AE943" s="168">
        <f>AE944</f>
        <v>64</v>
      </c>
      <c r="AF943" s="168">
        <f t="shared" ref="AF943" si="369">AF944</f>
        <v>57.9</v>
      </c>
      <c r="AG943" s="575">
        <f t="shared" si="354"/>
        <v>0.90468749999999998</v>
      </c>
    </row>
    <row r="944" spans="24:33" ht="31.5" x14ac:dyDescent="0.25">
      <c r="X944" s="297" t="s">
        <v>54</v>
      </c>
      <c r="Y944" s="11" t="s">
        <v>459</v>
      </c>
      <c r="Z944" s="1" t="s">
        <v>5</v>
      </c>
      <c r="AA944" s="529" t="s">
        <v>5</v>
      </c>
      <c r="AB944" s="163" t="s">
        <v>629</v>
      </c>
      <c r="AC944" s="309">
        <v>240</v>
      </c>
      <c r="AD944" s="168">
        <v>64</v>
      </c>
      <c r="AE944" s="168">
        <v>64</v>
      </c>
      <c r="AF944" s="168">
        <v>57.9</v>
      </c>
      <c r="AG944" s="575">
        <f t="shared" si="354"/>
        <v>0.90468749999999998</v>
      </c>
    </row>
    <row r="945" spans="24:33" x14ac:dyDescent="0.25">
      <c r="X945" s="284" t="s">
        <v>198</v>
      </c>
      <c r="Y945" s="11" t="s">
        <v>459</v>
      </c>
      <c r="Z945" s="1" t="s">
        <v>5</v>
      </c>
      <c r="AA945" s="529" t="s">
        <v>5</v>
      </c>
      <c r="AB945" s="163" t="s">
        <v>340</v>
      </c>
      <c r="AC945" s="309"/>
      <c r="AD945" s="168">
        <f t="shared" ref="AD945:AF946" si="370">AD946</f>
        <v>20874.5</v>
      </c>
      <c r="AE945" s="168">
        <f t="shared" si="370"/>
        <v>20874.5</v>
      </c>
      <c r="AF945" s="168">
        <f t="shared" si="370"/>
        <v>20692.5</v>
      </c>
      <c r="AG945" s="575">
        <f t="shared" si="354"/>
        <v>0.99128122829289322</v>
      </c>
    </row>
    <row r="946" spans="24:33" ht="31.5" x14ac:dyDescent="0.25">
      <c r="X946" s="284" t="s">
        <v>200</v>
      </c>
      <c r="Y946" s="11" t="s">
        <v>459</v>
      </c>
      <c r="Z946" s="1" t="s">
        <v>5</v>
      </c>
      <c r="AA946" s="529" t="s">
        <v>5</v>
      </c>
      <c r="AB946" s="163" t="s">
        <v>344</v>
      </c>
      <c r="AC946" s="311"/>
      <c r="AD946" s="168">
        <f>AD947</f>
        <v>20874.5</v>
      </c>
      <c r="AE946" s="168">
        <f>AE947</f>
        <v>20874.5</v>
      </c>
      <c r="AF946" s="168">
        <f t="shared" si="370"/>
        <v>20692.5</v>
      </c>
      <c r="AG946" s="575">
        <f t="shared" si="354"/>
        <v>0.99128122829289322</v>
      </c>
    </row>
    <row r="947" spans="24:33" x14ac:dyDescent="0.25">
      <c r="X947" s="282" t="s">
        <v>214</v>
      </c>
      <c r="Y947" s="11" t="s">
        <v>459</v>
      </c>
      <c r="Z947" s="1" t="s">
        <v>5</v>
      </c>
      <c r="AA947" s="529" t="s">
        <v>5</v>
      </c>
      <c r="AB947" s="163" t="s">
        <v>632</v>
      </c>
      <c r="AC947" s="311"/>
      <c r="AD947" s="168">
        <f>AD948+AD953+AD956</f>
        <v>20874.5</v>
      </c>
      <c r="AE947" s="168">
        <f>AE948+AE953+AE956</f>
        <v>20874.5</v>
      </c>
      <c r="AF947" s="168">
        <f>AF948+AF953+AF956</f>
        <v>20692.5</v>
      </c>
      <c r="AG947" s="575">
        <f t="shared" si="354"/>
        <v>0.99128122829289322</v>
      </c>
    </row>
    <row r="948" spans="24:33" ht="31.5" x14ac:dyDescent="0.25">
      <c r="X948" s="278" t="s">
        <v>215</v>
      </c>
      <c r="Y948" s="11" t="s">
        <v>459</v>
      </c>
      <c r="Z948" s="1" t="s">
        <v>5</v>
      </c>
      <c r="AA948" s="529" t="s">
        <v>5</v>
      </c>
      <c r="AB948" s="163" t="s">
        <v>633</v>
      </c>
      <c r="AC948" s="309"/>
      <c r="AD948" s="168">
        <f>AD949+AD951</f>
        <v>2049.4999999999995</v>
      </c>
      <c r="AE948" s="168">
        <f>AE949+AE951</f>
        <v>2049.4999999999995</v>
      </c>
      <c r="AF948" s="168">
        <f>AF949+AF951</f>
        <v>1893</v>
      </c>
      <c r="AG948" s="575">
        <f t="shared" si="354"/>
        <v>0.92363991217370112</v>
      </c>
    </row>
    <row r="949" spans="24:33" x14ac:dyDescent="0.25">
      <c r="X949" s="278" t="s">
        <v>123</v>
      </c>
      <c r="Y949" s="11" t="s">
        <v>459</v>
      </c>
      <c r="Z949" s="1" t="s">
        <v>5</v>
      </c>
      <c r="AA949" s="529" t="s">
        <v>5</v>
      </c>
      <c r="AB949" s="163" t="s">
        <v>633</v>
      </c>
      <c r="AC949" s="309">
        <v>200</v>
      </c>
      <c r="AD949" s="168">
        <f t="shared" ref="AD949:AF949" si="371">AD950</f>
        <v>2034.1999999999996</v>
      </c>
      <c r="AE949" s="168">
        <f t="shared" si="371"/>
        <v>2034.1999999999996</v>
      </c>
      <c r="AF949" s="168">
        <f t="shared" si="371"/>
        <v>1877.7</v>
      </c>
      <c r="AG949" s="575">
        <f t="shared" si="354"/>
        <v>0.92306557860584038</v>
      </c>
    </row>
    <row r="950" spans="24:33" ht="31.5" x14ac:dyDescent="0.25">
      <c r="X950" s="278" t="s">
        <v>54</v>
      </c>
      <c r="Y950" s="11" t="s">
        <v>459</v>
      </c>
      <c r="Z950" s="1" t="s">
        <v>5</v>
      </c>
      <c r="AA950" s="529" t="s">
        <v>5</v>
      </c>
      <c r="AB950" s="163" t="s">
        <v>633</v>
      </c>
      <c r="AC950" s="309">
        <v>240</v>
      </c>
      <c r="AD950" s="168">
        <f>2086.9-257.2+73.8+257.2-15.3-29.9-81.3</f>
        <v>2034.1999999999996</v>
      </c>
      <c r="AE950" s="168">
        <f>2086.9-257.2+73.8+257.2-15.3-29.9-81.3</f>
        <v>2034.1999999999996</v>
      </c>
      <c r="AF950" s="168">
        <v>1877.7</v>
      </c>
      <c r="AG950" s="575">
        <f t="shared" si="354"/>
        <v>0.92306557860584038</v>
      </c>
    </row>
    <row r="951" spans="24:33" x14ac:dyDescent="0.25">
      <c r="X951" s="278" t="s">
        <v>44</v>
      </c>
      <c r="Y951" s="11" t="s">
        <v>459</v>
      </c>
      <c r="Z951" s="1" t="s">
        <v>5</v>
      </c>
      <c r="AA951" s="529" t="s">
        <v>5</v>
      </c>
      <c r="AB951" s="163" t="s">
        <v>633</v>
      </c>
      <c r="AC951" s="309">
        <v>800</v>
      </c>
      <c r="AD951" s="168">
        <f>AD952</f>
        <v>15.3</v>
      </c>
      <c r="AE951" s="168">
        <f>AE952</f>
        <v>15.3</v>
      </c>
      <c r="AF951" s="168">
        <f t="shared" ref="AF951" si="372">AF952</f>
        <v>15.3</v>
      </c>
      <c r="AG951" s="575">
        <f t="shared" si="354"/>
        <v>1</v>
      </c>
    </row>
    <row r="952" spans="24:33" x14ac:dyDescent="0.25">
      <c r="X952" s="278" t="s">
        <v>60</v>
      </c>
      <c r="Y952" s="11" t="s">
        <v>459</v>
      </c>
      <c r="Z952" s="1" t="s">
        <v>5</v>
      </c>
      <c r="AA952" s="529" t="s">
        <v>5</v>
      </c>
      <c r="AB952" s="163" t="s">
        <v>633</v>
      </c>
      <c r="AC952" s="309">
        <v>850</v>
      </c>
      <c r="AD952" s="168">
        <v>15.3</v>
      </c>
      <c r="AE952" s="168">
        <v>15.3</v>
      </c>
      <c r="AF952" s="168">
        <v>15.3</v>
      </c>
      <c r="AG952" s="575">
        <f t="shared" si="354"/>
        <v>1</v>
      </c>
    </row>
    <row r="953" spans="24:33" ht="31.5" x14ac:dyDescent="0.25">
      <c r="X953" s="278" t="s">
        <v>216</v>
      </c>
      <c r="Y953" s="11" t="s">
        <v>459</v>
      </c>
      <c r="Z953" s="1" t="s">
        <v>5</v>
      </c>
      <c r="AA953" s="529" t="s">
        <v>5</v>
      </c>
      <c r="AB953" s="163" t="s">
        <v>634</v>
      </c>
      <c r="AC953" s="309"/>
      <c r="AD953" s="168">
        <f t="shared" ref="AD953:AF954" si="373">AD954</f>
        <v>11762.500000000002</v>
      </c>
      <c r="AE953" s="168">
        <f t="shared" si="373"/>
        <v>11762.500000000002</v>
      </c>
      <c r="AF953" s="168">
        <f t="shared" si="373"/>
        <v>11758.6</v>
      </c>
      <c r="AG953" s="575">
        <f t="shared" si="354"/>
        <v>0.99966843783209336</v>
      </c>
    </row>
    <row r="954" spans="24:33" ht="47.25" x14ac:dyDescent="0.25">
      <c r="X954" s="278" t="s">
        <v>43</v>
      </c>
      <c r="Y954" s="11" t="s">
        <v>459</v>
      </c>
      <c r="Z954" s="1" t="s">
        <v>5</v>
      </c>
      <c r="AA954" s="529" t="s">
        <v>5</v>
      </c>
      <c r="AB954" s="163" t="s">
        <v>634</v>
      </c>
      <c r="AC954" s="309">
        <v>100</v>
      </c>
      <c r="AD954" s="168">
        <f t="shared" si="373"/>
        <v>11762.500000000002</v>
      </c>
      <c r="AE954" s="168">
        <f t="shared" si="373"/>
        <v>11762.500000000002</v>
      </c>
      <c r="AF954" s="168">
        <f t="shared" si="373"/>
        <v>11758.6</v>
      </c>
      <c r="AG954" s="575">
        <f t="shared" si="354"/>
        <v>0.99966843783209336</v>
      </c>
    </row>
    <row r="955" spans="24:33" x14ac:dyDescent="0.25">
      <c r="X955" s="278" t="s">
        <v>99</v>
      </c>
      <c r="Y955" s="11" t="s">
        <v>459</v>
      </c>
      <c r="Z955" s="1" t="s">
        <v>5</v>
      </c>
      <c r="AA955" s="529" t="s">
        <v>5</v>
      </c>
      <c r="AB955" s="163" t="s">
        <v>634</v>
      </c>
      <c r="AC955" s="309">
        <v>120</v>
      </c>
      <c r="AD955" s="168">
        <f>10659.7+55.2+1047.6</f>
        <v>11762.500000000002</v>
      </c>
      <c r="AE955" s="168">
        <f>10659.7+55.2+1047.6</f>
        <v>11762.500000000002</v>
      </c>
      <c r="AF955" s="168">
        <v>11758.6</v>
      </c>
      <c r="AG955" s="575">
        <f t="shared" si="354"/>
        <v>0.99966843783209336</v>
      </c>
    </row>
    <row r="956" spans="24:33" ht="31.5" x14ac:dyDescent="0.25">
      <c r="X956" s="278" t="s">
        <v>217</v>
      </c>
      <c r="Y956" s="11" t="s">
        <v>459</v>
      </c>
      <c r="Z956" s="1" t="s">
        <v>5</v>
      </c>
      <c r="AA956" s="529" t="s">
        <v>5</v>
      </c>
      <c r="AB956" s="163" t="s">
        <v>635</v>
      </c>
      <c r="AC956" s="309"/>
      <c r="AD956" s="168">
        <f t="shared" ref="AD956:AF957" si="374">AD957</f>
        <v>7062.5</v>
      </c>
      <c r="AE956" s="168">
        <f t="shared" si="374"/>
        <v>7062.5</v>
      </c>
      <c r="AF956" s="168">
        <f t="shared" si="374"/>
        <v>7040.9</v>
      </c>
      <c r="AG956" s="575">
        <f t="shared" si="354"/>
        <v>0.99694159292035389</v>
      </c>
    </row>
    <row r="957" spans="24:33" ht="47.25" x14ac:dyDescent="0.25">
      <c r="X957" s="278" t="s">
        <v>43</v>
      </c>
      <c r="Y957" s="11" t="s">
        <v>459</v>
      </c>
      <c r="Z957" s="1" t="s">
        <v>5</v>
      </c>
      <c r="AA957" s="529" t="s">
        <v>5</v>
      </c>
      <c r="AB957" s="163" t="s">
        <v>635</v>
      </c>
      <c r="AC957" s="309">
        <v>100</v>
      </c>
      <c r="AD957" s="168">
        <f t="shared" si="374"/>
        <v>7062.5</v>
      </c>
      <c r="AE957" s="168">
        <f t="shared" si="374"/>
        <v>7062.5</v>
      </c>
      <c r="AF957" s="168">
        <f t="shared" si="374"/>
        <v>7040.9</v>
      </c>
      <c r="AG957" s="575">
        <f t="shared" si="354"/>
        <v>0.99694159292035389</v>
      </c>
    </row>
    <row r="958" spans="24:33" x14ac:dyDescent="0.25">
      <c r="X958" s="278" t="s">
        <v>99</v>
      </c>
      <c r="Y958" s="11" t="s">
        <v>459</v>
      </c>
      <c r="Z958" s="1" t="s">
        <v>5</v>
      </c>
      <c r="AA958" s="529" t="s">
        <v>5</v>
      </c>
      <c r="AB958" s="163" t="s">
        <v>635</v>
      </c>
      <c r="AC958" s="309">
        <v>120</v>
      </c>
      <c r="AD958" s="168">
        <f>7217.3-99.6-55.2</f>
        <v>7062.5</v>
      </c>
      <c r="AE958" s="168">
        <f>7217.3-99.6-55.2</f>
        <v>7062.5</v>
      </c>
      <c r="AF958" s="168">
        <v>7040.9</v>
      </c>
      <c r="AG958" s="575">
        <f t="shared" si="354"/>
        <v>0.99694159292035389</v>
      </c>
    </row>
    <row r="959" spans="24:33" x14ac:dyDescent="0.25">
      <c r="X959" s="280" t="s">
        <v>234</v>
      </c>
      <c r="Y959" s="11" t="s">
        <v>459</v>
      </c>
      <c r="Z959" s="1" t="s">
        <v>5</v>
      </c>
      <c r="AA959" s="529" t="s">
        <v>5</v>
      </c>
      <c r="AB959" s="163" t="s">
        <v>140</v>
      </c>
      <c r="AC959" s="322"/>
      <c r="AD959" s="168">
        <f>AD960</f>
        <v>0</v>
      </c>
      <c r="AE959" s="168">
        <f t="shared" ref="AE959:AF959" si="375">AE960</f>
        <v>135.19999999999999</v>
      </c>
      <c r="AF959" s="168">
        <f t="shared" si="375"/>
        <v>135.19999999999999</v>
      </c>
      <c r="AG959" s="575">
        <f t="shared" si="354"/>
        <v>1</v>
      </c>
    </row>
    <row r="960" spans="24:33" ht="31.5" x14ac:dyDescent="0.25">
      <c r="X960" s="284" t="s">
        <v>798</v>
      </c>
      <c r="Y960" s="11" t="s">
        <v>459</v>
      </c>
      <c r="Z960" s="1" t="s">
        <v>5</v>
      </c>
      <c r="AA960" s="529" t="s">
        <v>5</v>
      </c>
      <c r="AB960" s="163" t="s">
        <v>799</v>
      </c>
      <c r="AC960" s="322"/>
      <c r="AD960" s="168">
        <f>AD961</f>
        <v>0</v>
      </c>
      <c r="AE960" s="168">
        <f t="shared" ref="AE960:AF960" si="376">AE961</f>
        <v>135.19999999999999</v>
      </c>
      <c r="AF960" s="168">
        <f t="shared" si="376"/>
        <v>135.19999999999999</v>
      </c>
      <c r="AG960" s="575">
        <f t="shared" si="354"/>
        <v>1</v>
      </c>
    </row>
    <row r="961" spans="24:33" ht="47.25" x14ac:dyDescent="0.25">
      <c r="X961" s="278" t="s">
        <v>43</v>
      </c>
      <c r="Y961" s="11" t="s">
        <v>459</v>
      </c>
      <c r="Z961" s="1" t="s">
        <v>5</v>
      </c>
      <c r="AA961" s="529" t="s">
        <v>5</v>
      </c>
      <c r="AB961" s="163" t="s">
        <v>799</v>
      </c>
      <c r="AC961" s="311">
        <v>100</v>
      </c>
      <c r="AD961" s="168">
        <f>AD962</f>
        <v>0</v>
      </c>
      <c r="AE961" s="168">
        <f t="shared" ref="AE961:AF961" si="377">AE962</f>
        <v>135.19999999999999</v>
      </c>
      <c r="AF961" s="168">
        <f t="shared" si="377"/>
        <v>135.19999999999999</v>
      </c>
      <c r="AG961" s="575">
        <f t="shared" si="354"/>
        <v>1</v>
      </c>
    </row>
    <row r="962" spans="24:33" x14ac:dyDescent="0.25">
      <c r="X962" s="278" t="s">
        <v>99</v>
      </c>
      <c r="Y962" s="11" t="s">
        <v>459</v>
      </c>
      <c r="Z962" s="1" t="s">
        <v>5</v>
      </c>
      <c r="AA962" s="529" t="s">
        <v>5</v>
      </c>
      <c r="AB962" s="163" t="s">
        <v>799</v>
      </c>
      <c r="AC962" s="311">
        <v>120</v>
      </c>
      <c r="AD962" s="168">
        <v>0</v>
      </c>
      <c r="AE962" s="168">
        <v>135.19999999999999</v>
      </c>
      <c r="AF962" s="168">
        <v>135.19999999999999</v>
      </c>
      <c r="AG962" s="575">
        <f t="shared" si="354"/>
        <v>1</v>
      </c>
    </row>
    <row r="963" spans="24:33" x14ac:dyDescent="0.25">
      <c r="X963" s="279" t="s">
        <v>41</v>
      </c>
      <c r="Y963" s="199" t="s">
        <v>459</v>
      </c>
      <c r="Z963" s="12" t="s">
        <v>98</v>
      </c>
      <c r="AA963" s="529"/>
      <c r="AB963" s="33"/>
      <c r="AC963" s="309"/>
      <c r="AD963" s="170">
        <f>AD964</f>
        <v>617831.5</v>
      </c>
      <c r="AE963" s="170">
        <f>AE964</f>
        <v>617831.5</v>
      </c>
      <c r="AF963" s="170">
        <f>AF964</f>
        <v>617831.5</v>
      </c>
      <c r="AG963" s="574">
        <f t="shared" si="354"/>
        <v>1</v>
      </c>
    </row>
    <row r="964" spans="24:33" x14ac:dyDescent="0.25">
      <c r="X964" s="278" t="s">
        <v>95</v>
      </c>
      <c r="Y964" s="11" t="s">
        <v>459</v>
      </c>
      <c r="Z964" s="18" t="s">
        <v>98</v>
      </c>
      <c r="AA964" s="529" t="s">
        <v>32</v>
      </c>
      <c r="AB964" s="33"/>
      <c r="AC964" s="309"/>
      <c r="AD964" s="168">
        <f t="shared" ref="AD964:AF970" si="378">AD965</f>
        <v>617831.5</v>
      </c>
      <c r="AE964" s="168">
        <f t="shared" si="378"/>
        <v>617831.5</v>
      </c>
      <c r="AF964" s="168">
        <f t="shared" si="378"/>
        <v>617831.5</v>
      </c>
      <c r="AG964" s="575">
        <f t="shared" si="354"/>
        <v>1</v>
      </c>
    </row>
    <row r="965" spans="24:33" ht="31.15" customHeight="1" x14ac:dyDescent="0.25">
      <c r="X965" s="280" t="s">
        <v>724</v>
      </c>
      <c r="Y965" s="11" t="s">
        <v>459</v>
      </c>
      <c r="Z965" s="18" t="s">
        <v>98</v>
      </c>
      <c r="AA965" s="529" t="s">
        <v>32</v>
      </c>
      <c r="AB965" s="163" t="s">
        <v>114</v>
      </c>
      <c r="AC965" s="309"/>
      <c r="AD965" s="168">
        <f t="shared" si="378"/>
        <v>617831.5</v>
      </c>
      <c r="AE965" s="168">
        <f t="shared" si="378"/>
        <v>617831.5</v>
      </c>
      <c r="AF965" s="168">
        <f t="shared" si="378"/>
        <v>617831.5</v>
      </c>
      <c r="AG965" s="575">
        <f t="shared" si="354"/>
        <v>1</v>
      </c>
    </row>
    <row r="966" spans="24:33" x14ac:dyDescent="0.25">
      <c r="X966" s="280" t="s">
        <v>687</v>
      </c>
      <c r="Y966" s="11" t="s">
        <v>459</v>
      </c>
      <c r="Z966" s="18" t="s">
        <v>98</v>
      </c>
      <c r="AA966" s="529" t="s">
        <v>32</v>
      </c>
      <c r="AB966" s="163" t="s">
        <v>688</v>
      </c>
      <c r="AC966" s="309"/>
      <c r="AD966" s="168">
        <f>AD967</f>
        <v>617831.5</v>
      </c>
      <c r="AE966" s="168">
        <f>AE967</f>
        <v>617831.5</v>
      </c>
      <c r="AF966" s="168">
        <f t="shared" si="378"/>
        <v>617831.5</v>
      </c>
      <c r="AG966" s="575">
        <f t="shared" si="354"/>
        <v>1</v>
      </c>
    </row>
    <row r="967" spans="24:33" x14ac:dyDescent="0.25">
      <c r="X967" s="281" t="s">
        <v>689</v>
      </c>
      <c r="Y967" s="11" t="s">
        <v>459</v>
      </c>
      <c r="Z967" s="18" t="s">
        <v>98</v>
      </c>
      <c r="AA967" s="529" t="s">
        <v>32</v>
      </c>
      <c r="AB967" s="163" t="s">
        <v>690</v>
      </c>
      <c r="AC967" s="317"/>
      <c r="AD967" s="168">
        <f t="shared" si="378"/>
        <v>617831.5</v>
      </c>
      <c r="AE967" s="168">
        <f t="shared" si="378"/>
        <v>617831.5</v>
      </c>
      <c r="AF967" s="168">
        <f t="shared" si="378"/>
        <v>617831.5</v>
      </c>
      <c r="AG967" s="575">
        <f t="shared" si="354"/>
        <v>1</v>
      </c>
    </row>
    <row r="968" spans="24:33" x14ac:dyDescent="0.25">
      <c r="X968" s="281" t="s">
        <v>691</v>
      </c>
      <c r="Y968" s="11" t="s">
        <v>459</v>
      </c>
      <c r="Z968" s="18" t="s">
        <v>98</v>
      </c>
      <c r="AA968" s="529" t="s">
        <v>32</v>
      </c>
      <c r="AB968" s="163" t="s">
        <v>692</v>
      </c>
      <c r="AC968" s="317"/>
      <c r="AD968" s="168">
        <f>AD969</f>
        <v>617831.5</v>
      </c>
      <c r="AE968" s="168">
        <f>AE969</f>
        <v>617831.5</v>
      </c>
      <c r="AF968" s="168">
        <f t="shared" si="378"/>
        <v>617831.5</v>
      </c>
      <c r="AG968" s="575">
        <f t="shared" si="354"/>
        <v>1</v>
      </c>
    </row>
    <row r="969" spans="24:33" ht="31.5" x14ac:dyDescent="0.25">
      <c r="X969" s="281" t="s">
        <v>693</v>
      </c>
      <c r="Y969" s="11" t="s">
        <v>459</v>
      </c>
      <c r="Z969" s="18" t="s">
        <v>98</v>
      </c>
      <c r="AA969" s="529" t="s">
        <v>32</v>
      </c>
      <c r="AB969" s="163" t="s">
        <v>694</v>
      </c>
      <c r="AC969" s="317"/>
      <c r="AD969" s="168">
        <f t="shared" si="378"/>
        <v>617831.5</v>
      </c>
      <c r="AE969" s="168">
        <f t="shared" si="378"/>
        <v>617831.5</v>
      </c>
      <c r="AF969" s="168">
        <f t="shared" si="378"/>
        <v>617831.5</v>
      </c>
      <c r="AG969" s="575">
        <f t="shared" si="354"/>
        <v>1</v>
      </c>
    </row>
    <row r="970" spans="24:33" x14ac:dyDescent="0.25">
      <c r="X970" s="408" t="s">
        <v>157</v>
      </c>
      <c r="Y970" s="11" t="s">
        <v>459</v>
      </c>
      <c r="Z970" s="18" t="s">
        <v>98</v>
      </c>
      <c r="AA970" s="529" t="s">
        <v>32</v>
      </c>
      <c r="AB970" s="163" t="s">
        <v>694</v>
      </c>
      <c r="AC970" s="317" t="s">
        <v>158</v>
      </c>
      <c r="AD970" s="168">
        <f t="shared" si="378"/>
        <v>617831.5</v>
      </c>
      <c r="AE970" s="168">
        <f t="shared" si="378"/>
        <v>617831.5</v>
      </c>
      <c r="AF970" s="168">
        <f t="shared" si="378"/>
        <v>617831.5</v>
      </c>
      <c r="AG970" s="575">
        <f t="shared" si="354"/>
        <v>1</v>
      </c>
    </row>
    <row r="971" spans="24:33" x14ac:dyDescent="0.25">
      <c r="X971" s="278" t="s">
        <v>9</v>
      </c>
      <c r="Y971" s="11" t="s">
        <v>459</v>
      </c>
      <c r="Z971" s="18" t="s">
        <v>98</v>
      </c>
      <c r="AA971" s="529" t="s">
        <v>32</v>
      </c>
      <c r="AB971" s="163" t="s">
        <v>694</v>
      </c>
      <c r="AC971" s="317" t="s">
        <v>159</v>
      </c>
      <c r="AD971" s="168">
        <f>611653+6178.5</f>
        <v>617831.5</v>
      </c>
      <c r="AE971" s="168">
        <f>611653+6178.5</f>
        <v>617831.5</v>
      </c>
      <c r="AF971" s="168">
        <v>617831.5</v>
      </c>
      <c r="AG971" s="575">
        <f t="shared" si="354"/>
        <v>1</v>
      </c>
    </row>
    <row r="972" spans="24:33" x14ac:dyDescent="0.25">
      <c r="X972" s="279" t="s">
        <v>4</v>
      </c>
      <c r="Y972" s="199" t="s">
        <v>459</v>
      </c>
      <c r="Z972" s="12" t="s">
        <v>8</v>
      </c>
      <c r="AA972" s="529"/>
      <c r="AB972" s="33"/>
      <c r="AC972" s="309"/>
      <c r="AD972" s="170">
        <f t="shared" ref="AD972:AF973" si="379">AD973</f>
        <v>523737.89999999997</v>
      </c>
      <c r="AE972" s="170">
        <f t="shared" si="379"/>
        <v>516906.10000000003</v>
      </c>
      <c r="AF972" s="170">
        <f t="shared" si="379"/>
        <v>515355.89999999997</v>
      </c>
      <c r="AG972" s="575">
        <f t="shared" si="354"/>
        <v>0.99700100269662117</v>
      </c>
    </row>
    <row r="973" spans="24:33" x14ac:dyDescent="0.25">
      <c r="X973" s="278" t="s">
        <v>36</v>
      </c>
      <c r="Y973" s="11" t="s">
        <v>459</v>
      </c>
      <c r="Z973" s="2" t="s">
        <v>8</v>
      </c>
      <c r="AA973" s="529" t="s">
        <v>32</v>
      </c>
      <c r="AB973" s="33"/>
      <c r="AC973" s="309"/>
      <c r="AD973" s="168">
        <f t="shared" ref="AD973:AE975" si="380">AD974</f>
        <v>523737.89999999997</v>
      </c>
      <c r="AE973" s="168">
        <f t="shared" si="380"/>
        <v>516906.10000000003</v>
      </c>
      <c r="AF973" s="168">
        <f t="shared" si="379"/>
        <v>515355.89999999997</v>
      </c>
      <c r="AG973" s="575">
        <f t="shared" si="354"/>
        <v>0.99700100269662117</v>
      </c>
    </row>
    <row r="974" spans="24:33" x14ac:dyDescent="0.25">
      <c r="X974" s="280" t="s">
        <v>278</v>
      </c>
      <c r="Y974" s="11" t="s">
        <v>459</v>
      </c>
      <c r="Z974" s="2" t="s">
        <v>8</v>
      </c>
      <c r="AA974" s="529" t="s">
        <v>32</v>
      </c>
      <c r="AB974" s="163" t="s">
        <v>103</v>
      </c>
      <c r="AC974" s="309"/>
      <c r="AD974" s="168">
        <f t="shared" si="380"/>
        <v>523737.89999999997</v>
      </c>
      <c r="AE974" s="168">
        <f t="shared" si="380"/>
        <v>516906.10000000003</v>
      </c>
      <c r="AF974" s="168">
        <f t="shared" ref="AF974:AF975" si="381">AF975</f>
        <v>515355.89999999997</v>
      </c>
      <c r="AG974" s="575">
        <f t="shared" si="354"/>
        <v>0.99700100269662117</v>
      </c>
    </row>
    <row r="975" spans="24:33" x14ac:dyDescent="0.25">
      <c r="X975" s="295" t="s">
        <v>504</v>
      </c>
      <c r="Y975" s="11" t="s">
        <v>459</v>
      </c>
      <c r="Z975" s="1" t="s">
        <v>8</v>
      </c>
      <c r="AA975" s="529" t="s">
        <v>32</v>
      </c>
      <c r="AB975" s="163" t="s">
        <v>120</v>
      </c>
      <c r="AC975" s="309"/>
      <c r="AD975" s="168">
        <f t="shared" si="380"/>
        <v>523737.89999999997</v>
      </c>
      <c r="AE975" s="168">
        <f t="shared" si="380"/>
        <v>516906.10000000003</v>
      </c>
      <c r="AF975" s="168">
        <f t="shared" si="381"/>
        <v>515355.89999999997</v>
      </c>
      <c r="AG975" s="575">
        <f t="shared" si="354"/>
        <v>0.99700100269662117</v>
      </c>
    </row>
    <row r="976" spans="24:33" ht="31.5" x14ac:dyDescent="0.25">
      <c r="X976" s="401" t="s">
        <v>440</v>
      </c>
      <c r="Y976" s="11" t="s">
        <v>459</v>
      </c>
      <c r="Z976" s="1" t="s">
        <v>8</v>
      </c>
      <c r="AA976" s="529" t="s">
        <v>32</v>
      </c>
      <c r="AB976" s="539" t="s">
        <v>540</v>
      </c>
      <c r="AC976" s="311"/>
      <c r="AD976" s="168">
        <f>AD977+AD980+AD992+AD989+AD986+AD983</f>
        <v>523737.89999999997</v>
      </c>
      <c r="AE976" s="168">
        <f>AE977+AE980+AE992+AE989+AE986+AE983</f>
        <v>516906.10000000003</v>
      </c>
      <c r="AF976" s="168">
        <f t="shared" ref="AF976" si="382">AF977+AF980+AF992+AF989+AF986+AF983</f>
        <v>515355.89999999997</v>
      </c>
      <c r="AG976" s="575">
        <f t="shared" si="354"/>
        <v>0.99700100269662117</v>
      </c>
    </row>
    <row r="977" spans="24:33" ht="47.25" x14ac:dyDescent="0.25">
      <c r="X977" s="401" t="s">
        <v>558</v>
      </c>
      <c r="Y977" s="11" t="s">
        <v>459</v>
      </c>
      <c r="Z977" s="1" t="s">
        <v>8</v>
      </c>
      <c r="AA977" s="529" t="s">
        <v>32</v>
      </c>
      <c r="AB977" s="539" t="s">
        <v>560</v>
      </c>
      <c r="AC977" s="311"/>
      <c r="AD977" s="168">
        <f>AD978</f>
        <v>121794.3</v>
      </c>
      <c r="AE977" s="168">
        <f>AE978</f>
        <v>121794.3</v>
      </c>
      <c r="AF977" s="168">
        <f t="shared" ref="AF977:AF978" si="383">AF978</f>
        <v>121794.3</v>
      </c>
      <c r="AG977" s="575">
        <f t="shared" si="354"/>
        <v>1</v>
      </c>
    </row>
    <row r="978" spans="24:33" x14ac:dyDescent="0.25">
      <c r="X978" s="278" t="s">
        <v>123</v>
      </c>
      <c r="Y978" s="11" t="s">
        <v>459</v>
      </c>
      <c r="Z978" s="1" t="s">
        <v>8</v>
      </c>
      <c r="AA978" s="529" t="s">
        <v>32</v>
      </c>
      <c r="AB978" s="539" t="s">
        <v>560</v>
      </c>
      <c r="AC978" s="309">
        <v>200</v>
      </c>
      <c r="AD978" s="168">
        <f>AD979</f>
        <v>121794.3</v>
      </c>
      <c r="AE978" s="168">
        <f>AE979</f>
        <v>121794.3</v>
      </c>
      <c r="AF978" s="168">
        <f t="shared" si="383"/>
        <v>121794.3</v>
      </c>
      <c r="AG978" s="575">
        <f t="shared" si="354"/>
        <v>1</v>
      </c>
    </row>
    <row r="979" spans="24:33" ht="31.5" x14ac:dyDescent="0.25">
      <c r="X979" s="278" t="s">
        <v>54</v>
      </c>
      <c r="Y979" s="11" t="s">
        <v>459</v>
      </c>
      <c r="Z979" s="1" t="s">
        <v>8</v>
      </c>
      <c r="AA979" s="529" t="s">
        <v>32</v>
      </c>
      <c r="AB979" s="539" t="s">
        <v>560</v>
      </c>
      <c r="AC979" s="309">
        <v>240</v>
      </c>
      <c r="AD979" s="168">
        <f>258968.3+28774.2-149353.4-16594.8</f>
        <v>121794.3</v>
      </c>
      <c r="AE979" s="168">
        <f>258968.3+28774.2-149353.4-16594.8</f>
        <v>121794.3</v>
      </c>
      <c r="AF979" s="168">
        <v>121794.3</v>
      </c>
      <c r="AG979" s="575">
        <f t="shared" si="354"/>
        <v>1</v>
      </c>
    </row>
    <row r="980" spans="24:33" ht="47.25" x14ac:dyDescent="0.25">
      <c r="X980" s="278" t="s">
        <v>559</v>
      </c>
      <c r="Y980" s="11" t="s">
        <v>459</v>
      </c>
      <c r="Z980" s="1" t="s">
        <v>8</v>
      </c>
      <c r="AA980" s="529" t="s">
        <v>32</v>
      </c>
      <c r="AB980" s="539" t="s">
        <v>561</v>
      </c>
      <c r="AC980" s="311"/>
      <c r="AD980" s="168">
        <f>AD981</f>
        <v>22325.3</v>
      </c>
      <c r="AE980" s="168">
        <f>AE981</f>
        <v>22325.3</v>
      </c>
      <c r="AF980" s="168">
        <f t="shared" ref="AF980:AF981" si="384">AF981</f>
        <v>22325.3</v>
      </c>
      <c r="AG980" s="575">
        <f t="shared" si="354"/>
        <v>1</v>
      </c>
    </row>
    <row r="981" spans="24:33" x14ac:dyDescent="0.25">
      <c r="X981" s="278" t="s">
        <v>123</v>
      </c>
      <c r="Y981" s="11" t="s">
        <v>459</v>
      </c>
      <c r="Z981" s="1" t="s">
        <v>8</v>
      </c>
      <c r="AA981" s="529" t="s">
        <v>32</v>
      </c>
      <c r="AB981" s="539" t="s">
        <v>561</v>
      </c>
      <c r="AC981" s="309">
        <v>200</v>
      </c>
      <c r="AD981" s="168">
        <f>AD982</f>
        <v>22325.3</v>
      </c>
      <c r="AE981" s="168">
        <f>AE982</f>
        <v>22325.3</v>
      </c>
      <c r="AF981" s="168">
        <f t="shared" si="384"/>
        <v>22325.3</v>
      </c>
      <c r="AG981" s="575">
        <f t="shared" si="354"/>
        <v>1</v>
      </c>
    </row>
    <row r="982" spans="24:33" ht="31.5" x14ac:dyDescent="0.25">
      <c r="X982" s="278" t="s">
        <v>54</v>
      </c>
      <c r="Y982" s="11" t="s">
        <v>459</v>
      </c>
      <c r="Z982" s="1" t="s">
        <v>8</v>
      </c>
      <c r="AA982" s="529" t="s">
        <v>32</v>
      </c>
      <c r="AB982" s="539" t="s">
        <v>561</v>
      </c>
      <c r="AC982" s="309">
        <v>240</v>
      </c>
      <c r="AD982" s="168">
        <f>23400+2600-3307.2-367.5</f>
        <v>22325.3</v>
      </c>
      <c r="AE982" s="168">
        <f>23400+2600-3307.2-367.5</f>
        <v>22325.3</v>
      </c>
      <c r="AF982" s="168">
        <v>22325.3</v>
      </c>
      <c r="AG982" s="575">
        <f t="shared" si="354"/>
        <v>1</v>
      </c>
    </row>
    <row r="983" spans="24:33" ht="31.5" x14ac:dyDescent="0.25">
      <c r="X983" s="278" t="s">
        <v>744</v>
      </c>
      <c r="Y983" s="11" t="s">
        <v>459</v>
      </c>
      <c r="Z983" s="1" t="s">
        <v>8</v>
      </c>
      <c r="AA983" s="529" t="s">
        <v>32</v>
      </c>
      <c r="AB983" s="539" t="s">
        <v>745</v>
      </c>
      <c r="AC983" s="309"/>
      <c r="AD983" s="168">
        <f>AD984</f>
        <v>15656.8</v>
      </c>
      <c r="AE983" s="168">
        <f>AE984</f>
        <v>15656.8</v>
      </c>
      <c r="AF983" s="168">
        <f t="shared" ref="AF983" si="385">AF984</f>
        <v>15471.1</v>
      </c>
      <c r="AG983" s="575">
        <f t="shared" si="354"/>
        <v>0.98813933881763838</v>
      </c>
    </row>
    <row r="984" spans="24:33" x14ac:dyDescent="0.25">
      <c r="X984" s="278" t="s">
        <v>123</v>
      </c>
      <c r="Y984" s="11" t="s">
        <v>459</v>
      </c>
      <c r="Z984" s="1" t="s">
        <v>8</v>
      </c>
      <c r="AA984" s="529" t="s">
        <v>32</v>
      </c>
      <c r="AB984" s="539" t="s">
        <v>745</v>
      </c>
      <c r="AC984" s="309">
        <v>200</v>
      </c>
      <c r="AD984" s="168">
        <f>AD985</f>
        <v>15656.8</v>
      </c>
      <c r="AE984" s="168">
        <f>AE985</f>
        <v>15656.8</v>
      </c>
      <c r="AF984" s="168">
        <f t="shared" ref="AF984" si="386">AF985</f>
        <v>15471.1</v>
      </c>
      <c r="AG984" s="575">
        <f t="shared" si="354"/>
        <v>0.98813933881763838</v>
      </c>
    </row>
    <row r="985" spans="24:33" ht="31.5" x14ac:dyDescent="0.25">
      <c r="X985" s="278" t="s">
        <v>54</v>
      </c>
      <c r="Y985" s="11" t="s">
        <v>459</v>
      </c>
      <c r="Z985" s="1" t="s">
        <v>8</v>
      </c>
      <c r="AA985" s="529" t="s">
        <v>32</v>
      </c>
      <c r="AB985" s="539" t="s">
        <v>745</v>
      </c>
      <c r="AC985" s="309">
        <v>240</v>
      </c>
      <c r="AD985" s="168">
        <f>13500+1500+656.8</f>
        <v>15656.8</v>
      </c>
      <c r="AE985" s="168">
        <f>13500+1500+656.8</f>
        <v>15656.8</v>
      </c>
      <c r="AF985" s="168">
        <v>15471.1</v>
      </c>
      <c r="AG985" s="575">
        <f t="shared" ref="AG985:AG1033" si="387">AF985/AE985</f>
        <v>0.98813933881763838</v>
      </c>
    </row>
    <row r="986" spans="24:33" ht="35.450000000000003" customHeight="1" x14ac:dyDescent="0.25">
      <c r="X986" s="278" t="s">
        <v>709</v>
      </c>
      <c r="Y986" s="11" t="s">
        <v>459</v>
      </c>
      <c r="Z986" s="1" t="s">
        <v>8</v>
      </c>
      <c r="AA986" s="529" t="s">
        <v>32</v>
      </c>
      <c r="AB986" s="539" t="s">
        <v>710</v>
      </c>
      <c r="AC986" s="309"/>
      <c r="AD986" s="168">
        <f t="shared" ref="AD986:AF987" si="388">AD987</f>
        <v>319946.99999999994</v>
      </c>
      <c r="AE986" s="168">
        <f t="shared" si="388"/>
        <v>313115.2</v>
      </c>
      <c r="AF986" s="168">
        <f t="shared" si="388"/>
        <v>311750.7</v>
      </c>
      <c r="AG986" s="575">
        <f t="shared" si="387"/>
        <v>0.99564217898077134</v>
      </c>
    </row>
    <row r="987" spans="24:33" x14ac:dyDescent="0.25">
      <c r="X987" s="278" t="s">
        <v>123</v>
      </c>
      <c r="Y987" s="11" t="s">
        <v>459</v>
      </c>
      <c r="Z987" s="1" t="s">
        <v>8</v>
      </c>
      <c r="AA987" s="529" t="s">
        <v>32</v>
      </c>
      <c r="AB987" s="539" t="s">
        <v>710</v>
      </c>
      <c r="AC987" s="309">
        <v>200</v>
      </c>
      <c r="AD987" s="168">
        <f t="shared" si="388"/>
        <v>319946.99999999994</v>
      </c>
      <c r="AE987" s="168">
        <f t="shared" si="388"/>
        <v>313115.2</v>
      </c>
      <c r="AF987" s="168">
        <f t="shared" si="388"/>
        <v>311750.7</v>
      </c>
      <c r="AG987" s="575">
        <f t="shared" si="387"/>
        <v>0.99564217898077134</v>
      </c>
    </row>
    <row r="988" spans="24:33" ht="31.5" x14ac:dyDescent="0.25">
      <c r="X988" s="278" t="s">
        <v>54</v>
      </c>
      <c r="Y988" s="11" t="s">
        <v>459</v>
      </c>
      <c r="Z988" s="1" t="s">
        <v>8</v>
      </c>
      <c r="AA988" s="529" t="s">
        <v>32</v>
      </c>
      <c r="AB988" s="539" t="s">
        <v>710</v>
      </c>
      <c r="AC988" s="309">
        <v>240</v>
      </c>
      <c r="AD988" s="168">
        <f>149353.4+16594.8+117330+36668.8</f>
        <v>319946.99999999994</v>
      </c>
      <c r="AE988" s="168">
        <v>313115.2</v>
      </c>
      <c r="AF988" s="168">
        <v>311750.7</v>
      </c>
      <c r="AG988" s="575">
        <f t="shared" si="387"/>
        <v>0.99564217898077134</v>
      </c>
    </row>
    <row r="989" spans="24:33" ht="33" customHeight="1" x14ac:dyDescent="0.25">
      <c r="X989" s="278" t="s">
        <v>711</v>
      </c>
      <c r="Y989" s="11" t="s">
        <v>459</v>
      </c>
      <c r="Z989" s="1" t="s">
        <v>8</v>
      </c>
      <c r="AA989" s="529" t="s">
        <v>32</v>
      </c>
      <c r="AB989" s="539" t="s">
        <v>712</v>
      </c>
      <c r="AC989" s="309"/>
      <c r="AD989" s="168">
        <f>AD990</f>
        <v>8905.7999999999993</v>
      </c>
      <c r="AE989" s="168">
        <f>AE990</f>
        <v>8905.7999999999993</v>
      </c>
      <c r="AF989" s="168">
        <f t="shared" ref="AF989" si="389">AF990</f>
        <v>8905.7999999999993</v>
      </c>
      <c r="AG989" s="575">
        <f t="shared" si="387"/>
        <v>1</v>
      </c>
    </row>
    <row r="990" spans="24:33" x14ac:dyDescent="0.25">
      <c r="X990" s="278" t="s">
        <v>123</v>
      </c>
      <c r="Y990" s="11" t="s">
        <v>459</v>
      </c>
      <c r="Z990" s="1" t="s">
        <v>8</v>
      </c>
      <c r="AA990" s="529" t="s">
        <v>32</v>
      </c>
      <c r="AB990" s="539" t="s">
        <v>712</v>
      </c>
      <c r="AC990" s="309">
        <v>200</v>
      </c>
      <c r="AD990" s="168">
        <f>AD991</f>
        <v>8905.7999999999993</v>
      </c>
      <c r="AE990" s="168">
        <f>AE991</f>
        <v>8905.7999999999993</v>
      </c>
      <c r="AF990" s="168">
        <f>AF991</f>
        <v>8905.7999999999993</v>
      </c>
      <c r="AG990" s="575">
        <f t="shared" si="387"/>
        <v>1</v>
      </c>
    </row>
    <row r="991" spans="24:33" ht="31.5" x14ac:dyDescent="0.25">
      <c r="X991" s="278" t="s">
        <v>54</v>
      </c>
      <c r="Y991" s="11" t="s">
        <v>459</v>
      </c>
      <c r="Z991" s="1" t="s">
        <v>8</v>
      </c>
      <c r="AA991" s="529" t="s">
        <v>32</v>
      </c>
      <c r="AB991" s="539" t="s">
        <v>712</v>
      </c>
      <c r="AC991" s="309">
        <v>240</v>
      </c>
      <c r="AD991" s="168">
        <f>3307.2+367.5+5231.1</f>
        <v>8905.7999999999993</v>
      </c>
      <c r="AE991" s="168">
        <f>3307.2+367.5+5231.1</f>
        <v>8905.7999999999993</v>
      </c>
      <c r="AF991" s="168">
        <v>8905.7999999999993</v>
      </c>
      <c r="AG991" s="575">
        <f t="shared" si="387"/>
        <v>1</v>
      </c>
    </row>
    <row r="992" spans="24:33" ht="34.9" customHeight="1" x14ac:dyDescent="0.25">
      <c r="X992" s="278" t="s">
        <v>557</v>
      </c>
      <c r="Y992" s="11" t="s">
        <v>459</v>
      </c>
      <c r="Z992" s="1" t="s">
        <v>8</v>
      </c>
      <c r="AA992" s="529" t="s">
        <v>32</v>
      </c>
      <c r="AB992" s="539" t="s">
        <v>541</v>
      </c>
      <c r="AC992" s="311"/>
      <c r="AD992" s="168">
        <f t="shared" ref="AD992:AF993" si="390">AD993</f>
        <v>35108.700000000004</v>
      </c>
      <c r="AE992" s="168">
        <f t="shared" si="390"/>
        <v>35108.700000000004</v>
      </c>
      <c r="AF992" s="168">
        <f t="shared" si="390"/>
        <v>35108.699999999997</v>
      </c>
      <c r="AG992" s="575">
        <f t="shared" si="387"/>
        <v>0.99999999999999978</v>
      </c>
    </row>
    <row r="993" spans="24:33" x14ac:dyDescent="0.25">
      <c r="X993" s="278" t="s">
        <v>123</v>
      </c>
      <c r="Y993" s="11" t="s">
        <v>459</v>
      </c>
      <c r="Z993" s="1" t="s">
        <v>8</v>
      </c>
      <c r="AA993" s="529" t="s">
        <v>32</v>
      </c>
      <c r="AB993" s="539" t="s">
        <v>541</v>
      </c>
      <c r="AC993" s="309">
        <v>200</v>
      </c>
      <c r="AD993" s="168">
        <f t="shared" si="390"/>
        <v>35108.700000000004</v>
      </c>
      <c r="AE993" s="168">
        <f t="shared" si="390"/>
        <v>35108.700000000004</v>
      </c>
      <c r="AF993" s="168">
        <f t="shared" si="390"/>
        <v>35108.699999999997</v>
      </c>
      <c r="AG993" s="575">
        <f t="shared" si="387"/>
        <v>0.99999999999999978</v>
      </c>
    </row>
    <row r="994" spans="24:33" ht="31.5" x14ac:dyDescent="0.25">
      <c r="X994" s="278" t="s">
        <v>54</v>
      </c>
      <c r="Y994" s="11" t="s">
        <v>459</v>
      </c>
      <c r="Z994" s="1" t="s">
        <v>8</v>
      </c>
      <c r="AA994" s="529" t="s">
        <v>32</v>
      </c>
      <c r="AB994" s="539" t="s">
        <v>541</v>
      </c>
      <c r="AC994" s="309">
        <v>240</v>
      </c>
      <c r="AD994" s="168">
        <f>22540.5+2504.5+9057.3+1006.4</f>
        <v>35108.700000000004</v>
      </c>
      <c r="AE994" s="168">
        <f>22540.5+2504.5+9057.3+1006.4</f>
        <v>35108.700000000004</v>
      </c>
      <c r="AF994" s="168">
        <v>35108.699999999997</v>
      </c>
      <c r="AG994" s="575">
        <f t="shared" si="387"/>
        <v>0.99999999999999978</v>
      </c>
    </row>
    <row r="995" spans="24:33" x14ac:dyDescent="0.25">
      <c r="X995" s="279" t="s">
        <v>97</v>
      </c>
      <c r="Y995" s="199" t="s">
        <v>459</v>
      </c>
      <c r="Z995" s="12" t="s">
        <v>38</v>
      </c>
      <c r="AA995" s="557"/>
      <c r="AB995" s="305"/>
      <c r="AC995" s="314"/>
      <c r="AD995" s="170">
        <f>AD996+AD1003</f>
        <v>9502.4</v>
      </c>
      <c r="AE995" s="170">
        <f t="shared" ref="AE995:AF995" si="391">AE996+AE1003</f>
        <v>9502.4</v>
      </c>
      <c r="AF995" s="170">
        <f t="shared" si="391"/>
        <v>9502.1999999999989</v>
      </c>
      <c r="AG995" s="574">
        <f t="shared" si="387"/>
        <v>0.99997895268563719</v>
      </c>
    </row>
    <row r="996" spans="24:33" x14ac:dyDescent="0.25">
      <c r="X996" s="278" t="s">
        <v>58</v>
      </c>
      <c r="Y996" s="11" t="s">
        <v>459</v>
      </c>
      <c r="Z996" s="1">
        <v>10</v>
      </c>
      <c r="AA996" s="529" t="s">
        <v>31</v>
      </c>
      <c r="AB996" s="33"/>
      <c r="AC996" s="314"/>
      <c r="AD996" s="168">
        <f t="shared" ref="AD996:AF1001" si="392">AD997</f>
        <v>890.9</v>
      </c>
      <c r="AE996" s="168">
        <f t="shared" si="392"/>
        <v>890.9</v>
      </c>
      <c r="AF996" s="168">
        <f t="shared" si="392"/>
        <v>890.8</v>
      </c>
      <c r="AG996" s="575">
        <f t="shared" si="387"/>
        <v>0.99988775395667295</v>
      </c>
    </row>
    <row r="997" spans="24:33" x14ac:dyDescent="0.25">
      <c r="X997" s="284" t="s">
        <v>309</v>
      </c>
      <c r="Y997" s="11" t="s">
        <v>459</v>
      </c>
      <c r="Z997" s="1">
        <v>10</v>
      </c>
      <c r="AA997" s="529" t="s">
        <v>31</v>
      </c>
      <c r="AB997" s="163" t="s">
        <v>112</v>
      </c>
      <c r="AC997" s="314"/>
      <c r="AD997" s="168">
        <f t="shared" si="392"/>
        <v>890.9</v>
      </c>
      <c r="AE997" s="168">
        <f t="shared" si="392"/>
        <v>890.9</v>
      </c>
      <c r="AF997" s="168">
        <f t="shared" si="392"/>
        <v>890.8</v>
      </c>
      <c r="AG997" s="575">
        <f t="shared" si="387"/>
        <v>0.99988775395667295</v>
      </c>
    </row>
    <row r="998" spans="24:33" x14ac:dyDescent="0.25">
      <c r="X998" s="284" t="s">
        <v>310</v>
      </c>
      <c r="Y998" s="11" t="s">
        <v>459</v>
      </c>
      <c r="Z998" s="1">
        <v>10</v>
      </c>
      <c r="AA998" s="529" t="s">
        <v>31</v>
      </c>
      <c r="AB998" s="163" t="s">
        <v>121</v>
      </c>
      <c r="AC998" s="314"/>
      <c r="AD998" s="168">
        <f t="shared" si="392"/>
        <v>890.9</v>
      </c>
      <c r="AE998" s="168">
        <f t="shared" si="392"/>
        <v>890.9</v>
      </c>
      <c r="AF998" s="168">
        <f t="shared" si="392"/>
        <v>890.8</v>
      </c>
      <c r="AG998" s="575">
        <f t="shared" si="387"/>
        <v>0.99988775395667295</v>
      </c>
    </row>
    <row r="999" spans="24:33" ht="31.5" x14ac:dyDescent="0.25">
      <c r="X999" s="284" t="s">
        <v>311</v>
      </c>
      <c r="Y999" s="11" t="s">
        <v>459</v>
      </c>
      <c r="Z999" s="1">
        <v>10</v>
      </c>
      <c r="AA999" s="529" t="s">
        <v>31</v>
      </c>
      <c r="AB999" s="163" t="s">
        <v>526</v>
      </c>
      <c r="AC999" s="314"/>
      <c r="AD999" s="168">
        <f t="shared" si="392"/>
        <v>890.9</v>
      </c>
      <c r="AE999" s="168">
        <f t="shared" si="392"/>
        <v>890.9</v>
      </c>
      <c r="AF999" s="168">
        <f t="shared" si="392"/>
        <v>890.8</v>
      </c>
      <c r="AG999" s="575">
        <f t="shared" si="387"/>
        <v>0.99988775395667295</v>
      </c>
    </row>
    <row r="1000" spans="24:33" ht="31.5" x14ac:dyDescent="0.25">
      <c r="X1000" s="282" t="s">
        <v>312</v>
      </c>
      <c r="Y1000" s="11" t="s">
        <v>459</v>
      </c>
      <c r="Z1000" s="1">
        <v>10</v>
      </c>
      <c r="AA1000" s="529" t="s">
        <v>31</v>
      </c>
      <c r="AB1000" s="163" t="s">
        <v>525</v>
      </c>
      <c r="AC1000" s="314"/>
      <c r="AD1000" s="168">
        <f t="shared" si="392"/>
        <v>890.9</v>
      </c>
      <c r="AE1000" s="168">
        <f t="shared" si="392"/>
        <v>890.9</v>
      </c>
      <c r="AF1000" s="168">
        <f t="shared" si="392"/>
        <v>890.8</v>
      </c>
      <c r="AG1000" s="575">
        <f t="shared" si="387"/>
        <v>0.99988775395667295</v>
      </c>
    </row>
    <row r="1001" spans="24:33" x14ac:dyDescent="0.25">
      <c r="X1001" s="278" t="s">
        <v>100</v>
      </c>
      <c r="Y1001" s="11" t="s">
        <v>459</v>
      </c>
      <c r="Z1001" s="1">
        <v>10</v>
      </c>
      <c r="AA1001" s="529" t="s">
        <v>31</v>
      </c>
      <c r="AB1001" s="163" t="s">
        <v>525</v>
      </c>
      <c r="AC1001" s="309">
        <v>300</v>
      </c>
      <c r="AD1001" s="168">
        <f t="shared" si="392"/>
        <v>890.9</v>
      </c>
      <c r="AE1001" s="168">
        <f t="shared" si="392"/>
        <v>890.9</v>
      </c>
      <c r="AF1001" s="168">
        <f t="shared" si="392"/>
        <v>890.8</v>
      </c>
      <c r="AG1001" s="575">
        <f t="shared" si="387"/>
        <v>0.99988775395667295</v>
      </c>
    </row>
    <row r="1002" spans="24:33" x14ac:dyDescent="0.25">
      <c r="X1002" s="278" t="s">
        <v>42</v>
      </c>
      <c r="Y1002" s="11" t="s">
        <v>459</v>
      </c>
      <c r="Z1002" s="1">
        <v>10</v>
      </c>
      <c r="AA1002" s="529" t="s">
        <v>31</v>
      </c>
      <c r="AB1002" s="163" t="s">
        <v>525</v>
      </c>
      <c r="AC1002" s="309">
        <v>320</v>
      </c>
      <c r="AD1002" s="168">
        <v>890.9</v>
      </c>
      <c r="AE1002" s="168">
        <v>890.9</v>
      </c>
      <c r="AF1002" s="168">
        <v>890.8</v>
      </c>
      <c r="AG1002" s="575">
        <f t="shared" si="387"/>
        <v>0.99988775395667295</v>
      </c>
    </row>
    <row r="1003" spans="24:33" x14ac:dyDescent="0.25">
      <c r="X1003" s="278" t="s">
        <v>33</v>
      </c>
      <c r="Y1003" s="11" t="s">
        <v>459</v>
      </c>
      <c r="Z1003" s="1">
        <v>10</v>
      </c>
      <c r="AA1003" s="529" t="s">
        <v>51</v>
      </c>
      <c r="AB1003" s="33"/>
      <c r="AC1003" s="309"/>
      <c r="AD1003" s="168">
        <f t="shared" ref="AD1003:AF1008" si="393">AD1004</f>
        <v>8611.5</v>
      </c>
      <c r="AE1003" s="168">
        <f t="shared" si="393"/>
        <v>8611.5</v>
      </c>
      <c r="AF1003" s="168">
        <f t="shared" si="393"/>
        <v>8611.4</v>
      </c>
      <c r="AG1003" s="575">
        <f t="shared" si="387"/>
        <v>0.99998838762120412</v>
      </c>
    </row>
    <row r="1004" spans="24:33" x14ac:dyDescent="0.25">
      <c r="X1004" s="284" t="s">
        <v>187</v>
      </c>
      <c r="Y1004" s="11" t="s">
        <v>459</v>
      </c>
      <c r="Z1004" s="1">
        <v>10</v>
      </c>
      <c r="AA1004" s="529" t="s">
        <v>51</v>
      </c>
      <c r="AB1004" s="163" t="s">
        <v>119</v>
      </c>
      <c r="AC1004" s="309"/>
      <c r="AD1004" s="168">
        <f t="shared" si="393"/>
        <v>8611.5</v>
      </c>
      <c r="AE1004" s="168">
        <f t="shared" si="393"/>
        <v>8611.5</v>
      </c>
      <c r="AF1004" s="168">
        <f t="shared" si="393"/>
        <v>8611.4</v>
      </c>
      <c r="AG1004" s="575">
        <f t="shared" si="387"/>
        <v>0.99998838762120412</v>
      </c>
    </row>
    <row r="1005" spans="24:33" x14ac:dyDescent="0.25">
      <c r="X1005" s="284" t="s">
        <v>186</v>
      </c>
      <c r="Y1005" s="11" t="s">
        <v>459</v>
      </c>
      <c r="Z1005" s="1">
        <v>10</v>
      </c>
      <c r="AA1005" s="529" t="s">
        <v>51</v>
      </c>
      <c r="AB1005" s="163" t="s">
        <v>147</v>
      </c>
      <c r="AC1005" s="309"/>
      <c r="AD1005" s="168">
        <f t="shared" si="393"/>
        <v>8611.5</v>
      </c>
      <c r="AE1005" s="168">
        <f t="shared" si="393"/>
        <v>8611.5</v>
      </c>
      <c r="AF1005" s="168">
        <f t="shared" si="393"/>
        <v>8611.4</v>
      </c>
      <c r="AG1005" s="575">
        <f t="shared" si="387"/>
        <v>0.99998838762120412</v>
      </c>
    </row>
    <row r="1006" spans="24:33" ht="47.25" x14ac:dyDescent="0.25">
      <c r="X1006" s="284" t="s">
        <v>468</v>
      </c>
      <c r="Y1006" s="11" t="s">
        <v>459</v>
      </c>
      <c r="Z1006" s="1">
        <v>10</v>
      </c>
      <c r="AA1006" s="529" t="s">
        <v>51</v>
      </c>
      <c r="AB1006" s="163" t="s">
        <v>146</v>
      </c>
      <c r="AC1006" s="309"/>
      <c r="AD1006" s="168">
        <f>AD1007</f>
        <v>8611.5</v>
      </c>
      <c r="AE1006" s="168">
        <f>AE1007</f>
        <v>8611.5</v>
      </c>
      <c r="AF1006" s="168">
        <f t="shared" si="393"/>
        <v>8611.4</v>
      </c>
      <c r="AG1006" s="575">
        <f t="shared" si="387"/>
        <v>0.99998838762120412</v>
      </c>
    </row>
    <row r="1007" spans="24:33" x14ac:dyDescent="0.25">
      <c r="X1007" s="284" t="s">
        <v>184</v>
      </c>
      <c r="Y1007" s="11" t="s">
        <v>459</v>
      </c>
      <c r="Z1007" s="1">
        <v>10</v>
      </c>
      <c r="AA1007" s="529" t="s">
        <v>51</v>
      </c>
      <c r="AB1007" s="163" t="s">
        <v>185</v>
      </c>
      <c r="AC1007" s="309"/>
      <c r="AD1007" s="168">
        <f t="shared" si="393"/>
        <v>8611.5</v>
      </c>
      <c r="AE1007" s="168">
        <f t="shared" si="393"/>
        <v>8611.5</v>
      </c>
      <c r="AF1007" s="168">
        <f t="shared" si="393"/>
        <v>8611.4</v>
      </c>
      <c r="AG1007" s="575">
        <f t="shared" si="387"/>
        <v>0.99998838762120412</v>
      </c>
    </row>
    <row r="1008" spans="24:33" x14ac:dyDescent="0.25">
      <c r="X1008" s="278" t="s">
        <v>100</v>
      </c>
      <c r="Y1008" s="11" t="s">
        <v>459</v>
      </c>
      <c r="Z1008" s="1">
        <v>10</v>
      </c>
      <c r="AA1008" s="529" t="s">
        <v>51</v>
      </c>
      <c r="AB1008" s="163" t="s">
        <v>185</v>
      </c>
      <c r="AC1008" s="309">
        <v>300</v>
      </c>
      <c r="AD1008" s="168">
        <f t="shared" si="393"/>
        <v>8611.5</v>
      </c>
      <c r="AE1008" s="168">
        <f t="shared" si="393"/>
        <v>8611.5</v>
      </c>
      <c r="AF1008" s="168">
        <f t="shared" si="393"/>
        <v>8611.4</v>
      </c>
      <c r="AG1008" s="575">
        <f t="shared" si="387"/>
        <v>0.99998838762120412</v>
      </c>
    </row>
    <row r="1009" spans="24:33" x14ac:dyDescent="0.25">
      <c r="X1009" s="278" t="s">
        <v>25</v>
      </c>
      <c r="Y1009" s="11" t="s">
        <v>459</v>
      </c>
      <c r="Z1009" s="1">
        <v>10</v>
      </c>
      <c r="AA1009" s="529" t="s">
        <v>51</v>
      </c>
      <c r="AB1009" s="163" t="s">
        <v>185</v>
      </c>
      <c r="AC1009" s="309">
        <v>320</v>
      </c>
      <c r="AD1009" s="168">
        <f>5002.7+3608.8</f>
        <v>8611.5</v>
      </c>
      <c r="AE1009" s="168">
        <f>5002.7+3608.8</f>
        <v>8611.5</v>
      </c>
      <c r="AF1009" s="168">
        <v>8611.4</v>
      </c>
      <c r="AG1009" s="575">
        <f t="shared" si="387"/>
        <v>0.99998838762120412</v>
      </c>
    </row>
    <row r="1010" spans="24:33" ht="18.75" x14ac:dyDescent="0.3">
      <c r="X1010" s="279" t="s">
        <v>461</v>
      </c>
      <c r="Y1010" s="199">
        <v>904</v>
      </c>
      <c r="Z1010" s="276"/>
      <c r="AA1010" s="562"/>
      <c r="AB1010" s="33"/>
      <c r="AC1010" s="332"/>
      <c r="AD1010" s="170">
        <f>AD1011+AD1035</f>
        <v>10445.1</v>
      </c>
      <c r="AE1010" s="170">
        <f>AE1011+AE1035</f>
        <v>10445.1</v>
      </c>
      <c r="AF1010" s="572">
        <f>AF1011+AF1035</f>
        <v>10429.700000000001</v>
      </c>
      <c r="AG1010" s="574">
        <f t="shared" si="387"/>
        <v>0.99852562445548632</v>
      </c>
    </row>
    <row r="1011" spans="24:33" x14ac:dyDescent="0.25">
      <c r="X1011" s="279" t="s">
        <v>27</v>
      </c>
      <c r="Y1011" s="199">
        <v>904</v>
      </c>
      <c r="Z1011" s="23" t="s">
        <v>31</v>
      </c>
      <c r="AA1011" s="561"/>
      <c r="AB1011" s="305"/>
      <c r="AC1011" s="310"/>
      <c r="AD1011" s="170">
        <f>AD1012</f>
        <v>9898.4</v>
      </c>
      <c r="AE1011" s="170">
        <f>AE1012</f>
        <v>9898.4</v>
      </c>
      <c r="AF1011" s="170">
        <f>AF1012</f>
        <v>9883</v>
      </c>
      <c r="AG1011" s="574">
        <f t="shared" si="387"/>
        <v>0.99844419300088905</v>
      </c>
    </row>
    <row r="1012" spans="24:33" ht="31.5" x14ac:dyDescent="0.25">
      <c r="X1012" s="278" t="s">
        <v>454</v>
      </c>
      <c r="Y1012" s="11">
        <v>904</v>
      </c>
      <c r="Z1012" s="1" t="s">
        <v>31</v>
      </c>
      <c r="AA1012" s="529" t="s">
        <v>98</v>
      </c>
      <c r="AB1012" s="305"/>
      <c r="AC1012" s="310"/>
      <c r="AD1012" s="168">
        <f>AD1019+AD1013</f>
        <v>9898.4</v>
      </c>
      <c r="AE1012" s="168">
        <f>AE1019+AE1013</f>
        <v>9898.4</v>
      </c>
      <c r="AF1012" s="168">
        <f t="shared" ref="AF1012" si="394">AF1019+AF1013</f>
        <v>9883</v>
      </c>
      <c r="AG1012" s="575">
        <f t="shared" si="387"/>
        <v>0.99844419300088905</v>
      </c>
    </row>
    <row r="1013" spans="24:33" x14ac:dyDescent="0.25">
      <c r="X1013" s="284" t="s">
        <v>193</v>
      </c>
      <c r="Y1013" s="11">
        <v>904</v>
      </c>
      <c r="Z1013" s="1" t="s">
        <v>31</v>
      </c>
      <c r="AA1013" s="529" t="s">
        <v>98</v>
      </c>
      <c r="AB1013" s="163" t="s">
        <v>115</v>
      </c>
      <c r="AC1013" s="310"/>
      <c r="AD1013" s="168">
        <f t="shared" ref="AD1013:AE1017" si="395">AD1014</f>
        <v>38.5</v>
      </c>
      <c r="AE1013" s="168">
        <f t="shared" si="395"/>
        <v>38.5</v>
      </c>
      <c r="AF1013" s="168">
        <f t="shared" ref="AF1013:AF1014" si="396">AF1014</f>
        <v>38.5</v>
      </c>
      <c r="AG1013" s="575">
        <f t="shared" si="387"/>
        <v>1</v>
      </c>
    </row>
    <row r="1014" spans="24:33" x14ac:dyDescent="0.25">
      <c r="X1014" s="284" t="s">
        <v>198</v>
      </c>
      <c r="Y1014" s="11">
        <v>904</v>
      </c>
      <c r="Z1014" s="1" t="s">
        <v>31</v>
      </c>
      <c r="AA1014" s="529" t="s">
        <v>98</v>
      </c>
      <c r="AB1014" s="306" t="s">
        <v>199</v>
      </c>
      <c r="AC1014" s="310"/>
      <c r="AD1014" s="168">
        <f t="shared" si="395"/>
        <v>38.5</v>
      </c>
      <c r="AE1014" s="168">
        <f t="shared" si="395"/>
        <v>38.5</v>
      </c>
      <c r="AF1014" s="168">
        <f t="shared" si="396"/>
        <v>38.5</v>
      </c>
      <c r="AG1014" s="575">
        <f t="shared" si="387"/>
        <v>1</v>
      </c>
    </row>
    <row r="1015" spans="24:33" ht="31.5" x14ac:dyDescent="0.25">
      <c r="X1015" s="278" t="s">
        <v>615</v>
      </c>
      <c r="Y1015" s="11">
        <v>904</v>
      </c>
      <c r="Z1015" s="1" t="s">
        <v>31</v>
      </c>
      <c r="AA1015" s="529" t="s">
        <v>98</v>
      </c>
      <c r="AB1015" s="306" t="s">
        <v>616</v>
      </c>
      <c r="AC1015" s="309"/>
      <c r="AD1015" s="168">
        <f t="shared" si="395"/>
        <v>38.5</v>
      </c>
      <c r="AE1015" s="168">
        <f t="shared" si="395"/>
        <v>38.5</v>
      </c>
      <c r="AF1015" s="168">
        <f t="shared" ref="AF1015:AF1017" si="397">AF1016</f>
        <v>38.5</v>
      </c>
      <c r="AG1015" s="575">
        <f t="shared" si="387"/>
        <v>1</v>
      </c>
    </row>
    <row r="1016" spans="24:33" ht="78.75" x14ac:dyDescent="0.25">
      <c r="X1016" s="278" t="s">
        <v>449</v>
      </c>
      <c r="Y1016" s="11">
        <v>904</v>
      </c>
      <c r="Z1016" s="1" t="s">
        <v>31</v>
      </c>
      <c r="AA1016" s="529" t="s">
        <v>98</v>
      </c>
      <c r="AB1016" s="163" t="s">
        <v>617</v>
      </c>
      <c r="AC1016" s="309"/>
      <c r="AD1016" s="168">
        <f t="shared" si="395"/>
        <v>38.5</v>
      </c>
      <c r="AE1016" s="168">
        <f t="shared" si="395"/>
        <v>38.5</v>
      </c>
      <c r="AF1016" s="168">
        <f t="shared" si="397"/>
        <v>38.5</v>
      </c>
      <c r="AG1016" s="575">
        <f t="shared" si="387"/>
        <v>1</v>
      </c>
    </row>
    <row r="1017" spans="24:33" x14ac:dyDescent="0.25">
      <c r="X1017" s="278" t="s">
        <v>123</v>
      </c>
      <c r="Y1017" s="11">
        <v>904</v>
      </c>
      <c r="Z1017" s="1" t="s">
        <v>31</v>
      </c>
      <c r="AA1017" s="529" t="s">
        <v>98</v>
      </c>
      <c r="AB1017" s="163" t="s">
        <v>617</v>
      </c>
      <c r="AC1017" s="309">
        <v>200</v>
      </c>
      <c r="AD1017" s="168">
        <f t="shared" si="395"/>
        <v>38.5</v>
      </c>
      <c r="AE1017" s="168">
        <f t="shared" si="395"/>
        <v>38.5</v>
      </c>
      <c r="AF1017" s="168">
        <f t="shared" si="397"/>
        <v>38.5</v>
      </c>
      <c r="AG1017" s="575">
        <f t="shared" si="387"/>
        <v>1</v>
      </c>
    </row>
    <row r="1018" spans="24:33" ht="31.5" x14ac:dyDescent="0.25">
      <c r="X1018" s="278" t="s">
        <v>54</v>
      </c>
      <c r="Y1018" s="11">
        <v>904</v>
      </c>
      <c r="Z1018" s="1" t="s">
        <v>31</v>
      </c>
      <c r="AA1018" s="529" t="s">
        <v>98</v>
      </c>
      <c r="AB1018" s="163" t="s">
        <v>617</v>
      </c>
      <c r="AC1018" s="309">
        <v>240</v>
      </c>
      <c r="AD1018" s="168">
        <v>38.5</v>
      </c>
      <c r="AE1018" s="168">
        <v>38.5</v>
      </c>
      <c r="AF1018" s="168">
        <v>38.5</v>
      </c>
      <c r="AG1018" s="575">
        <f t="shared" si="387"/>
        <v>1</v>
      </c>
    </row>
    <row r="1019" spans="24:33" ht="23.45" customHeight="1" x14ac:dyDescent="0.25">
      <c r="X1019" s="284" t="s">
        <v>291</v>
      </c>
      <c r="Y1019" s="11">
        <v>904</v>
      </c>
      <c r="Z1019" s="1" t="s">
        <v>31</v>
      </c>
      <c r="AA1019" s="529" t="s">
        <v>98</v>
      </c>
      <c r="AB1019" s="163" t="s">
        <v>102</v>
      </c>
      <c r="AC1019" s="309"/>
      <c r="AD1019" s="168">
        <f>AD1020</f>
        <v>9859.9</v>
      </c>
      <c r="AE1019" s="168">
        <f>AE1020</f>
        <v>9859.9</v>
      </c>
      <c r="AF1019" s="168">
        <f t="shared" ref="AF1019" si="398">AF1020</f>
        <v>9844.5</v>
      </c>
      <c r="AG1019" s="575">
        <f t="shared" si="387"/>
        <v>0.99843811803365146</v>
      </c>
    </row>
    <row r="1020" spans="24:33" x14ac:dyDescent="0.25">
      <c r="X1020" s="283" t="s">
        <v>289</v>
      </c>
      <c r="Y1020" s="11">
        <v>904</v>
      </c>
      <c r="Z1020" s="1" t="s">
        <v>31</v>
      </c>
      <c r="AA1020" s="529" t="s">
        <v>98</v>
      </c>
      <c r="AB1020" s="163" t="s">
        <v>290</v>
      </c>
      <c r="AC1020" s="309"/>
      <c r="AD1020" s="168">
        <f>AD1021+AD1029+AD1026+AD1032</f>
        <v>9859.9</v>
      </c>
      <c r="AE1020" s="168">
        <f>AE1021+AE1029+AE1026+AE1032</f>
        <v>9859.9</v>
      </c>
      <c r="AF1020" s="168">
        <f>AF1021+AF1029+AF1026+AF1032</f>
        <v>9844.5</v>
      </c>
      <c r="AG1020" s="575">
        <f t="shared" si="387"/>
        <v>0.99843811803365146</v>
      </c>
    </row>
    <row r="1021" spans="24:33" x14ac:dyDescent="0.25">
      <c r="X1021" s="278" t="s">
        <v>292</v>
      </c>
      <c r="Y1021" s="11">
        <v>904</v>
      </c>
      <c r="Z1021" s="1" t="s">
        <v>31</v>
      </c>
      <c r="AA1021" s="529" t="s">
        <v>98</v>
      </c>
      <c r="AB1021" s="163" t="s">
        <v>293</v>
      </c>
      <c r="AC1021" s="309"/>
      <c r="AD1021" s="168">
        <f>AD1022+AD1024</f>
        <v>1002.5</v>
      </c>
      <c r="AE1021" s="168">
        <f>AE1022+AE1024</f>
        <v>1002.5</v>
      </c>
      <c r="AF1021" s="168">
        <f t="shared" ref="AF1021" si="399">AF1022</f>
        <v>996</v>
      </c>
      <c r="AG1021" s="575">
        <f t="shared" si="387"/>
        <v>0.99351620947630925</v>
      </c>
    </row>
    <row r="1022" spans="24:33" x14ac:dyDescent="0.25">
      <c r="X1022" s="278" t="s">
        <v>123</v>
      </c>
      <c r="Y1022" s="11">
        <v>904</v>
      </c>
      <c r="Z1022" s="1" t="s">
        <v>31</v>
      </c>
      <c r="AA1022" s="529" t="s">
        <v>98</v>
      </c>
      <c r="AB1022" s="163" t="s">
        <v>293</v>
      </c>
      <c r="AC1022" s="309">
        <v>200</v>
      </c>
      <c r="AD1022" s="168">
        <f t="shared" ref="AD1022:AF1022" si="400">AD1023</f>
        <v>1002.4</v>
      </c>
      <c r="AE1022" s="168">
        <f t="shared" si="400"/>
        <v>1002.4</v>
      </c>
      <c r="AF1022" s="168">
        <f t="shared" si="400"/>
        <v>996</v>
      </c>
      <c r="AG1022" s="575">
        <f t="shared" si="387"/>
        <v>0.99361532322426183</v>
      </c>
    </row>
    <row r="1023" spans="24:33" ht="31.5" x14ac:dyDescent="0.25">
      <c r="X1023" s="278" t="s">
        <v>54</v>
      </c>
      <c r="Y1023" s="11">
        <v>904</v>
      </c>
      <c r="Z1023" s="1" t="s">
        <v>31</v>
      </c>
      <c r="AA1023" s="529" t="s">
        <v>98</v>
      </c>
      <c r="AB1023" s="163" t="s">
        <v>293</v>
      </c>
      <c r="AC1023" s="309">
        <v>240</v>
      </c>
      <c r="AD1023" s="168">
        <f>1041-38.5-0.1</f>
        <v>1002.4</v>
      </c>
      <c r="AE1023" s="168">
        <f>1041-38.5-0.1</f>
        <v>1002.4</v>
      </c>
      <c r="AF1023" s="168">
        <v>996</v>
      </c>
      <c r="AG1023" s="575">
        <f t="shared" si="387"/>
        <v>0.99361532322426183</v>
      </c>
    </row>
    <row r="1024" spans="24:33" x14ac:dyDescent="0.25">
      <c r="X1024" s="278" t="s">
        <v>44</v>
      </c>
      <c r="Y1024" s="11">
        <v>904</v>
      </c>
      <c r="Z1024" s="1" t="s">
        <v>31</v>
      </c>
      <c r="AA1024" s="529" t="s">
        <v>98</v>
      </c>
      <c r="AB1024" s="163" t="s">
        <v>293</v>
      </c>
      <c r="AC1024" s="309">
        <v>800</v>
      </c>
      <c r="AD1024" s="168">
        <f>AD1025</f>
        <v>0.1</v>
      </c>
      <c r="AE1024" s="168">
        <f>AE1025</f>
        <v>0.1</v>
      </c>
      <c r="AF1024" s="168">
        <f t="shared" ref="AF1024" si="401">AF1025</f>
        <v>0</v>
      </c>
      <c r="AG1024" s="575">
        <f t="shared" si="387"/>
        <v>0</v>
      </c>
    </row>
    <row r="1025" spans="24:33" x14ac:dyDescent="0.25">
      <c r="X1025" s="278" t="s">
        <v>60</v>
      </c>
      <c r="Y1025" s="11">
        <v>904</v>
      </c>
      <c r="Z1025" s="1" t="s">
        <v>31</v>
      </c>
      <c r="AA1025" s="529" t="s">
        <v>98</v>
      </c>
      <c r="AB1025" s="163" t="s">
        <v>293</v>
      </c>
      <c r="AC1025" s="309">
        <v>850</v>
      </c>
      <c r="AD1025" s="168">
        <v>0.1</v>
      </c>
      <c r="AE1025" s="168">
        <v>0.1</v>
      </c>
      <c r="AF1025" s="168">
        <v>0</v>
      </c>
      <c r="AG1025" s="575">
        <f t="shared" si="387"/>
        <v>0</v>
      </c>
    </row>
    <row r="1026" spans="24:33" ht="31.5" x14ac:dyDescent="0.25">
      <c r="X1026" s="278" t="s">
        <v>294</v>
      </c>
      <c r="Y1026" s="11">
        <v>904</v>
      </c>
      <c r="Z1026" s="1" t="s">
        <v>31</v>
      </c>
      <c r="AA1026" s="529" t="s">
        <v>98</v>
      </c>
      <c r="AB1026" s="163" t="s">
        <v>295</v>
      </c>
      <c r="AC1026" s="309"/>
      <c r="AD1026" s="168">
        <f t="shared" ref="AD1026:AF1027" si="402">AD1027</f>
        <v>2237.8000000000002</v>
      </c>
      <c r="AE1026" s="168">
        <f t="shared" si="402"/>
        <v>2237.8000000000002</v>
      </c>
      <c r="AF1026" s="168">
        <f t="shared" si="402"/>
        <v>2237.6999999999998</v>
      </c>
      <c r="AG1026" s="575">
        <f t="shared" si="387"/>
        <v>0.99995531325408871</v>
      </c>
    </row>
    <row r="1027" spans="24:33" ht="47.25" x14ac:dyDescent="0.25">
      <c r="X1027" s="278" t="s">
        <v>43</v>
      </c>
      <c r="Y1027" s="11">
        <v>904</v>
      </c>
      <c r="Z1027" s="1" t="s">
        <v>31</v>
      </c>
      <c r="AA1027" s="529" t="s">
        <v>98</v>
      </c>
      <c r="AB1027" s="163" t="s">
        <v>295</v>
      </c>
      <c r="AC1027" s="309">
        <v>100</v>
      </c>
      <c r="AD1027" s="168">
        <f t="shared" si="402"/>
        <v>2237.8000000000002</v>
      </c>
      <c r="AE1027" s="168">
        <f t="shared" si="402"/>
        <v>2237.8000000000002</v>
      </c>
      <c r="AF1027" s="168">
        <f t="shared" si="402"/>
        <v>2237.6999999999998</v>
      </c>
      <c r="AG1027" s="575">
        <f t="shared" si="387"/>
        <v>0.99995531325408871</v>
      </c>
    </row>
    <row r="1028" spans="24:33" x14ac:dyDescent="0.25">
      <c r="X1028" s="278" t="s">
        <v>99</v>
      </c>
      <c r="Y1028" s="11">
        <v>904</v>
      </c>
      <c r="Z1028" s="1" t="s">
        <v>31</v>
      </c>
      <c r="AA1028" s="529" t="s">
        <v>98</v>
      </c>
      <c r="AB1028" s="163" t="s">
        <v>295</v>
      </c>
      <c r="AC1028" s="309">
        <v>120</v>
      </c>
      <c r="AD1028" s="168">
        <f>2131.9+86.8+19.1</f>
        <v>2237.8000000000002</v>
      </c>
      <c r="AE1028" s="168">
        <f>2131.9+86.8+19.1</f>
        <v>2237.8000000000002</v>
      </c>
      <c r="AF1028" s="168">
        <v>2237.6999999999998</v>
      </c>
      <c r="AG1028" s="575">
        <f t="shared" si="387"/>
        <v>0.99995531325408871</v>
      </c>
    </row>
    <row r="1029" spans="24:33" ht="31.5" x14ac:dyDescent="0.25">
      <c r="X1029" s="278" t="s">
        <v>297</v>
      </c>
      <c r="Y1029" s="11">
        <v>904</v>
      </c>
      <c r="Z1029" s="1" t="s">
        <v>31</v>
      </c>
      <c r="AA1029" s="529" t="s">
        <v>98</v>
      </c>
      <c r="AB1029" s="163" t="s">
        <v>296</v>
      </c>
      <c r="AC1029" s="309"/>
      <c r="AD1029" s="168">
        <f t="shared" ref="AD1029:AF1030" si="403">AD1030</f>
        <v>3668.1</v>
      </c>
      <c r="AE1029" s="168">
        <f t="shared" si="403"/>
        <v>3668.1</v>
      </c>
      <c r="AF1029" s="168">
        <f t="shared" si="403"/>
        <v>3663.5</v>
      </c>
      <c r="AG1029" s="575">
        <f t="shared" si="387"/>
        <v>0.99874594476704559</v>
      </c>
    </row>
    <row r="1030" spans="24:33" ht="47.25" x14ac:dyDescent="0.25">
      <c r="X1030" s="278" t="s">
        <v>43</v>
      </c>
      <c r="Y1030" s="11">
        <v>904</v>
      </c>
      <c r="Z1030" s="1" t="s">
        <v>31</v>
      </c>
      <c r="AA1030" s="529" t="s">
        <v>98</v>
      </c>
      <c r="AB1030" s="163" t="s">
        <v>296</v>
      </c>
      <c r="AC1030" s="309">
        <v>100</v>
      </c>
      <c r="AD1030" s="168">
        <f t="shared" si="403"/>
        <v>3668.1</v>
      </c>
      <c r="AE1030" s="168">
        <f t="shared" si="403"/>
        <v>3668.1</v>
      </c>
      <c r="AF1030" s="168">
        <f t="shared" si="403"/>
        <v>3663.5</v>
      </c>
      <c r="AG1030" s="575">
        <f t="shared" si="387"/>
        <v>0.99874594476704559</v>
      </c>
    </row>
    <row r="1031" spans="24:33" x14ac:dyDescent="0.25">
      <c r="X1031" s="278" t="s">
        <v>99</v>
      </c>
      <c r="Y1031" s="11">
        <v>904</v>
      </c>
      <c r="Z1031" s="1" t="s">
        <v>31</v>
      </c>
      <c r="AA1031" s="529" t="s">
        <v>98</v>
      </c>
      <c r="AB1031" s="163" t="s">
        <v>296</v>
      </c>
      <c r="AC1031" s="309">
        <v>120</v>
      </c>
      <c r="AD1031" s="168">
        <f>2647.4-37.3+1149-86.8-4.2</f>
        <v>3668.1</v>
      </c>
      <c r="AE1031" s="168">
        <f>2647.4-37.3+1149-86.8-4.2</f>
        <v>3668.1</v>
      </c>
      <c r="AF1031" s="168">
        <v>3663.5</v>
      </c>
      <c r="AG1031" s="575">
        <f t="shared" si="387"/>
        <v>0.99874594476704559</v>
      </c>
    </row>
    <row r="1032" spans="24:33" ht="31.5" x14ac:dyDescent="0.25">
      <c r="X1032" s="278" t="s">
        <v>462</v>
      </c>
      <c r="Y1032" s="11">
        <v>904</v>
      </c>
      <c r="Z1032" s="1" t="s">
        <v>31</v>
      </c>
      <c r="AA1032" s="529" t="s">
        <v>98</v>
      </c>
      <c r="AB1032" s="163" t="s">
        <v>447</v>
      </c>
      <c r="AC1032" s="309"/>
      <c r="AD1032" s="168">
        <f>AD1033</f>
        <v>2951.4999999999991</v>
      </c>
      <c r="AE1032" s="168">
        <f>AE1033</f>
        <v>2951.4999999999991</v>
      </c>
      <c r="AF1032" s="168">
        <f t="shared" ref="AF1032" si="404">AF1033</f>
        <v>2947.3</v>
      </c>
      <c r="AG1032" s="575">
        <f t="shared" si="387"/>
        <v>0.99857699474843342</v>
      </c>
    </row>
    <row r="1033" spans="24:33" ht="47.25" x14ac:dyDescent="0.25">
      <c r="X1033" s="278" t="s">
        <v>43</v>
      </c>
      <c r="Y1033" s="11">
        <v>904</v>
      </c>
      <c r="Z1033" s="1" t="s">
        <v>31</v>
      </c>
      <c r="AA1033" s="529" t="s">
        <v>98</v>
      </c>
      <c r="AB1033" s="163" t="s">
        <v>447</v>
      </c>
      <c r="AC1033" s="309">
        <v>100</v>
      </c>
      <c r="AD1033" s="168">
        <f>AD1034</f>
        <v>2951.4999999999991</v>
      </c>
      <c r="AE1033" s="168">
        <f>AE1034</f>
        <v>2951.4999999999991</v>
      </c>
      <c r="AF1033" s="168">
        <f t="shared" ref="AF1033" si="405">AF1034</f>
        <v>2947.3</v>
      </c>
      <c r="AG1033" s="575">
        <f t="shared" si="387"/>
        <v>0.99857699474843342</v>
      </c>
    </row>
    <row r="1034" spans="24:33" x14ac:dyDescent="0.25">
      <c r="X1034" s="278" t="s">
        <v>99</v>
      </c>
      <c r="Y1034" s="11">
        <v>904</v>
      </c>
      <c r="Z1034" s="1" t="s">
        <v>31</v>
      </c>
      <c r="AA1034" s="529" t="s">
        <v>98</v>
      </c>
      <c r="AB1034" s="163" t="s">
        <v>447</v>
      </c>
      <c r="AC1034" s="309">
        <v>120</v>
      </c>
      <c r="AD1034" s="168">
        <f>4180.9-61.6-1149-3.9-14.9</f>
        <v>2951.4999999999991</v>
      </c>
      <c r="AE1034" s="168">
        <f>4180.9-61.6-1149-3.9-14.9</f>
        <v>2951.4999999999991</v>
      </c>
      <c r="AF1034" s="168">
        <v>2947.3</v>
      </c>
      <c r="AG1034" s="575">
        <f t="shared" ref="AG1034:AG1043" si="406">AF1034/AE1034</f>
        <v>0.99857699474843342</v>
      </c>
    </row>
    <row r="1035" spans="24:33" x14ac:dyDescent="0.25">
      <c r="X1035" s="279" t="s">
        <v>97</v>
      </c>
      <c r="Y1035" s="199" t="s">
        <v>68</v>
      </c>
      <c r="Z1035" s="12" t="s">
        <v>38</v>
      </c>
      <c r="AA1035" s="561"/>
      <c r="AB1035" s="305"/>
      <c r="AC1035" s="310"/>
      <c r="AD1035" s="170">
        <f t="shared" ref="AD1035:AF1041" si="407">AD1036</f>
        <v>546.70000000000005</v>
      </c>
      <c r="AE1035" s="170">
        <f t="shared" si="407"/>
        <v>546.70000000000005</v>
      </c>
      <c r="AF1035" s="170">
        <f t="shared" si="407"/>
        <v>546.70000000000005</v>
      </c>
      <c r="AG1035" s="574">
        <f t="shared" si="406"/>
        <v>1</v>
      </c>
    </row>
    <row r="1036" spans="24:33" x14ac:dyDescent="0.25">
      <c r="X1036" s="278" t="s">
        <v>58</v>
      </c>
      <c r="Y1036" s="11">
        <v>904</v>
      </c>
      <c r="Z1036" s="1">
        <v>10</v>
      </c>
      <c r="AA1036" s="529" t="s">
        <v>31</v>
      </c>
      <c r="AB1036" s="33"/>
      <c r="AC1036" s="314"/>
      <c r="AD1036" s="168">
        <f t="shared" si="407"/>
        <v>546.70000000000005</v>
      </c>
      <c r="AE1036" s="168">
        <f t="shared" si="407"/>
        <v>546.70000000000005</v>
      </c>
      <c r="AF1036" s="168">
        <f t="shared" si="407"/>
        <v>546.70000000000005</v>
      </c>
      <c r="AG1036" s="575">
        <f t="shared" si="406"/>
        <v>1</v>
      </c>
    </row>
    <row r="1037" spans="24:33" x14ac:dyDescent="0.25">
      <c r="X1037" s="284" t="s">
        <v>309</v>
      </c>
      <c r="Y1037" s="11">
        <v>904</v>
      </c>
      <c r="Z1037" s="1">
        <v>10</v>
      </c>
      <c r="AA1037" s="529" t="s">
        <v>31</v>
      </c>
      <c r="AB1037" s="163" t="s">
        <v>112</v>
      </c>
      <c r="AC1037" s="314"/>
      <c r="AD1037" s="168">
        <f t="shared" si="407"/>
        <v>546.70000000000005</v>
      </c>
      <c r="AE1037" s="168">
        <f t="shared" si="407"/>
        <v>546.70000000000005</v>
      </c>
      <c r="AF1037" s="168">
        <f t="shared" si="407"/>
        <v>546.70000000000005</v>
      </c>
      <c r="AG1037" s="575">
        <f t="shared" si="406"/>
        <v>1</v>
      </c>
    </row>
    <row r="1038" spans="24:33" x14ac:dyDescent="0.25">
      <c r="X1038" s="284" t="s">
        <v>310</v>
      </c>
      <c r="Y1038" s="11">
        <v>904</v>
      </c>
      <c r="Z1038" s="1">
        <v>10</v>
      </c>
      <c r="AA1038" s="529" t="s">
        <v>31</v>
      </c>
      <c r="AB1038" s="163" t="s">
        <v>121</v>
      </c>
      <c r="AC1038" s="314"/>
      <c r="AD1038" s="168">
        <f>AD1039</f>
        <v>546.70000000000005</v>
      </c>
      <c r="AE1038" s="168">
        <f>AE1039</f>
        <v>546.70000000000005</v>
      </c>
      <c r="AF1038" s="168">
        <f>AF1039</f>
        <v>546.70000000000005</v>
      </c>
      <c r="AG1038" s="575">
        <f t="shared" si="406"/>
        <v>1</v>
      </c>
    </row>
    <row r="1039" spans="24:33" ht="31.5" x14ac:dyDescent="0.25">
      <c r="X1039" s="284" t="s">
        <v>311</v>
      </c>
      <c r="Y1039" s="11">
        <v>904</v>
      </c>
      <c r="Z1039" s="1">
        <v>10</v>
      </c>
      <c r="AA1039" s="529" t="s">
        <v>31</v>
      </c>
      <c r="AB1039" s="163" t="s">
        <v>526</v>
      </c>
      <c r="AC1039" s="314"/>
      <c r="AD1039" s="168">
        <f t="shared" si="407"/>
        <v>546.70000000000005</v>
      </c>
      <c r="AE1039" s="168">
        <f t="shared" si="407"/>
        <v>546.70000000000005</v>
      </c>
      <c r="AF1039" s="168">
        <f t="shared" si="407"/>
        <v>546.70000000000005</v>
      </c>
      <c r="AG1039" s="575">
        <f t="shared" si="406"/>
        <v>1</v>
      </c>
    </row>
    <row r="1040" spans="24:33" ht="31.5" x14ac:dyDescent="0.25">
      <c r="X1040" s="282" t="s">
        <v>312</v>
      </c>
      <c r="Y1040" s="11">
        <v>904</v>
      </c>
      <c r="Z1040" s="1">
        <v>10</v>
      </c>
      <c r="AA1040" s="529" t="s">
        <v>31</v>
      </c>
      <c r="AB1040" s="163" t="s">
        <v>525</v>
      </c>
      <c r="AC1040" s="314"/>
      <c r="AD1040" s="168">
        <f t="shared" si="407"/>
        <v>546.70000000000005</v>
      </c>
      <c r="AE1040" s="168">
        <f t="shared" si="407"/>
        <v>546.70000000000005</v>
      </c>
      <c r="AF1040" s="168">
        <f t="shared" si="407"/>
        <v>546.70000000000005</v>
      </c>
      <c r="AG1040" s="575">
        <f t="shared" si="406"/>
        <v>1</v>
      </c>
    </row>
    <row r="1041" spans="24:33" x14ac:dyDescent="0.25">
      <c r="X1041" s="278" t="s">
        <v>100</v>
      </c>
      <c r="Y1041" s="11">
        <v>904</v>
      </c>
      <c r="Z1041" s="1">
        <v>10</v>
      </c>
      <c r="AA1041" s="529" t="s">
        <v>31</v>
      </c>
      <c r="AB1041" s="163" t="s">
        <v>525</v>
      </c>
      <c r="AC1041" s="309">
        <v>300</v>
      </c>
      <c r="AD1041" s="168">
        <f t="shared" si="407"/>
        <v>546.70000000000005</v>
      </c>
      <c r="AE1041" s="168">
        <f t="shared" si="407"/>
        <v>546.70000000000005</v>
      </c>
      <c r="AF1041" s="168">
        <f t="shared" si="407"/>
        <v>546.70000000000005</v>
      </c>
      <c r="AG1041" s="575">
        <f t="shared" si="406"/>
        <v>1</v>
      </c>
    </row>
    <row r="1042" spans="24:33" ht="17.25" thickBot="1" x14ac:dyDescent="0.3">
      <c r="X1042" s="278" t="s">
        <v>42</v>
      </c>
      <c r="Y1042" s="11">
        <v>904</v>
      </c>
      <c r="Z1042" s="1">
        <v>10</v>
      </c>
      <c r="AA1042" s="529" t="s">
        <v>31</v>
      </c>
      <c r="AB1042" s="163" t="s">
        <v>525</v>
      </c>
      <c r="AC1042" s="309">
        <v>320</v>
      </c>
      <c r="AD1042" s="168">
        <v>546.70000000000005</v>
      </c>
      <c r="AE1042" s="168">
        <v>546.70000000000005</v>
      </c>
      <c r="AF1042" s="168">
        <v>546.70000000000005</v>
      </c>
      <c r="AG1042" s="576">
        <f t="shared" si="406"/>
        <v>1</v>
      </c>
    </row>
    <row r="1043" spans="24:33" ht="17.25" thickBot="1" x14ac:dyDescent="0.3">
      <c r="X1043" s="413" t="s">
        <v>59</v>
      </c>
      <c r="Y1043" s="208"/>
      <c r="Z1043" s="176"/>
      <c r="AA1043" s="565"/>
      <c r="AB1043" s="349"/>
      <c r="AC1043" s="328"/>
      <c r="AD1043" s="328">
        <f>AD1010+AD823+AD638+AD584+AD550+AD522+AD10</f>
        <v>4094889.1999999997</v>
      </c>
      <c r="AE1043" s="328">
        <f>AE1010+AE823+AE638+AE584+AE550+AE522+AE10</f>
        <v>4240954.4000000004</v>
      </c>
      <c r="AF1043" s="328">
        <f>AF1010+AF823+AF638+AF584+AF550+AF522+AF10</f>
        <v>4015975</v>
      </c>
      <c r="AG1043" s="514">
        <f t="shared" si="406"/>
        <v>0.94695076183794846</v>
      </c>
    </row>
    <row r="1046" spans="24:33" ht="16.899999999999999" customHeight="1" x14ac:dyDescent="0.25"/>
  </sheetData>
  <mergeCells count="12">
    <mergeCell ref="A7:T7"/>
    <mergeCell ref="X7:AC7"/>
    <mergeCell ref="A6:T6"/>
    <mergeCell ref="AB3:AD3"/>
    <mergeCell ref="AB5:AF5"/>
    <mergeCell ref="X6:AF6"/>
    <mergeCell ref="AI224:AJ224"/>
    <mergeCell ref="AJ8:AL8"/>
    <mergeCell ref="AJ6:AL6"/>
    <mergeCell ref="AJ7:AL7"/>
    <mergeCell ref="AF3:AG3"/>
    <mergeCell ref="AB4:AG4"/>
  </mergeCells>
  <phoneticPr fontId="0" type="noConversion"/>
  <pageMargins left="0.82677165354330717" right="0.78740157480314965" top="0.59055118110236227" bottom="0.39370078740157483" header="0.15748031496062992" footer="0.15748031496062992"/>
  <pageSetup paperSize="9" scale="65" fitToHeight="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4" sqref="M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Функц. 2023-2025</vt:lpstr>
      <vt:lpstr>Целевые 2023-2025</vt:lpstr>
      <vt:lpstr>Р., Пр.2023-2025</vt:lpstr>
      <vt:lpstr>ведом. 2023-2025</vt:lpstr>
      <vt:lpstr>Лист1</vt:lpstr>
      <vt:lpstr>'ведом. 2023-2025'!Заголовки_для_печати</vt:lpstr>
      <vt:lpstr>'Функц. 2023-2025'!Заголовки_для_печати</vt:lpstr>
      <vt:lpstr>'Целевые 2023-2025'!Заголовки_для_печати</vt:lpstr>
      <vt:lpstr>'ведом. 2023-2025'!Область_печати</vt:lpstr>
      <vt:lpstr>'Р., Пр.2023-2025'!Область_печати</vt:lpstr>
      <vt:lpstr>'Функц. 2023-2025'!Область_печати</vt:lpstr>
      <vt:lpstr>'Целевые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Nasty-PC</cp:lastModifiedBy>
  <cp:lastPrinted>2024-03-22T09:26:57Z</cp:lastPrinted>
  <dcterms:created xsi:type="dcterms:W3CDTF">2001-09-21T11:20:50Z</dcterms:created>
  <dcterms:modified xsi:type="dcterms:W3CDTF">2024-05-06T14:34:27Z</dcterms:modified>
</cp:coreProperties>
</file>